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defaultThemeVersion="166925"/>
  <mc:AlternateContent xmlns:mc="http://schemas.openxmlformats.org/markup-compatibility/2006">
    <mc:Choice Requires="x15">
      <x15ac:absPath xmlns:x15ac="http://schemas.microsoft.com/office/spreadsheetml/2010/11/ac" url="https://ukdeloitte-my.sharepoint.com/personal/bcornish_deloitte_co_uk/Documents/ICAS/TPS/FINREP/Bob's FINREP Class Notes/"/>
    </mc:Choice>
  </mc:AlternateContent>
  <xr:revisionPtr revIDLastSave="117" documentId="8_{A2D2504D-96DB-4FA9-9006-A80B30F5C4DD}" xr6:coauthVersionLast="47" xr6:coauthVersionMax="47" xr10:uidLastSave="{EA6193F7-6BC8-4045-A935-7C739A877C5A}"/>
  <bookViews>
    <workbookView xWindow="-120" yWindow="-120" windowWidth="29040" windowHeight="15840" activeTab="8" xr2:uid="{91612E34-D7FE-4A93-ABEC-7ACBA05504AC}"/>
  </bookViews>
  <sheets>
    <sheet name="Contents" sheetId="32" r:id="rId1"/>
    <sheet name="Info" sheetId="2" r:id="rId2"/>
    <sheet name="OCI" sheetId="1" state="hidden" r:id="rId3"/>
    <sheet name="Consol" sheetId="46" state="hidden" r:id="rId4"/>
    <sheet name="Profit and Loss" sheetId="9" state="hidden" r:id="rId5"/>
    <sheet name="ETB" sheetId="14" state="hidden" r:id="rId6"/>
    <sheet name="SoFP" sheetId="10" state="hidden" r:id="rId7"/>
    <sheet name="Consol New" sheetId="49" r:id="rId8"/>
    <sheet name="FV adjustments (consol)" sheetId="61" r:id="rId9"/>
    <sheet name="Associates &amp; JVs" sheetId="56" r:id="rId10"/>
    <sheet name="Accounting for investments" sheetId="76" r:id="rId11"/>
    <sheet name="Fair value model" sheetId="77" r:id="rId12"/>
    <sheet name="FV Measurement" sheetId="67" r:id="rId13"/>
    <sheet name="PPE" sheetId="18" r:id="rId14"/>
    <sheet name="Investment Property" sheetId="21" r:id="rId15"/>
    <sheet name="Held for sale" sheetId="23" r:id="rId16"/>
    <sheet name="Discontinued Operations" sheetId="66" r:id="rId17"/>
    <sheet name="Intangibles" sheetId="36" r:id="rId18"/>
    <sheet name="Tax" sheetId="64" r:id="rId19"/>
    <sheet name="Deferred tax" sheetId="80" r:id="rId20"/>
    <sheet name="Directors remuneration" sheetId="97" r:id="rId21"/>
    <sheet name="Contracts" sheetId="30" r:id="rId22"/>
    <sheet name="Provisions" sheetId="38" r:id="rId23"/>
    <sheet name="FX consolidation" sheetId="39" state="hidden" r:id="rId24"/>
    <sheet name="Impairment" sheetId="19" r:id="rId25"/>
    <sheet name="Financial Assets" sheetId="40" r:id="rId26"/>
    <sheet name="Financial Liabilities" sheetId="68" r:id="rId27"/>
    <sheet name="ECL" sheetId="41" r:id="rId28"/>
    <sheet name="Consolidation Exemptions" sheetId="58" r:id="rId29"/>
    <sheet name="Control over an entity" sheetId="59" r:id="rId30"/>
    <sheet name="Investments" sheetId="31" r:id="rId31"/>
    <sheet name="Inventory" sheetId="69" r:id="rId32"/>
    <sheet name="Leases" sheetId="16" r:id="rId33"/>
    <sheet name="Inputs" sheetId="17" state="hidden" r:id="rId34"/>
    <sheet name="Standards" sheetId="4" state="hidden" r:id="rId35"/>
    <sheet name="AK -&gt;" sheetId="8" state="hidden" r:id="rId36"/>
    <sheet name="Adjustments for cash flow" sheetId="94" r:id="rId37"/>
    <sheet name="SCF (Direct)" sheetId="73" r:id="rId38"/>
    <sheet name="SCF (Indirect)" sheetId="74" r:id="rId39"/>
    <sheet name="Distributable profits" sheetId="71" r:id="rId40"/>
    <sheet name="Staff costs" sheetId="95" r:id="rId41"/>
    <sheet name="Share based payments" sheetId="96" r:id="rId42"/>
    <sheet name="Repurchase of shares" sheetId="70" r:id="rId43"/>
    <sheet name="Issue of shares" sheetId="82" r:id="rId44"/>
    <sheet name="Statement of changes in Equity" sheetId="3" r:id="rId45"/>
    <sheet name="Grant Income" sheetId="84" r:id="rId46"/>
    <sheet name="Variances" sheetId="7" state="hidden" r:id="rId47"/>
  </sheets>
  <definedNames>
    <definedName name="_xlnm._FilterDatabase" localSheetId="32" hidden="1">Leases!$B$1:$B$5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25" i="97" l="1"/>
  <c r="D20" i="97"/>
  <c r="L11" i="97"/>
  <c r="C73" i="18"/>
  <c r="E25" i="41" l="1"/>
  <c r="F11" i="41"/>
  <c r="H11" i="41" s="1"/>
  <c r="E11" i="41"/>
  <c r="H12" i="41"/>
  <c r="F12" i="41"/>
  <c r="E17" i="41"/>
  <c r="E23" i="40" l="1"/>
  <c r="C33" i="68"/>
  <c r="C36" i="68"/>
  <c r="AM29" i="56"/>
  <c r="T17" i="84"/>
  <c r="T16" i="84"/>
  <c r="E67" i="69"/>
  <c r="H32" i="69"/>
  <c r="H46" i="69"/>
  <c r="H48" i="69"/>
  <c r="F32" i="69"/>
  <c r="F31" i="69"/>
  <c r="D31" i="69"/>
  <c r="D87" i="68"/>
  <c r="C86" i="68"/>
  <c r="C15" i="68"/>
  <c r="C23" i="68" s="1"/>
  <c r="E23" i="68"/>
  <c r="A10" i="70"/>
  <c r="C19" i="96"/>
  <c r="D19" i="96" s="1"/>
  <c r="E19" i="96" s="1"/>
  <c r="F19" i="96" s="1"/>
  <c r="A121" i="96"/>
  <c r="BC42" i="49"/>
  <c r="BC43" i="49" s="1"/>
  <c r="BC97" i="49"/>
  <c r="D79" i="30"/>
  <c r="C79" i="30"/>
  <c r="C84" i="30"/>
  <c r="I23" i="30"/>
  <c r="I22" i="30"/>
  <c r="I21" i="30"/>
  <c r="C53" i="30"/>
  <c r="B59" i="30" s="1" a="1"/>
  <c r="B59" i="30" s="1"/>
  <c r="C57" i="30"/>
  <c r="D11" i="74"/>
  <c r="C18" i="94"/>
  <c r="D21" i="94" s="1"/>
  <c r="H15" i="94"/>
  <c r="M20" i="16"/>
  <c r="M21" i="16"/>
  <c r="J63" i="16"/>
  <c r="C15" i="16"/>
  <c r="L90" i="74"/>
  <c r="L85" i="74"/>
  <c r="D44" i="74" s="1"/>
  <c r="L67" i="74"/>
  <c r="L69" i="74" s="1"/>
  <c r="D49" i="74" s="1"/>
  <c r="L77" i="74"/>
  <c r="D11" i="73"/>
  <c r="AT14" i="73"/>
  <c r="AG11" i="73"/>
  <c r="R20" i="73"/>
  <c r="R22" i="73" s="1"/>
  <c r="D7" i="73" s="1"/>
  <c r="B7" i="73" s="1"/>
  <c r="M15" i="94"/>
  <c r="P15" i="94"/>
  <c r="G13" i="3"/>
  <c r="G10" i="3"/>
  <c r="G15" i="3"/>
  <c r="E16" i="3"/>
  <c r="G11" i="3"/>
  <c r="G12" i="3"/>
  <c r="G14" i="3"/>
  <c r="G8" i="3"/>
  <c r="N21" i="61"/>
  <c r="D7" i="84"/>
  <c r="L50" i="74"/>
  <c r="D34" i="74" s="1"/>
  <c r="O15" i="94"/>
  <c r="K13" i="74"/>
  <c r="D22" i="74" s="1"/>
  <c r="G15" i="94"/>
  <c r="L15" i="94"/>
  <c r="K15" i="94"/>
  <c r="L116" i="74" s="1"/>
  <c r="E15" i="94"/>
  <c r="C2" i="84"/>
  <c r="D9" i="84" s="1"/>
  <c r="H71" i="18"/>
  <c r="J17" i="18"/>
  <c r="BC96" i="49"/>
  <c r="E63" i="49"/>
  <c r="E53" i="97"/>
  <c r="J5" i="97"/>
  <c r="J7" i="97"/>
  <c r="J8" i="97"/>
  <c r="M11" i="97"/>
  <c r="D37" i="97" s="1"/>
  <c r="D46" i="97"/>
  <c r="B42" i="97"/>
  <c r="B41" i="97"/>
  <c r="D30" i="97"/>
  <c r="D28" i="97"/>
  <c r="D27" i="97"/>
  <c r="D26" i="97"/>
  <c r="D25" i="97"/>
  <c r="D24" i="97"/>
  <c r="N11" i="97"/>
  <c r="B50" i="97"/>
  <c r="I11" i="97"/>
  <c r="G11" i="97"/>
  <c r="F11" i="97"/>
  <c r="D19" i="97" s="1"/>
  <c r="E11" i="97"/>
  <c r="D18" i="97" s="1"/>
  <c r="D11" i="97"/>
  <c r="D17" i="97" s="1"/>
  <c r="C11" i="97"/>
  <c r="D16" i="97" s="1"/>
  <c r="J10" i="97"/>
  <c r="J9" i="97"/>
  <c r="J6" i="97"/>
  <c r="N9" i="96"/>
  <c r="D140" i="96"/>
  <c r="D76" i="96" a="1"/>
  <c r="D76" i="96" s="1"/>
  <c r="E76" i="96" s="1"/>
  <c r="N68" i="96"/>
  <c r="C148" i="96"/>
  <c r="E148" i="96" s="1"/>
  <c r="G148" i="96" s="1"/>
  <c r="D141" i="96" s="1"/>
  <c r="F150" i="96"/>
  <c r="C150" i="96"/>
  <c r="E150" i="96" s="1"/>
  <c r="G150" i="96" s="1"/>
  <c r="F148" i="96"/>
  <c r="F146" i="96"/>
  <c r="C146" i="96"/>
  <c r="E146" i="96" s="1"/>
  <c r="H146" i="96" s="1"/>
  <c r="C129" i="96"/>
  <c r="B124" i="96"/>
  <c r="B126" i="96"/>
  <c r="B128" i="96" s="1"/>
  <c r="C96" i="96"/>
  <c r="B91" i="96"/>
  <c r="B90" i="96"/>
  <c r="C95" i="96" s="1"/>
  <c r="B88" i="96"/>
  <c r="C78" i="96"/>
  <c r="D78" i="96" s="1" a="1"/>
  <c r="D78" i="96" s="1"/>
  <c r="E78" i="96" s="1"/>
  <c r="D74" i="96" a="1"/>
  <c r="D74" i="96" s="1"/>
  <c r="E74" i="96" s="1"/>
  <c r="D69" i="96" a="1"/>
  <c r="D69" i="96" s="1"/>
  <c r="B36" i="96"/>
  <c r="C41" i="96" s="1"/>
  <c r="B35" i="96"/>
  <c r="C40" i="96" s="1"/>
  <c r="C23" i="96"/>
  <c r="D23" i="96" s="1"/>
  <c r="E23" i="96" s="1"/>
  <c r="C21" i="96"/>
  <c r="D21" i="96" s="1"/>
  <c r="E21" i="96" s="1"/>
  <c r="C12" i="96"/>
  <c r="E39" i="95"/>
  <c r="K10" i="95"/>
  <c r="F64" i="95"/>
  <c r="E64" i="95"/>
  <c r="F61" i="95"/>
  <c r="F59" i="95"/>
  <c r="E59" i="95"/>
  <c r="F58" i="95"/>
  <c r="E58" i="95"/>
  <c r="F56" i="95"/>
  <c r="E56" i="95"/>
  <c r="F42" i="95"/>
  <c r="E42" i="95"/>
  <c r="F41" i="95"/>
  <c r="E41" i="95"/>
  <c r="F40" i="95"/>
  <c r="E40" i="95"/>
  <c r="F38" i="95"/>
  <c r="E38" i="95"/>
  <c r="F26" i="95"/>
  <c r="E25" i="95"/>
  <c r="F15" i="95"/>
  <c r="E24" i="95" s="1"/>
  <c r="D15" i="95"/>
  <c r="R13" i="95"/>
  <c r="F20" i="95"/>
  <c r="K8" i="95"/>
  <c r="J15" i="95" s="1"/>
  <c r="F60" i="95"/>
  <c r="K7" i="95"/>
  <c r="U5" i="95"/>
  <c r="F5" i="95"/>
  <c r="E5" i="95"/>
  <c r="Q12" i="95"/>
  <c r="D15" i="94"/>
  <c r="D9" i="74" s="1"/>
  <c r="F15" i="94"/>
  <c r="I15" i="94"/>
  <c r="D13" i="74" s="1"/>
  <c r="N15" i="94"/>
  <c r="Q15" i="94"/>
  <c r="R15" i="94"/>
  <c r="C100" i="40"/>
  <c r="D102" i="40"/>
  <c r="I57" i="40"/>
  <c r="I56" i="40"/>
  <c r="D57" i="40"/>
  <c r="O19" i="38"/>
  <c r="N19" i="38"/>
  <c r="O15" i="38"/>
  <c r="O20" i="38" s="1"/>
  <c r="N15" i="38"/>
  <c r="N20" i="38" s="1"/>
  <c r="N11" i="61"/>
  <c r="M11" i="61"/>
  <c r="N13" i="61" s="1"/>
  <c r="G6" i="61"/>
  <c r="B41" i="82"/>
  <c r="B44" i="82" s="1"/>
  <c r="B29" i="82"/>
  <c r="D31" i="82"/>
  <c r="B28" i="82"/>
  <c r="D30" i="82"/>
  <c r="C10" i="69"/>
  <c r="C16" i="69"/>
  <c r="I32" i="69"/>
  <c r="K10" i="69"/>
  <c r="H11" i="69"/>
  <c r="B8" i="41" a="1"/>
  <c r="B8" i="41" s="1"/>
  <c r="C15" i="40"/>
  <c r="C23" i="40" s="1"/>
  <c r="F20" i="61"/>
  <c r="F17" i="61"/>
  <c r="F19" i="61"/>
  <c r="W5" i="61"/>
  <c r="E18" i="61" s="1"/>
  <c r="C44" i="36"/>
  <c r="D74" i="80"/>
  <c r="E74" i="80" s="1"/>
  <c r="E8" i="66"/>
  <c r="E33" i="66"/>
  <c r="D33" i="66"/>
  <c r="E18" i="66"/>
  <c r="D29" i="66"/>
  <c r="D26" i="66"/>
  <c r="D23" i="66"/>
  <c r="D18" i="66"/>
  <c r="D15" i="66"/>
  <c r="D12" i="66"/>
  <c r="D8" i="66"/>
  <c r="D5" i="66"/>
  <c r="D49" i="66"/>
  <c r="D48" i="66"/>
  <c r="D50" i="66" s="1"/>
  <c r="D45" i="66"/>
  <c r="D44" i="66"/>
  <c r="D43" i="66"/>
  <c r="D42" i="66"/>
  <c r="L21" i="16"/>
  <c r="C8" i="36" a="1"/>
  <c r="C8" i="36" s="1"/>
  <c r="C162" i="30"/>
  <c r="C161" i="30"/>
  <c r="D146" i="30"/>
  <c r="C145" i="30"/>
  <c r="D149" i="30"/>
  <c r="C148" i="30"/>
  <c r="F54" i="30"/>
  <c r="F50" i="30"/>
  <c r="D41" i="82"/>
  <c r="BC9" i="49"/>
  <c r="D70" i="80"/>
  <c r="E70" i="80" s="1"/>
  <c r="B32" i="16"/>
  <c r="D72" i="80"/>
  <c r="E72" i="80" s="1"/>
  <c r="D77" i="80"/>
  <c r="E77" i="80" s="1"/>
  <c r="C89" i="80" s="1"/>
  <c r="F119" i="69"/>
  <c r="F121" i="69" s="1"/>
  <c r="E111" i="69"/>
  <c r="F112" i="69"/>
  <c r="F107" i="69"/>
  <c r="E110" i="69" s="1"/>
  <c r="C107" i="69"/>
  <c r="F101" i="69"/>
  <c r="H67" i="18"/>
  <c r="H68" i="18"/>
  <c r="H69" i="18"/>
  <c r="H70" i="18"/>
  <c r="H66" i="18"/>
  <c r="H65" i="18"/>
  <c r="I65" i="18" s="1"/>
  <c r="P33" i="71"/>
  <c r="AS121" i="49"/>
  <c r="AS120" i="49"/>
  <c r="BA118" i="49"/>
  <c r="E65" i="69"/>
  <c r="E66" i="69"/>
  <c r="E64" i="69"/>
  <c r="D9" i="82"/>
  <c r="B9" i="82"/>
  <c r="B12" i="82" s="1"/>
  <c r="L106" i="74"/>
  <c r="L108" i="74" s="1"/>
  <c r="D46" i="74" s="1"/>
  <c r="T122" i="73"/>
  <c r="T120" i="73"/>
  <c r="T50" i="73"/>
  <c r="T52" i="73" s="1"/>
  <c r="L98" i="74"/>
  <c r="L100" i="74" s="1"/>
  <c r="D45" i="74" s="1"/>
  <c r="T84" i="73"/>
  <c r="D69" i="80"/>
  <c r="E69" i="80" s="1"/>
  <c r="D71" i="80"/>
  <c r="E71" i="80" s="1"/>
  <c r="D73" i="80"/>
  <c r="E73" i="80" s="1"/>
  <c r="D9" i="80"/>
  <c r="D56" i="80"/>
  <c r="E56" i="80" s="1"/>
  <c r="E58" i="80" s="1"/>
  <c r="C60" i="80" s="1"/>
  <c r="E53" i="80"/>
  <c r="D53" i="80"/>
  <c r="E38" i="80"/>
  <c r="D38" i="80"/>
  <c r="D41" i="80"/>
  <c r="E41" i="80" s="1"/>
  <c r="E43" i="80" s="1"/>
  <c r="B45" i="80" s="1"/>
  <c r="D25" i="80"/>
  <c r="E25" i="80" s="1"/>
  <c r="E27" i="80" s="1"/>
  <c r="A30" i="80" s="1" a="1"/>
  <c r="A30" i="80" s="1"/>
  <c r="E22" i="80"/>
  <c r="D22" i="80"/>
  <c r="D7" i="80"/>
  <c r="E7" i="80"/>
  <c r="D10" i="80"/>
  <c r="E10" i="80" s="1"/>
  <c r="T110" i="73"/>
  <c r="T112" i="73" s="1"/>
  <c r="T114" i="73" s="1"/>
  <c r="T104" i="73"/>
  <c r="D29" i="73" s="1"/>
  <c r="T96" i="73"/>
  <c r="T98" i="73" s="1"/>
  <c r="L5" i="74"/>
  <c r="K5" i="74"/>
  <c r="E54" i="74" s="1"/>
  <c r="L92" i="74"/>
  <c r="D35" i="74" s="1"/>
  <c r="D8" i="68" a="1"/>
  <c r="D8" i="68" s="1"/>
  <c r="C51" i="36"/>
  <c r="C56" i="36" s="1"/>
  <c r="BD6" i="49"/>
  <c r="I35" i="69"/>
  <c r="I34" i="69"/>
  <c r="I33" i="69"/>
  <c r="I36" i="69"/>
  <c r="B67" i="38"/>
  <c r="B68" i="38" s="1"/>
  <c r="B71" i="38" s="1"/>
  <c r="B41" i="38"/>
  <c r="C45" i="38" s="1"/>
  <c r="T57" i="73"/>
  <c r="T91" i="73"/>
  <c r="D28" i="73" s="1"/>
  <c r="T74" i="73"/>
  <c r="T76" i="73" s="1"/>
  <c r="D38" i="74"/>
  <c r="L58" i="74"/>
  <c r="L60" i="74" s="1"/>
  <c r="D37" i="74" s="1"/>
  <c r="L34" i="74"/>
  <c r="L30" i="74"/>
  <c r="L32" i="74" s="1"/>
  <c r="M13" i="74"/>
  <c r="D24" i="74" s="1"/>
  <c r="T65" i="73"/>
  <c r="T67" i="73" s="1"/>
  <c r="T41" i="73"/>
  <c r="T37" i="73"/>
  <c r="T39" i="73" s="1"/>
  <c r="T31" i="73"/>
  <c r="T33" i="73" s="1"/>
  <c r="D10" i="73" s="1"/>
  <c r="T10" i="73"/>
  <c r="E35" i="73" s="1"/>
  <c r="S10" i="73"/>
  <c r="E36" i="73" s="1"/>
  <c r="M54" i="74"/>
  <c r="M86" i="74"/>
  <c r="M23" i="74"/>
  <c r="L11" i="69"/>
  <c r="E8" i="95"/>
  <c r="I18" i="69"/>
  <c r="D7" i="69"/>
  <c r="M75" i="74"/>
  <c r="L15" i="69"/>
  <c r="M83" i="74"/>
  <c r="I15" i="69"/>
  <c r="M25" i="74"/>
  <c r="M31" i="74"/>
  <c r="L14" i="69"/>
  <c r="M69" i="74"/>
  <c r="I21" i="69"/>
  <c r="M93" i="74"/>
  <c r="M38" i="74"/>
  <c r="M98" i="74"/>
  <c r="M27" i="74"/>
  <c r="M20" i="74"/>
  <c r="I16" i="69"/>
  <c r="B20" i="96"/>
  <c r="C15" i="38"/>
  <c r="M52" i="74"/>
  <c r="E89" i="40"/>
  <c r="M82" i="74"/>
  <c r="M51" i="74"/>
  <c r="D8" i="69"/>
  <c r="L19" i="69"/>
  <c r="M49" i="74"/>
  <c r="C13" i="38"/>
  <c r="M28" i="74"/>
  <c r="L20" i="69"/>
  <c r="J56" i="40"/>
  <c r="I11" i="69"/>
  <c r="L10" i="69"/>
  <c r="M65" i="74"/>
  <c r="M62" i="74"/>
  <c r="M39" i="74"/>
  <c r="L12" i="69"/>
  <c r="C32" i="96"/>
  <c r="E56" i="40"/>
  <c r="M88" i="74"/>
  <c r="M85" i="74"/>
  <c r="M48" i="74"/>
  <c r="M21" i="74"/>
  <c r="M37" i="74"/>
  <c r="M53" i="74"/>
  <c r="I17" i="69"/>
  <c r="M70" i="74"/>
  <c r="I19" i="69"/>
  <c r="M29" i="74"/>
  <c r="M81" i="74"/>
  <c r="M41" i="74"/>
  <c r="M40" i="74"/>
  <c r="M33" i="74"/>
  <c r="M76" i="74"/>
  <c r="L16" i="69"/>
  <c r="B24" i="96"/>
  <c r="I13" i="69"/>
  <c r="M73" i="74"/>
  <c r="B80" i="68"/>
  <c r="M42" i="74"/>
  <c r="D6" i="69"/>
  <c r="M90" i="74"/>
  <c r="I14" i="69"/>
  <c r="M36" i="74"/>
  <c r="D64" i="16"/>
  <c r="D17" i="16"/>
  <c r="M47" i="74"/>
  <c r="M72" i="74"/>
  <c r="C14" i="38"/>
  <c r="L17" i="69"/>
  <c r="M63" i="74"/>
  <c r="M55" i="74"/>
  <c r="M64" i="74"/>
  <c r="M71" i="74"/>
  <c r="M78" i="74"/>
  <c r="M95" i="74"/>
  <c r="B22" i="96"/>
  <c r="M61" i="74"/>
  <c r="M46" i="74"/>
  <c r="L13" i="69"/>
  <c r="M96" i="74"/>
  <c r="M59" i="74"/>
  <c r="I12" i="69"/>
  <c r="M57" i="74"/>
  <c r="M56" i="74"/>
  <c r="M67" i="74"/>
  <c r="M80" i="74"/>
  <c r="L18" i="69"/>
  <c r="M22" i="74"/>
  <c r="M87" i="74"/>
  <c r="I10" i="69"/>
  <c r="M74" i="74"/>
  <c r="M92" i="74"/>
  <c r="M94" i="74"/>
  <c r="I20" i="69"/>
  <c r="J57" i="40"/>
  <c r="D21" i="97" l="1"/>
  <c r="M14" i="61"/>
  <c r="G44" i="36"/>
  <c r="B92" i="96"/>
  <c r="B94" i="96" s="1"/>
  <c r="B57" i="30"/>
  <c r="L79" i="74"/>
  <c r="D42" i="74" s="1"/>
  <c r="E50" i="74" s="1"/>
  <c r="B24" i="74"/>
  <c r="E53" i="74"/>
  <c r="C20" i="94"/>
  <c r="L115" i="74"/>
  <c r="L117" i="74" s="1"/>
  <c r="J13" i="74"/>
  <c r="D21" i="74" s="1"/>
  <c r="B21" i="74" s="1"/>
  <c r="C15" i="94"/>
  <c r="D7" i="74" s="1"/>
  <c r="D20" i="74" s="1"/>
  <c r="L24" i="74"/>
  <c r="L26" i="74" s="1"/>
  <c r="D26" i="74" s="1"/>
  <c r="J15" i="94"/>
  <c r="L44" i="74" s="1"/>
  <c r="L43" i="74"/>
  <c r="H11" i="97"/>
  <c r="D36" i="97" s="1"/>
  <c r="D29" i="97"/>
  <c r="D31" i="97" s="1"/>
  <c r="D45" i="97" s="1"/>
  <c r="D47" i="97" s="1"/>
  <c r="B49" i="97"/>
  <c r="J4" i="97"/>
  <c r="J11" i="97" s="1"/>
  <c r="B101" i="96"/>
  <c r="F78" i="96"/>
  <c r="L79" i="96" s="1"/>
  <c r="F76" i="96"/>
  <c r="F74" i="96"/>
  <c r="F21" i="96"/>
  <c r="L22" i="96" s="1"/>
  <c r="B83" i="96"/>
  <c r="C107" i="96"/>
  <c r="B106" i="96"/>
  <c r="B155" i="96"/>
  <c r="H150" i="96"/>
  <c r="C156" i="96"/>
  <c r="L20" i="96"/>
  <c r="K19" i="96"/>
  <c r="N147" i="96"/>
  <c r="M146" i="96"/>
  <c r="H148" i="96"/>
  <c r="D142" i="96" s="1"/>
  <c r="F23" i="96"/>
  <c r="C130" i="96"/>
  <c r="B125" i="96"/>
  <c r="A132" i="96" s="1"/>
  <c r="B37" i="96"/>
  <c r="B39" i="96" s="1"/>
  <c r="C102" i="96"/>
  <c r="C80" i="80"/>
  <c r="F86" i="95"/>
  <c r="R14" i="95"/>
  <c r="E57" i="95"/>
  <c r="B24" i="95" a="1"/>
  <c r="B24" i="95" s="1"/>
  <c r="K17" i="95"/>
  <c r="F43" i="95"/>
  <c r="F44" i="95" s="1"/>
  <c r="U12" i="95"/>
  <c r="F24" i="95"/>
  <c r="K16" i="95"/>
  <c r="U6" i="95"/>
  <c r="V13" i="95" s="1"/>
  <c r="E19" i="95"/>
  <c r="E31" i="95"/>
  <c r="F83" i="95"/>
  <c r="E43" i="95"/>
  <c r="F32" i="95"/>
  <c r="D94" i="40"/>
  <c r="D91" i="40"/>
  <c r="F18" i="61"/>
  <c r="B18" i="61"/>
  <c r="G16" i="3"/>
  <c r="C11" i="69"/>
  <c r="C12" i="69" s="1"/>
  <c r="I58" i="40"/>
  <c r="D68" i="80"/>
  <c r="D46" i="66"/>
  <c r="D51" i="66" s="1"/>
  <c r="D11" i="66"/>
  <c r="D32" i="66" s="1"/>
  <c r="C163" i="30"/>
  <c r="D43" i="82"/>
  <c r="B89" i="80"/>
  <c r="A89" i="80"/>
  <c r="E123" i="69"/>
  <c r="F124" i="69"/>
  <c r="D17" i="82"/>
  <c r="A12" i="82"/>
  <c r="B10" i="82"/>
  <c r="B13" i="82" s="1"/>
  <c r="D18" i="82" s="1"/>
  <c r="T86" i="73"/>
  <c r="E32" i="73" s="1"/>
  <c r="C46" i="80"/>
  <c r="C30" i="80"/>
  <c r="B46" i="80"/>
  <c r="B60" i="80"/>
  <c r="A60" i="80" a="1"/>
  <c r="A60" i="80" s="1"/>
  <c r="C61" i="80"/>
  <c r="B61" i="80"/>
  <c r="A45" i="80" a="1"/>
  <c r="A45" i="80" s="1"/>
  <c r="A46" i="80" a="1"/>
  <c r="A46" i="80" s="1"/>
  <c r="E12" i="80"/>
  <c r="A15" i="80" s="1" a="1"/>
  <c r="A15" i="80" s="1"/>
  <c r="A61" i="80" a="1"/>
  <c r="A61" i="80" s="1"/>
  <c r="B30" i="80"/>
  <c r="B29" i="80"/>
  <c r="C29" i="80"/>
  <c r="A29" i="80" a="1"/>
  <c r="A29" i="80" s="1"/>
  <c r="E23" i="73"/>
  <c r="C60" i="36"/>
  <c r="B44" i="38"/>
  <c r="C51" i="38" s="1"/>
  <c r="B82" i="38"/>
  <c r="C83" i="38"/>
  <c r="B22" i="74"/>
  <c r="T42" i="73"/>
  <c r="T20" i="73"/>
  <c r="T22" i="73" s="1"/>
  <c r="L35" i="74"/>
  <c r="D27" i="74" s="1"/>
  <c r="L13" i="74"/>
  <c r="D23" i="74" s="1"/>
  <c r="B23" i="74" s="1"/>
  <c r="D8" i="73" l="1"/>
  <c r="B8" i="73" s="1"/>
  <c r="L75" i="96"/>
  <c r="K74" i="96"/>
  <c r="K78" i="96"/>
  <c r="K21" i="96"/>
  <c r="L45" i="74"/>
  <c r="D33" i="74" s="1"/>
  <c r="E39" i="74" s="1"/>
  <c r="D35" i="97"/>
  <c r="D38" i="97" s="1"/>
  <c r="G21" i="97"/>
  <c r="I26" i="97" s="1"/>
  <c r="L77" i="96"/>
  <c r="K76" i="96"/>
  <c r="L24" i="96"/>
  <c r="K23" i="96"/>
  <c r="N151" i="96"/>
  <c r="M150" i="96"/>
  <c r="N149" i="96"/>
  <c r="M148" i="96"/>
  <c r="E68" i="80"/>
  <c r="H74" i="80"/>
  <c r="H65" i="80"/>
  <c r="F45" i="95"/>
  <c r="E45" i="95"/>
  <c r="E44" i="95"/>
  <c r="B49" i="95"/>
  <c r="F62" i="95"/>
  <c r="F63" i="95" s="1"/>
  <c r="F65" i="95" s="1"/>
  <c r="F49" i="95"/>
  <c r="E49" i="95"/>
  <c r="C97" i="40"/>
  <c r="D97" i="40"/>
  <c r="D96" i="40"/>
  <c r="C96" i="40"/>
  <c r="H62" i="40"/>
  <c r="I62" i="40"/>
  <c r="H61" i="40"/>
  <c r="I61" i="40"/>
  <c r="G62" i="40"/>
  <c r="D36" i="66"/>
  <c r="C167" i="30"/>
  <c r="C166" i="30"/>
  <c r="B14" i="82"/>
  <c r="B16" i="82" s="1"/>
  <c r="A14" i="80" a="1"/>
  <c r="A14" i="80" s="1"/>
  <c r="C45" i="80"/>
  <c r="B14" i="80"/>
  <c r="B15" i="80"/>
  <c r="M14" i="74"/>
  <c r="T24" i="73"/>
  <c r="D9" i="73" l="1"/>
  <c r="E12" i="73" s="1"/>
  <c r="E34" i="73" s="1"/>
  <c r="D38" i="73" s="1"/>
  <c r="B28" i="96"/>
  <c r="C52" i="96"/>
  <c r="B46" i="96"/>
  <c r="B51" i="96"/>
  <c r="C47" i="96"/>
  <c r="E75" i="80"/>
  <c r="C82" i="80" s="1"/>
  <c r="C85" i="80" s="1"/>
  <c r="B50" i="95"/>
  <c r="F46" i="95"/>
  <c r="F70" i="95"/>
  <c r="E70" i="95"/>
  <c r="B70" i="95"/>
  <c r="F50" i="95"/>
  <c r="B48" i="95"/>
  <c r="E50" i="95"/>
  <c r="E62" i="95"/>
  <c r="E63" i="95" s="1"/>
  <c r="E65" i="95" s="1"/>
  <c r="F48" i="95"/>
  <c r="E48" i="95"/>
  <c r="D25" i="74"/>
  <c r="F76" i="95" l="1"/>
  <c r="A88" i="80"/>
  <c r="B88" i="80"/>
  <c r="B90" i="80" s="1"/>
  <c r="C88" i="80"/>
  <c r="C90" i="80"/>
  <c r="B76" i="95"/>
  <c r="F71" i="95"/>
  <c r="F69" i="95"/>
  <c r="E69" i="95"/>
  <c r="B69" i="95"/>
  <c r="E71" i="95"/>
  <c r="C67" i="95"/>
  <c r="B71" i="95"/>
  <c r="E28" i="74"/>
  <c r="E52" i="74" s="1"/>
  <c r="D56" i="74" s="1"/>
  <c r="F80" i="95" l="1"/>
  <c r="D22" i="71"/>
  <c r="D32" i="71" s="1"/>
  <c r="D8" i="71"/>
  <c r="D16" i="70"/>
  <c r="D17" i="70" s="1"/>
  <c r="E21" i="70"/>
  <c r="D27" i="71"/>
  <c r="D26" i="71"/>
  <c r="D25" i="71"/>
  <c r="C25" i="70"/>
  <c r="C24" i="70"/>
  <c r="E25" i="70"/>
  <c r="E30" i="70" s="1"/>
  <c r="E43" i="70" s="1"/>
  <c r="E24" i="70"/>
  <c r="E29" i="70" s="1"/>
  <c r="E24" i="68"/>
  <c r="C15" i="69"/>
  <c r="J36" i="69"/>
  <c r="K36" i="69" s="1"/>
  <c r="E36" i="69"/>
  <c r="J35" i="69"/>
  <c r="K35" i="69" s="1"/>
  <c r="E35" i="69"/>
  <c r="J34" i="69"/>
  <c r="K34" i="69" s="1"/>
  <c r="E34" i="69"/>
  <c r="J33" i="69"/>
  <c r="K33" i="69" s="1"/>
  <c r="E33" i="69"/>
  <c r="C65" i="68"/>
  <c r="D46" i="68"/>
  <c r="D48" i="68" s="1"/>
  <c r="D90" i="68"/>
  <c r="C89" i="68"/>
  <c r="D95" i="68"/>
  <c r="C94" i="68"/>
  <c r="B33" i="68"/>
  <c r="E27" i="68"/>
  <c r="E26" i="68"/>
  <c r="E25" i="68"/>
  <c r="B24" i="68"/>
  <c r="B25" i="68" s="1"/>
  <c r="B26" i="68" s="1"/>
  <c r="B27" i="68" s="1"/>
  <c r="B28" i="68" s="1"/>
  <c r="D7" i="68" a="1"/>
  <c r="D7" i="68" s="1"/>
  <c r="C4" i="68"/>
  <c r="O8" i="66"/>
  <c r="E29" i="66"/>
  <c r="E23" i="66"/>
  <c r="E26" i="66"/>
  <c r="E15" i="66"/>
  <c r="E5" i="66"/>
  <c r="C50" i="66"/>
  <c r="B50" i="66"/>
  <c r="E49" i="66"/>
  <c r="E48" i="66"/>
  <c r="C46" i="66"/>
  <c r="B46" i="66"/>
  <c r="E45" i="66"/>
  <c r="E44" i="66"/>
  <c r="E43" i="66"/>
  <c r="E42" i="66"/>
  <c r="E12" i="66"/>
  <c r="C11" i="66"/>
  <c r="B11" i="66"/>
  <c r="B32" i="66" s="1"/>
  <c r="B36" i="66" s="1"/>
  <c r="B38" i="66" s="1"/>
  <c r="O10" i="66" l="1"/>
  <c r="C20" i="66"/>
  <c r="A20" i="66" s="1"/>
  <c r="E11" i="66"/>
  <c r="D91" i="68"/>
  <c r="D29" i="71"/>
  <c r="D34" i="71" s="1"/>
  <c r="D33" i="71" s="1"/>
  <c r="E44" i="70"/>
  <c r="D47" i="70" s="1" a="1"/>
  <c r="D47" i="70" s="1"/>
  <c r="D4" i="70"/>
  <c r="E26" i="70"/>
  <c r="E55" i="70" s="1"/>
  <c r="F56" i="70" s="1"/>
  <c r="D19" i="70"/>
  <c r="E54" i="70" s="1"/>
  <c r="D20" i="70"/>
  <c r="E28" i="68"/>
  <c r="D43" i="68"/>
  <c r="C4" i="69"/>
  <c r="C17" i="69"/>
  <c r="B51" i="66"/>
  <c r="B52" i="66" s="1"/>
  <c r="E46" i="66"/>
  <c r="C51" i="66"/>
  <c r="E50" i="66"/>
  <c r="C66" i="16"/>
  <c r="C67" i="40"/>
  <c r="P14" i="64"/>
  <c r="O13" i="64"/>
  <c r="D12" i="64"/>
  <c r="J10" i="64"/>
  <c r="G14" i="64" s="1"/>
  <c r="E14" i="64"/>
  <c r="O5" i="64"/>
  <c r="O6" i="64" s="1"/>
  <c r="D4" i="64"/>
  <c r="D5" i="64" s="1"/>
  <c r="D3" i="64"/>
  <c r="D2" i="64"/>
  <c r="E32" i="66" l="1"/>
  <c r="E36" i="66" s="1"/>
  <c r="D23" i="68"/>
  <c r="C32" i="66"/>
  <c r="D38" i="66"/>
  <c r="D52" i="66" s="1"/>
  <c r="E56" i="70"/>
  <c r="D58" i="70" a="1"/>
  <c r="D58" i="70" s="1"/>
  <c r="E59" i="70" a="1"/>
  <c r="E59" i="70" s="1"/>
  <c r="D48" i="70"/>
  <c r="D28" i="70"/>
  <c r="E49" i="70"/>
  <c r="C42" i="68"/>
  <c r="E69" i="69"/>
  <c r="C19" i="69"/>
  <c r="E51" i="66"/>
  <c r="J13" i="64"/>
  <c r="G13" i="64"/>
  <c r="K14" i="64"/>
  <c r="J14" i="64"/>
  <c r="E13" i="64"/>
  <c r="K13" i="64"/>
  <c r="E70" i="69" l="1"/>
  <c r="D32" i="69"/>
  <c r="E32" i="69" s="1"/>
  <c r="J32" i="69" s="1"/>
  <c r="K32" i="69" s="1"/>
  <c r="C36" i="66"/>
  <c r="C40" i="68"/>
  <c r="F23" i="68"/>
  <c r="C24" i="68" s="1"/>
  <c r="D24" i="68" s="1"/>
  <c r="F24" i="68" s="1"/>
  <c r="C25" i="68" s="1"/>
  <c r="D39" i="68"/>
  <c r="E31" i="69"/>
  <c r="C38" i="66" l="1"/>
  <c r="C52" i="66" s="1"/>
  <c r="E37" i="66"/>
  <c r="E38" i="66" s="1"/>
  <c r="E52" i="66" s="1"/>
  <c r="C32" i="68"/>
  <c r="C31" i="68"/>
  <c r="E37" i="69"/>
  <c r="D25" i="68"/>
  <c r="F25" i="68" s="1"/>
  <c r="C26" i="68" s="1"/>
  <c r="D26" i="68" l="1"/>
  <c r="F26" i="68" s="1"/>
  <c r="C27" i="68" s="1"/>
  <c r="Y80" i="49"/>
  <c r="X74" i="49"/>
  <c r="AV82" i="49"/>
  <c r="AU81" i="49"/>
  <c r="AV17" i="49"/>
  <c r="AT17" i="49"/>
  <c r="B63" i="49"/>
  <c r="P40" i="49"/>
  <c r="M31" i="49"/>
  <c r="T22" i="49"/>
  <c r="S22" i="49"/>
  <c r="BC118" i="49"/>
  <c r="AU112" i="49" s="1"/>
  <c r="AT112" i="49" s="1"/>
  <c r="L49" i="61"/>
  <c r="H49" i="61"/>
  <c r="D27" i="68" l="1"/>
  <c r="F27" i="68" s="1"/>
  <c r="C28" i="68" s="1"/>
  <c r="Y130" i="49"/>
  <c r="AV112" i="49"/>
  <c r="AV113" i="49"/>
  <c r="AT113" i="49" s="1"/>
  <c r="AU113" i="49"/>
  <c r="T58" i="61"/>
  <c r="U59" i="61"/>
  <c r="N6" i="61"/>
  <c r="M6" i="61"/>
  <c r="F16" i="61" s="1"/>
  <c r="G7" i="61"/>
  <c r="F14" i="61"/>
  <c r="K66" i="61"/>
  <c r="H43" i="61"/>
  <c r="L77" i="61"/>
  <c r="F63" i="61"/>
  <c r="K61" i="61" s="1"/>
  <c r="F59" i="61"/>
  <c r="H57" i="61" s="1"/>
  <c r="F54" i="61"/>
  <c r="F74" i="61"/>
  <c r="K72" i="61" s="1"/>
  <c r="F44" i="61"/>
  <c r="D28" i="68" l="1"/>
  <c r="F28" i="68" s="1"/>
  <c r="BC112" i="49"/>
  <c r="H42" i="61"/>
  <c r="F89" i="61" s="1"/>
  <c r="K52" i="61"/>
  <c r="U53" i="61" s="1"/>
  <c r="BA121" i="49"/>
  <c r="BC121" i="49"/>
  <c r="K42" i="61"/>
  <c r="F15" i="61"/>
  <c r="L43" i="61"/>
  <c r="L57" i="61"/>
  <c r="F13" i="61"/>
  <c r="BA114" i="49" l="1"/>
  <c r="BC114" i="49"/>
  <c r="AV110" i="49" s="1"/>
  <c r="AT115" i="49"/>
  <c r="AU115" i="49"/>
  <c r="AV116" i="49"/>
  <c r="AU116" i="49"/>
  <c r="AV115" i="49"/>
  <c r="AT116" i="49"/>
  <c r="AE22" i="49" s="1"/>
  <c r="T52" i="61"/>
  <c r="T62" i="61" s="1"/>
  <c r="U68" i="61"/>
  <c r="T67" i="61"/>
  <c r="L81" i="61"/>
  <c r="F88" i="61"/>
  <c r="G10" i="61"/>
  <c r="A11" i="58"/>
  <c r="F40" i="30"/>
  <c r="D108" i="36"/>
  <c r="D98" i="36"/>
  <c r="C106" i="36" s="1"/>
  <c r="H50" i="18"/>
  <c r="D56" i="18"/>
  <c r="AU109" i="49" l="1"/>
  <c r="AD80" i="49" s="1"/>
  <c r="BE113" i="49"/>
  <c r="AE40" i="49"/>
  <c r="AD118" i="49"/>
  <c r="AD70" i="49"/>
  <c r="AE12" i="49"/>
  <c r="AE70" i="49"/>
  <c r="AE46" i="49"/>
  <c r="AD46" i="49"/>
  <c r="AD12" i="49"/>
  <c r="AE80" i="49"/>
  <c r="AD88" i="49"/>
  <c r="AD22" i="49"/>
  <c r="AE88" i="49"/>
  <c r="C105" i="36"/>
  <c r="E12" i="61"/>
  <c r="F95" i="61"/>
  <c r="B19" i="38"/>
  <c r="C70" i="16"/>
  <c r="AU119" i="49" l="1"/>
  <c r="AV119" i="49" s="1"/>
  <c r="AV120" i="49" s="1"/>
  <c r="B23" i="38"/>
  <c r="B24" i="38" s="1"/>
  <c r="B33" i="38" s="1"/>
  <c r="C23" i="38"/>
  <c r="AU121" i="49" l="1"/>
  <c r="AU120" i="49"/>
  <c r="AD40" i="49" s="1"/>
  <c r="AV121" i="49"/>
  <c r="AE118" i="49" s="1"/>
  <c r="Q118" i="49"/>
  <c r="T80" i="49"/>
  <c r="U80" i="49"/>
  <c r="AA107" i="56"/>
  <c r="AA106" i="56"/>
  <c r="AA105" i="56"/>
  <c r="AA104" i="56"/>
  <c r="AA95" i="56"/>
  <c r="AA88" i="56"/>
  <c r="AA85" i="56"/>
  <c r="AA80" i="56"/>
  <c r="AA77" i="56"/>
  <c r="AA67" i="56"/>
  <c r="D113" i="56"/>
  <c r="D112" i="56"/>
  <c r="D108" i="56"/>
  <c r="D73" i="56"/>
  <c r="D94" i="56" s="1"/>
  <c r="D98" i="56" s="1"/>
  <c r="D100" i="56" s="1"/>
  <c r="D114" i="56" s="1"/>
  <c r="D58" i="56"/>
  <c r="D57" i="56"/>
  <c r="D49" i="56"/>
  <c r="D39" i="56"/>
  <c r="D43" i="56" s="1"/>
  <c r="D59" i="56" s="1"/>
  <c r="D26" i="56"/>
  <c r="D20" i="56"/>
  <c r="D27" i="56" s="1"/>
  <c r="U40" i="49"/>
  <c r="S40" i="49"/>
  <c r="O35" i="56"/>
  <c r="AM20" i="56"/>
  <c r="E35" i="56"/>
  <c r="AA32" i="56"/>
  <c r="AA33" i="56"/>
  <c r="AA34" i="56"/>
  <c r="AA31" i="56"/>
  <c r="AA23" i="56"/>
  <c r="AA24" i="56"/>
  <c r="AA25" i="56"/>
  <c r="AA17" i="56"/>
  <c r="AA19" i="56"/>
  <c r="AA16" i="56"/>
  <c r="AA14" i="56"/>
  <c r="AA12" i="56"/>
  <c r="AA46" i="56"/>
  <c r="AA53" i="56"/>
  <c r="AA54" i="56"/>
  <c r="AA55" i="56"/>
  <c r="AA56" i="56"/>
  <c r="AA52" i="56"/>
  <c r="AA48" i="56"/>
  <c r="AA47" i="56"/>
  <c r="AA40" i="56"/>
  <c r="AA38" i="56"/>
  <c r="N93" i="56"/>
  <c r="N70" i="56"/>
  <c r="M22" i="56"/>
  <c r="M18" i="56"/>
  <c r="L91" i="56"/>
  <c r="I93" i="56"/>
  <c r="F18" i="56"/>
  <c r="E74" i="56"/>
  <c r="AA122" i="56"/>
  <c r="M118" i="56"/>
  <c r="AA118" i="56" s="1"/>
  <c r="AM44" i="56"/>
  <c r="AM36" i="56"/>
  <c r="AF34" i="56" s="1"/>
  <c r="L18" i="56" s="1"/>
  <c r="G35" i="56"/>
  <c r="AM30" i="56"/>
  <c r="AM54" i="56" s="1"/>
  <c r="AM24" i="56"/>
  <c r="AF19" i="56" s="1"/>
  <c r="AJ24" i="56"/>
  <c r="AJ21" i="56"/>
  <c r="AM19" i="56"/>
  <c r="K18" i="56"/>
  <c r="J18" i="56"/>
  <c r="H18" i="56"/>
  <c r="AJ16" i="56"/>
  <c r="AL10" i="56"/>
  <c r="AM11" i="56" s="1"/>
  <c r="AM12" i="56" s="1"/>
  <c r="G111" i="49"/>
  <c r="G110" i="49"/>
  <c r="G105" i="49"/>
  <c r="G106" i="49"/>
  <c r="G107" i="49"/>
  <c r="G104" i="49"/>
  <c r="G99" i="49"/>
  <c r="AH99" i="49" s="1"/>
  <c r="G95" i="49"/>
  <c r="G91" i="49"/>
  <c r="G88" i="49"/>
  <c r="G85" i="49"/>
  <c r="G80" i="49"/>
  <c r="G77" i="49"/>
  <c r="G74" i="49"/>
  <c r="G70" i="49"/>
  <c r="G67" i="49"/>
  <c r="G53" i="49"/>
  <c r="G54" i="49"/>
  <c r="G55" i="49"/>
  <c r="G56" i="49"/>
  <c r="G52" i="49"/>
  <c r="G46" i="49"/>
  <c r="G40" i="49"/>
  <c r="G38" i="49"/>
  <c r="G47" i="49"/>
  <c r="G48" i="49"/>
  <c r="G31" i="49"/>
  <c r="G35" i="49"/>
  <c r="G32" i="49"/>
  <c r="G33" i="49"/>
  <c r="G34" i="49"/>
  <c r="G23" i="49"/>
  <c r="G24" i="49"/>
  <c r="G25" i="49"/>
  <c r="G22" i="49"/>
  <c r="G17" i="49"/>
  <c r="G18" i="49"/>
  <c r="G19" i="49"/>
  <c r="G16" i="49"/>
  <c r="G14" i="49"/>
  <c r="G12" i="49"/>
  <c r="F112" i="49"/>
  <c r="F108" i="49"/>
  <c r="F73" i="49"/>
  <c r="F94" i="49" s="1"/>
  <c r="F98" i="49" s="1"/>
  <c r="F100" i="49" s="1"/>
  <c r="F57" i="49"/>
  <c r="F49" i="49"/>
  <c r="F39" i="49"/>
  <c r="F43" i="49" s="1"/>
  <c r="F26" i="49"/>
  <c r="F20" i="49"/>
  <c r="AN85" i="46"/>
  <c r="AO85" i="46"/>
  <c r="AO84" i="46"/>
  <c r="AN84" i="46"/>
  <c r="AM84" i="46" s="1"/>
  <c r="AM85" i="46"/>
  <c r="AN98" i="46"/>
  <c r="AO97" i="46"/>
  <c r="AV96" i="46"/>
  <c r="AV98" i="46"/>
  <c r="AN94" i="46"/>
  <c r="AV26" i="46"/>
  <c r="AS23" i="46"/>
  <c r="AV103" i="49"/>
  <c r="BC105" i="49"/>
  <c r="AU101" i="49" s="1"/>
  <c r="BD5" i="49"/>
  <c r="BE5" i="49" s="1"/>
  <c r="D68" i="40"/>
  <c r="D5" i="41"/>
  <c r="D61" i="40"/>
  <c r="D58" i="40"/>
  <c r="BC135" i="49" l="1"/>
  <c r="AE130" i="49"/>
  <c r="D63" i="40"/>
  <c r="C64" i="40"/>
  <c r="C63" i="40"/>
  <c r="D64" i="40"/>
  <c r="AE18" i="56"/>
  <c r="AF4" i="56"/>
  <c r="F74" i="56" s="1"/>
  <c r="AA74" i="56" s="1"/>
  <c r="AE3" i="56"/>
  <c r="E18" i="56" s="1"/>
  <c r="F27" i="49"/>
  <c r="F58" i="49"/>
  <c r="F59" i="49" s="1"/>
  <c r="F113" i="49"/>
  <c r="F114" i="49" s="1"/>
  <c r="G26" i="49"/>
  <c r="C70" i="40"/>
  <c r="D71" i="40"/>
  <c r="AA112" i="56"/>
  <c r="AA57" i="56"/>
  <c r="AA108" i="56"/>
  <c r="F35" i="56"/>
  <c r="AA49" i="56"/>
  <c r="AM47" i="56"/>
  <c r="AM50" i="56" s="1"/>
  <c r="AM21" i="56"/>
  <c r="AE15" i="56" s="1"/>
  <c r="AE33" i="56"/>
  <c r="K91" i="56" s="1"/>
  <c r="AA91" i="56" s="1"/>
  <c r="AE28" i="56"/>
  <c r="I18" i="56" s="1"/>
  <c r="AM55" i="56"/>
  <c r="AF29" i="56"/>
  <c r="J93" i="56" s="1"/>
  <c r="AN95" i="46"/>
  <c r="AO96" i="46"/>
  <c r="BC106" i="49"/>
  <c r="AU100" i="49"/>
  <c r="AV24" i="49"/>
  <c r="BB29" i="49"/>
  <c r="AH122" i="49"/>
  <c r="V118" i="49"/>
  <c r="T118" i="49"/>
  <c r="R118" i="49"/>
  <c r="E112" i="49"/>
  <c r="D112" i="49"/>
  <c r="AH111" i="49"/>
  <c r="AH110" i="49"/>
  <c r="E108" i="49"/>
  <c r="D108" i="49"/>
  <c r="AH107" i="49"/>
  <c r="AH106" i="49"/>
  <c r="AH105" i="49"/>
  <c r="AH104" i="49"/>
  <c r="AH95" i="49"/>
  <c r="U91" i="49"/>
  <c r="S91" i="49"/>
  <c r="R91" i="49"/>
  <c r="AH88" i="49"/>
  <c r="AH85" i="49"/>
  <c r="S80" i="49"/>
  <c r="BC91" i="49"/>
  <c r="AV88" i="49"/>
  <c r="AH77" i="49"/>
  <c r="AH74" i="49"/>
  <c r="E73" i="49"/>
  <c r="E94" i="49" s="1"/>
  <c r="E98" i="49" s="1"/>
  <c r="E100" i="49" s="1"/>
  <c r="D73" i="49"/>
  <c r="D94" i="49" s="1"/>
  <c r="D98" i="49" s="1"/>
  <c r="D100" i="49" s="1"/>
  <c r="U70" i="49"/>
  <c r="T70" i="49"/>
  <c r="S70" i="49"/>
  <c r="R70" i="49"/>
  <c r="W67" i="49"/>
  <c r="U67" i="49"/>
  <c r="T67" i="49"/>
  <c r="S67" i="49"/>
  <c r="R67" i="49"/>
  <c r="BC73" i="49"/>
  <c r="BC75" i="49" s="1"/>
  <c r="AV70" i="49"/>
  <c r="W70" i="49" s="1"/>
  <c r="AU69" i="49"/>
  <c r="E57" i="49"/>
  <c r="D57" i="49"/>
  <c r="AH56" i="49"/>
  <c r="AH55" i="49"/>
  <c r="AH54" i="49"/>
  <c r="S52" i="49"/>
  <c r="BC66" i="49"/>
  <c r="AV65" i="49" s="1"/>
  <c r="E49" i="49"/>
  <c r="D49" i="49"/>
  <c r="AH48" i="49"/>
  <c r="AV58" i="49"/>
  <c r="AU57" i="49"/>
  <c r="R52" i="49" s="1"/>
  <c r="AH46" i="49"/>
  <c r="AV55" i="49"/>
  <c r="AU54" i="49"/>
  <c r="R25" i="49" s="1"/>
  <c r="BC52" i="49"/>
  <c r="BC126" i="49" s="1"/>
  <c r="AZ52" i="49"/>
  <c r="W40" i="49"/>
  <c r="R40" i="49"/>
  <c r="E39" i="49"/>
  <c r="E43" i="49" s="1"/>
  <c r="D39" i="49"/>
  <c r="D43" i="49" s="1"/>
  <c r="AH38" i="49"/>
  <c r="BC47" i="49"/>
  <c r="AV42" i="49" s="1"/>
  <c r="AZ47" i="49"/>
  <c r="T35" i="49"/>
  <c r="S35" i="49"/>
  <c r="R35" i="49"/>
  <c r="M35" i="49"/>
  <c r="AZ44" i="49"/>
  <c r="AH32" i="49"/>
  <c r="L31" i="49"/>
  <c r="AZ39" i="49"/>
  <c r="E26" i="49"/>
  <c r="S25" i="49"/>
  <c r="AH24" i="49"/>
  <c r="R23" i="49"/>
  <c r="D26" i="49"/>
  <c r="V22" i="49"/>
  <c r="U22" i="49"/>
  <c r="R22" i="49"/>
  <c r="E20" i="49"/>
  <c r="D20" i="49"/>
  <c r="AH19" i="49"/>
  <c r="AH18" i="49"/>
  <c r="M17" i="49"/>
  <c r="L17" i="49"/>
  <c r="AH16" i="49"/>
  <c r="AV15" i="49"/>
  <c r="AU14" i="49"/>
  <c r="L14" i="49"/>
  <c r="BO15" i="49"/>
  <c r="BO16" i="49" s="1"/>
  <c r="AU12" i="49"/>
  <c r="AU11" i="49"/>
  <c r="AU10" i="49"/>
  <c r="K36" i="46"/>
  <c r="L31" i="46"/>
  <c r="L10" i="46"/>
  <c r="K10" i="46"/>
  <c r="AV31" i="46"/>
  <c r="AO27" i="46" s="1"/>
  <c r="AS31" i="46"/>
  <c r="P21" i="46"/>
  <c r="AV47" i="46"/>
  <c r="AV27" i="46"/>
  <c r="E48" i="46"/>
  <c r="E53" i="46" s="1"/>
  <c r="D19" i="46"/>
  <c r="F19" i="46" s="1"/>
  <c r="P48" i="46"/>
  <c r="O19" i="46"/>
  <c r="Q66" i="46"/>
  <c r="R76" i="46"/>
  <c r="Q76" i="46"/>
  <c r="R87" i="46"/>
  <c r="P87" i="46"/>
  <c r="O87" i="46"/>
  <c r="AA81" i="46"/>
  <c r="AA73" i="46"/>
  <c r="AV57" i="46"/>
  <c r="AV59" i="46" s="1"/>
  <c r="AV81" i="46"/>
  <c r="AV75" i="46"/>
  <c r="AV76" i="46" s="1"/>
  <c r="AN71" i="46" s="1"/>
  <c r="T36" i="46"/>
  <c r="R36" i="46"/>
  <c r="P36" i="46"/>
  <c r="S114" i="46"/>
  <c r="O66" i="46"/>
  <c r="P66" i="46"/>
  <c r="R66" i="46"/>
  <c r="O63" i="46"/>
  <c r="P63" i="46"/>
  <c r="T63" i="46"/>
  <c r="Q63" i="46"/>
  <c r="R63" i="46"/>
  <c r="O36" i="46"/>
  <c r="S18" i="46"/>
  <c r="R18" i="46"/>
  <c r="Q18" i="46"/>
  <c r="O18" i="46"/>
  <c r="O31" i="46"/>
  <c r="P31" i="46"/>
  <c r="M36" i="46"/>
  <c r="I10" i="46"/>
  <c r="Q31" i="46"/>
  <c r="AO43" i="46"/>
  <c r="AN42" i="46"/>
  <c r="O48" i="46" s="1"/>
  <c r="AO40" i="46"/>
  <c r="P19" i="46" s="1"/>
  <c r="AN39" i="46"/>
  <c r="O21" i="46" s="1"/>
  <c r="Y36" i="46"/>
  <c r="Q114" i="46"/>
  <c r="AO73" i="46"/>
  <c r="AV80" i="46"/>
  <c r="AO79" i="46" s="1"/>
  <c r="BH9" i="46"/>
  <c r="BH10" i="46" s="1"/>
  <c r="AV15" i="46" s="1"/>
  <c r="AV9" i="46" s="1"/>
  <c r="O114" i="46"/>
  <c r="P76" i="46"/>
  <c r="AO55" i="46"/>
  <c r="T66" i="46" s="1"/>
  <c r="AA118" i="46"/>
  <c r="E108" i="46"/>
  <c r="D108" i="46"/>
  <c r="F107" i="46"/>
  <c r="F106" i="46"/>
  <c r="AA106" i="46" s="1"/>
  <c r="E104" i="46"/>
  <c r="D104" i="46"/>
  <c r="F103" i="46"/>
  <c r="AA103" i="46" s="1"/>
  <c r="F102" i="46"/>
  <c r="AA102" i="46" s="1"/>
  <c r="F101" i="46"/>
  <c r="F100" i="46"/>
  <c r="AA100" i="46" s="1"/>
  <c r="F95" i="46"/>
  <c r="AA95" i="46" s="1"/>
  <c r="F91" i="46"/>
  <c r="AA91" i="46" s="1"/>
  <c r="F87" i="46"/>
  <c r="F84" i="46"/>
  <c r="AA84" i="46" s="1"/>
  <c r="F81" i="46"/>
  <c r="F76" i="46"/>
  <c r="F73" i="46"/>
  <c r="F70" i="46"/>
  <c r="AA70" i="46" s="1"/>
  <c r="E69" i="46"/>
  <c r="E90" i="46" s="1"/>
  <c r="E94" i="46" s="1"/>
  <c r="E96" i="46" s="1"/>
  <c r="D69" i="46"/>
  <c r="D90" i="46" s="1"/>
  <c r="D94" i="46" s="1"/>
  <c r="D96" i="46" s="1"/>
  <c r="F66" i="46"/>
  <c r="F63" i="46"/>
  <c r="AN54" i="46"/>
  <c r="S63" i="46" s="1"/>
  <c r="AV50" i="46"/>
  <c r="AV49" i="46" s="1"/>
  <c r="AO47" i="46" s="1"/>
  <c r="AV85" i="46"/>
  <c r="Z36" i="46"/>
  <c r="AN10" i="46"/>
  <c r="G36" i="46"/>
  <c r="Z31" i="46"/>
  <c r="J13" i="46"/>
  <c r="J31" i="46"/>
  <c r="J27" i="46"/>
  <c r="I27" i="46"/>
  <c r="I13" i="46"/>
  <c r="F13" i="46"/>
  <c r="AN8" i="46"/>
  <c r="AV36" i="46"/>
  <c r="AV86" i="46" s="1"/>
  <c r="AS36" i="46"/>
  <c r="AS28" i="46"/>
  <c r="AN19" i="46"/>
  <c r="O76" i="46" s="1"/>
  <c r="AN6" i="46"/>
  <c r="AO11" i="46"/>
  <c r="D53" i="46"/>
  <c r="F52" i="46"/>
  <c r="AA52" i="46" s="1"/>
  <c r="F51" i="46"/>
  <c r="AA51" i="46" s="1"/>
  <c r="F50" i="46"/>
  <c r="AA50" i="46" s="1"/>
  <c r="F49" i="46"/>
  <c r="AA49" i="46" s="1"/>
  <c r="F48" i="46"/>
  <c r="E45" i="46"/>
  <c r="D45" i="46"/>
  <c r="F44" i="46"/>
  <c r="AA44" i="46" s="1"/>
  <c r="F43" i="46"/>
  <c r="AA43" i="46" s="1"/>
  <c r="F42" i="46"/>
  <c r="AA42" i="46" s="1"/>
  <c r="F36" i="46"/>
  <c r="E35" i="46"/>
  <c r="E39" i="46" s="1"/>
  <c r="D35" i="46"/>
  <c r="D39" i="46" s="1"/>
  <c r="F34" i="46"/>
  <c r="AA34" i="46" s="1"/>
  <c r="F31" i="46"/>
  <c r="F30" i="46"/>
  <c r="AA30" i="46" s="1"/>
  <c r="F29" i="46"/>
  <c r="F28" i="46"/>
  <c r="AA28" i="46" s="1"/>
  <c r="F27" i="46"/>
  <c r="E22" i="46"/>
  <c r="F21" i="46"/>
  <c r="F20" i="46"/>
  <c r="AA20" i="46" s="1"/>
  <c r="F18" i="46"/>
  <c r="E16" i="46"/>
  <c r="D16" i="46"/>
  <c r="F15" i="46"/>
  <c r="AA15" i="46" s="1"/>
  <c r="F14" i="46"/>
  <c r="AA14" i="46" s="1"/>
  <c r="F12" i="46"/>
  <c r="AA12" i="46" s="1"/>
  <c r="F10" i="46"/>
  <c r="F8" i="46"/>
  <c r="AE41" i="56" l="1"/>
  <c r="M70" i="56" s="1"/>
  <c r="AA70" i="56" s="1"/>
  <c r="AA73" i="56" s="1"/>
  <c r="AA94" i="56" s="1"/>
  <c r="AA98" i="56" s="1"/>
  <c r="AA100" i="56" s="1"/>
  <c r="AF42" i="56"/>
  <c r="N18" i="56" s="1"/>
  <c r="BC44" i="49"/>
  <c r="AV38" i="49" s="1"/>
  <c r="G18" i="56"/>
  <c r="AE46" i="56"/>
  <c r="M93" i="56" s="1"/>
  <c r="AM56" i="56"/>
  <c r="AM57" i="56" s="1"/>
  <c r="AF54" i="56" s="1"/>
  <c r="P35" i="56" s="1"/>
  <c r="BC131" i="49"/>
  <c r="V67" i="49"/>
  <c r="AH67" i="49" s="1"/>
  <c r="AA113" i="56"/>
  <c r="AA58" i="56"/>
  <c r="AF47" i="56"/>
  <c r="N22" i="56" s="1"/>
  <c r="AA22" i="56" s="1"/>
  <c r="AA26" i="56" s="1"/>
  <c r="AF16" i="56"/>
  <c r="H35" i="56" s="1"/>
  <c r="D113" i="49"/>
  <c r="D114" i="49" s="1"/>
  <c r="BC92" i="49"/>
  <c r="BC127" i="49" s="1"/>
  <c r="AU96" i="49"/>
  <c r="AV99" i="46"/>
  <c r="AV100" i="46" s="1"/>
  <c r="AM98" i="46" s="1"/>
  <c r="AN26" i="46"/>
  <c r="AU42" i="49"/>
  <c r="AT42" i="49"/>
  <c r="AV41" i="49"/>
  <c r="AU41" i="49"/>
  <c r="AT41" i="49" s="1"/>
  <c r="S23" i="49"/>
  <c r="AH112" i="49"/>
  <c r="BA27" i="49"/>
  <c r="BC30" i="49" s="1"/>
  <c r="E27" i="49"/>
  <c r="E58" i="49"/>
  <c r="E59" i="49" s="1"/>
  <c r="D58" i="49"/>
  <c r="D59" i="49" s="1"/>
  <c r="G112" i="49"/>
  <c r="E113" i="49"/>
  <c r="E114" i="49" s="1"/>
  <c r="BC76" i="49"/>
  <c r="G73" i="49"/>
  <c r="AH52" i="49"/>
  <c r="AV49" i="49"/>
  <c r="Q40" i="49" s="1"/>
  <c r="G57" i="49"/>
  <c r="G49" i="49"/>
  <c r="G20" i="49"/>
  <c r="D27" i="49"/>
  <c r="AH108" i="49"/>
  <c r="G39" i="49"/>
  <c r="G43" i="49" s="1"/>
  <c r="G108" i="49"/>
  <c r="AU48" i="49"/>
  <c r="P118" i="49" s="1"/>
  <c r="AU64" i="49"/>
  <c r="T40" i="49" s="1"/>
  <c r="AH53" i="49"/>
  <c r="BC65" i="49"/>
  <c r="AH47" i="49"/>
  <c r="AH49" i="49" s="1"/>
  <c r="AV87" i="46"/>
  <c r="D22" i="46"/>
  <c r="AA63" i="46"/>
  <c r="AA48" i="46"/>
  <c r="AA53" i="46" s="1"/>
  <c r="AA21" i="46"/>
  <c r="AA19" i="46"/>
  <c r="AN72" i="46"/>
  <c r="W8" i="46" s="1"/>
  <c r="AM72" i="46"/>
  <c r="W114" i="46" s="1"/>
  <c r="AV77" i="46"/>
  <c r="X36" i="46"/>
  <c r="X76" i="46"/>
  <c r="W76" i="46"/>
  <c r="AA76" i="46" s="1"/>
  <c r="AO72" i="46"/>
  <c r="X70" i="46"/>
  <c r="AO82" i="46"/>
  <c r="AV28" i="46"/>
  <c r="AO24" i="46" s="1"/>
  <c r="L36" i="46" s="1"/>
  <c r="X8" i="46"/>
  <c r="AN78" i="46"/>
  <c r="AV88" i="46"/>
  <c r="F104" i="46"/>
  <c r="F108" i="46"/>
  <c r="D109" i="46"/>
  <c r="D110" i="46" s="1"/>
  <c r="AA101" i="46"/>
  <c r="AA104" i="46" s="1"/>
  <c r="E109" i="46"/>
  <c r="E110" i="46" s="1"/>
  <c r="AV60" i="46"/>
  <c r="AV63" i="46" s="1"/>
  <c r="F69" i="46"/>
  <c r="F90" i="46" s="1"/>
  <c r="F94" i="46" s="1"/>
  <c r="F96" i="46" s="1"/>
  <c r="AA107" i="46"/>
  <c r="AA108" i="46" s="1"/>
  <c r="AN46" i="46"/>
  <c r="Q87" i="46" s="1"/>
  <c r="AN49" i="46"/>
  <c r="Q36" i="46" s="1"/>
  <c r="AO50" i="46"/>
  <c r="R31" i="46" s="1"/>
  <c r="AV10" i="46"/>
  <c r="AV16" i="46" s="1"/>
  <c r="AN7" i="46"/>
  <c r="F45" i="46"/>
  <c r="AN33" i="46"/>
  <c r="AO34" i="46"/>
  <c r="N36" i="46" s="1"/>
  <c r="D23" i="46"/>
  <c r="E23" i="46"/>
  <c r="E54" i="46"/>
  <c r="E55" i="46" s="1"/>
  <c r="F35" i="46"/>
  <c r="F39" i="46" s="1"/>
  <c r="AA45" i="46"/>
  <c r="F22" i="46"/>
  <c r="D54" i="46"/>
  <c r="D55" i="46" s="1"/>
  <c r="F53" i="46"/>
  <c r="F16" i="46"/>
  <c r="AA18" i="56" l="1"/>
  <c r="AA20" i="56" s="1"/>
  <c r="AA27" i="56" s="1"/>
  <c r="AU39" i="49"/>
  <c r="AT38" i="49"/>
  <c r="O14" i="49" s="1"/>
  <c r="AT39" i="49"/>
  <c r="AU38" i="49"/>
  <c r="AV39" i="49"/>
  <c r="AV97" i="49"/>
  <c r="AH23" i="49"/>
  <c r="Q130" i="49"/>
  <c r="O35" i="49"/>
  <c r="AU93" i="49"/>
  <c r="BC129" i="49"/>
  <c r="AU86" i="49"/>
  <c r="AV87" i="49" s="1"/>
  <c r="AV94" i="49"/>
  <c r="G94" i="49"/>
  <c r="G98" i="49" s="1"/>
  <c r="G100" i="49" s="1"/>
  <c r="AA35" i="56"/>
  <c r="AA39" i="56" s="1"/>
  <c r="AA43" i="56" s="1"/>
  <c r="AA59" i="56" s="1"/>
  <c r="AA114" i="56"/>
  <c r="AA119" i="56" s="1"/>
  <c r="AA117" i="56" s="1"/>
  <c r="AE53" i="56"/>
  <c r="BC93" i="49"/>
  <c r="AO98" i="46"/>
  <c r="AM9" i="46" a="1"/>
  <c r="AM9" i="46" s="1"/>
  <c r="H29" i="46" s="1"/>
  <c r="AV20" i="46"/>
  <c r="G113" i="49"/>
  <c r="AH113" i="49"/>
  <c r="BC31" i="49"/>
  <c r="AU22" i="49"/>
  <c r="AV72" i="49"/>
  <c r="AU71" i="49"/>
  <c r="BC79" i="49"/>
  <c r="AV76" i="49" s="1"/>
  <c r="BC133" i="49" s="1"/>
  <c r="G27" i="49"/>
  <c r="G58" i="49"/>
  <c r="G59" i="49" s="1"/>
  <c r="AH57" i="49"/>
  <c r="AH58" i="49" s="1"/>
  <c r="AU61" i="49"/>
  <c r="T91" i="49" s="1"/>
  <c r="AH91" i="49" s="1"/>
  <c r="BC130" i="49"/>
  <c r="AV62" i="49"/>
  <c r="U35" i="49" s="1"/>
  <c r="W70" i="46"/>
  <c r="AA8" i="46"/>
  <c r="AO76" i="46"/>
  <c r="X114" i="46" s="1"/>
  <c r="AN75" i="46"/>
  <c r="W36" i="46" s="1"/>
  <c r="AN23" i="46"/>
  <c r="K31" i="46" s="1"/>
  <c r="AA87" i="46"/>
  <c r="AN81" i="46"/>
  <c r="F109" i="46"/>
  <c r="F110" i="46" s="1"/>
  <c r="AN56" i="46"/>
  <c r="S66" i="46" s="1"/>
  <c r="AA66" i="46" s="1"/>
  <c r="AA109" i="46"/>
  <c r="AO57" i="46"/>
  <c r="T18" i="46" s="1"/>
  <c r="M114" i="46"/>
  <c r="AA54" i="46"/>
  <c r="F54" i="46"/>
  <c r="F55" i="46" s="1"/>
  <c r="AN9" i="46"/>
  <c r="AO12" i="46"/>
  <c r="H36" i="46" s="1"/>
  <c r="F23" i="46"/>
  <c r="N14" i="49" l="1"/>
  <c r="N35" i="49"/>
  <c r="O40" i="49"/>
  <c r="N40" i="49"/>
  <c r="AT87" i="49"/>
  <c r="Z74" i="49" s="1"/>
  <c r="AU87" i="49"/>
  <c r="AV91" i="49"/>
  <c r="BC128" i="49"/>
  <c r="BC132" i="49"/>
  <c r="V70" i="49"/>
  <c r="AH70" i="49" s="1"/>
  <c r="AH73" i="49" s="1"/>
  <c r="G114" i="49"/>
  <c r="AA123" i="56"/>
  <c r="AA121" i="56" s="1"/>
  <c r="AU90" i="49"/>
  <c r="Z40" i="49" s="1"/>
  <c r="H10" i="46"/>
  <c r="G31" i="46"/>
  <c r="H27" i="46"/>
  <c r="H31" i="46"/>
  <c r="G13" i="46"/>
  <c r="AA13" i="46" s="1"/>
  <c r="H13" i="46"/>
  <c r="G27" i="46"/>
  <c r="AA27" i="46" s="1"/>
  <c r="G10" i="46"/>
  <c r="AA10" i="46" s="1"/>
  <c r="G29" i="46"/>
  <c r="AA29" i="46" s="1"/>
  <c r="AO20" i="46"/>
  <c r="J10" i="46" s="1"/>
  <c r="AN18" i="46"/>
  <c r="I31" i="46" s="1"/>
  <c r="AU23" i="49"/>
  <c r="AV23" i="49"/>
  <c r="AT23" i="49"/>
  <c r="AU75" i="49"/>
  <c r="V40" i="49" s="1"/>
  <c r="W22" i="49"/>
  <c r="AH22" i="49"/>
  <c r="S118" i="49"/>
  <c r="U118" i="49"/>
  <c r="U130" i="49" s="1"/>
  <c r="W118" i="49"/>
  <c r="P18" i="46"/>
  <c r="AA18" i="46" s="1"/>
  <c r="AA22" i="46" s="1"/>
  <c r="AA69" i="46"/>
  <c r="AA90" i="46" s="1"/>
  <c r="AA94" i="46" s="1"/>
  <c r="AA96" i="46" s="1"/>
  <c r="AA110" i="46" s="1"/>
  <c r="AV89" i="46"/>
  <c r="AO61" i="46"/>
  <c r="AN60" i="46"/>
  <c r="S36" i="46" s="1"/>
  <c r="AA36" i="46" s="1"/>
  <c r="D40" i="40"/>
  <c r="C14" i="21"/>
  <c r="C19" i="21" s="1"/>
  <c r="D15" i="21"/>
  <c r="C11" i="21"/>
  <c r="F14" i="41"/>
  <c r="H14" i="41" s="1"/>
  <c r="F13" i="41"/>
  <c r="H13" i="41" s="1"/>
  <c r="B7" i="40" a="1"/>
  <c r="B7" i="40" s="1"/>
  <c r="B5" i="40" a="1"/>
  <c r="B5" i="40" s="1"/>
  <c r="B24" i="40"/>
  <c r="B25" i="40" s="1"/>
  <c r="B26" i="40" s="1"/>
  <c r="B27" i="40" s="1"/>
  <c r="B28" i="40" s="1"/>
  <c r="B33" i="40"/>
  <c r="E4" i="40" a="1"/>
  <c r="E4" i="40" s="1"/>
  <c r="B9" i="40" a="1"/>
  <c r="B9" i="40" s="1"/>
  <c r="O130" i="49" l="1"/>
  <c r="AA118" i="49"/>
  <c r="Z12" i="49"/>
  <c r="AA74" i="49"/>
  <c r="AA40" i="49"/>
  <c r="AA12" i="49"/>
  <c r="Z118" i="49"/>
  <c r="Z80" i="49"/>
  <c r="AA80" i="49"/>
  <c r="W130" i="49"/>
  <c r="J40" i="49"/>
  <c r="K40" i="49"/>
  <c r="K35" i="49"/>
  <c r="J35" i="49"/>
  <c r="R114" i="46"/>
  <c r="T114" i="46"/>
  <c r="P114" i="46"/>
  <c r="AA114" i="46" s="1"/>
  <c r="AV90" i="46"/>
  <c r="AV91" i="46" s="1"/>
  <c r="AA119" i="46"/>
  <c r="AA117" i="46" s="1"/>
  <c r="AA115" i="46"/>
  <c r="AA16" i="46"/>
  <c r="AA23" i="46" s="1"/>
  <c r="C39" i="40"/>
  <c r="D23" i="40"/>
  <c r="E24" i="40"/>
  <c r="E28" i="40"/>
  <c r="E27" i="40"/>
  <c r="E26" i="40"/>
  <c r="E25" i="40"/>
  <c r="AH118" i="49" l="1"/>
  <c r="K130" i="49"/>
  <c r="AH12" i="49"/>
  <c r="AA130" i="49"/>
  <c r="AA113" i="46"/>
  <c r="AO2" i="46"/>
  <c r="F23" i="40"/>
  <c r="C24" i="40" s="1"/>
  <c r="D37" i="40"/>
  <c r="C36" i="40"/>
  <c r="H15" i="41"/>
  <c r="E18" i="41" s="1"/>
  <c r="Y31" i="46" l="1"/>
  <c r="AA31" i="46" s="1"/>
  <c r="AN2" i="46"/>
  <c r="AP2" i="46" s="1"/>
  <c r="E19" i="41"/>
  <c r="F26" i="41"/>
  <c r="D24" i="40"/>
  <c r="F24" i="40" s="1"/>
  <c r="E21" i="41" l="1"/>
  <c r="F22" i="41"/>
  <c r="B21" i="41"/>
  <c r="E22" i="41"/>
  <c r="F21" i="41"/>
  <c r="AA35" i="46"/>
  <c r="AA39" i="46" s="1"/>
  <c r="AA55" i="46" s="1"/>
  <c r="C31" i="40"/>
  <c r="C32" i="40"/>
  <c r="C25" i="40"/>
  <c r="D25" i="40" l="1"/>
  <c r="C33" i="40"/>
  <c r="F25" i="40" l="1"/>
  <c r="C26" i="40" s="1"/>
  <c r="D26" i="40" l="1"/>
  <c r="F26" i="40" s="1"/>
  <c r="C27" i="40" s="1"/>
  <c r="D27" i="40" l="1"/>
  <c r="F27" i="40" s="1"/>
  <c r="C28" i="40" s="1"/>
  <c r="E44" i="30"/>
  <c r="C6" i="21"/>
  <c r="C8" i="21" s="1"/>
  <c r="D12" i="21" s="1"/>
  <c r="C10" i="21" s="1"/>
  <c r="C44" i="39"/>
  <c r="G36" i="39"/>
  <c r="G37" i="39" s="1"/>
  <c r="D43" i="39"/>
  <c r="E43" i="39"/>
  <c r="G13" i="39"/>
  <c r="D49" i="39"/>
  <c r="E49" i="39" s="1"/>
  <c r="D50" i="39"/>
  <c r="E50" i="39" s="1"/>
  <c r="C46" i="39"/>
  <c r="D47" i="39"/>
  <c r="D46" i="39"/>
  <c r="D42" i="39"/>
  <c r="C42" i="39"/>
  <c r="D5" i="39"/>
  <c r="B47" i="39"/>
  <c r="B46" i="39"/>
  <c r="C24" i="39"/>
  <c r="D24" i="39" s="1"/>
  <c r="E23" i="39"/>
  <c r="D23" i="39"/>
  <c r="E15" i="39"/>
  <c r="G15" i="39" s="1"/>
  <c r="D15" i="39"/>
  <c r="E22" i="39"/>
  <c r="G22" i="39" s="1"/>
  <c r="D22" i="39"/>
  <c r="E16" i="39"/>
  <c r="G16" i="39" s="1"/>
  <c r="D16" i="39"/>
  <c r="E13" i="38"/>
  <c r="E14" i="38"/>
  <c r="E15" i="38"/>
  <c r="K71" i="36"/>
  <c r="G16" i="18"/>
  <c r="G19" i="18" s="1"/>
  <c r="C34" i="36"/>
  <c r="D41" i="23"/>
  <c r="C68" i="16"/>
  <c r="D28" i="40" l="1"/>
  <c r="F28" i="40" s="1"/>
  <c r="G38" i="39"/>
  <c r="C43" i="39"/>
  <c r="F15" i="39"/>
  <c r="D33" i="39" s="1"/>
  <c r="F23" i="39"/>
  <c r="C47" i="39"/>
  <c r="E47" i="39" s="1"/>
  <c r="E24" i="39"/>
  <c r="F24" i="39" s="1"/>
  <c r="E46" i="39"/>
  <c r="F16" i="39"/>
  <c r="F17" i="39" s="1"/>
  <c r="F22" i="39"/>
  <c r="E16" i="38"/>
  <c r="C62" i="36"/>
  <c r="C33" i="39" l="1"/>
  <c r="B33" i="39"/>
  <c r="F26" i="39"/>
  <c r="G26" i="39" s="1"/>
  <c r="B34" i="39"/>
  <c r="D34" i="39"/>
  <c r="C34" i="39"/>
  <c r="C34" i="38"/>
  <c r="C29" i="38"/>
  <c r="B28" i="38"/>
  <c r="C61" i="36"/>
  <c r="J23" i="30"/>
  <c r="J22" i="30"/>
  <c r="J21" i="30"/>
  <c r="C133" i="30"/>
  <c r="C132" i="30"/>
  <c r="D134" i="30"/>
  <c r="D66" i="30"/>
  <c r="C65" i="30"/>
  <c r="B37" i="30"/>
  <c r="D37" i="30"/>
  <c r="B42" i="30"/>
  <c r="D44" i="30"/>
  <c r="D21" i="31"/>
  <c r="D20" i="31"/>
  <c r="E9" i="31"/>
  <c r="D14" i="31" s="1"/>
  <c r="E11" i="31"/>
  <c r="E13" i="31"/>
  <c r="E12" i="31"/>
  <c r="C52" i="38" l="1"/>
  <c r="C53" i="38" s="1"/>
  <c r="B57" i="38" s="1"/>
  <c r="C58" i="38" s="1"/>
  <c r="C69" i="36"/>
  <c r="C79" i="36" s="1"/>
  <c r="J24" i="30"/>
  <c r="B28" i="39"/>
  <c r="G28" i="39"/>
  <c r="B35" i="39"/>
  <c r="C35" i="39"/>
  <c r="D35" i="39"/>
  <c r="E22" i="31"/>
  <c r="E85" i="30"/>
  <c r="C102" i="30" s="1"/>
  <c r="E86" i="30"/>
  <c r="E87" i="30"/>
  <c r="E84" i="30"/>
  <c r="C98" i="30" s="1"/>
  <c r="D23" i="30"/>
  <c r="B28" i="30" s="1"/>
  <c r="C70" i="36" l="1"/>
  <c r="C73" i="36" s="1"/>
  <c r="D81" i="36" s="1"/>
  <c r="D84" i="36" s="1"/>
  <c r="C107" i="36"/>
  <c r="H79" i="36"/>
  <c r="D46" i="30"/>
  <c r="F51" i="30"/>
  <c r="D84" i="30"/>
  <c r="C108" i="30"/>
  <c r="D38" i="30"/>
  <c r="B41" i="16"/>
  <c r="C71" i="23"/>
  <c r="C69" i="23"/>
  <c r="F11" i="23"/>
  <c r="C21" i="23"/>
  <c r="B41" i="23"/>
  <c r="C12" i="23"/>
  <c r="C15" i="23" s="1"/>
  <c r="I70" i="18"/>
  <c r="D89" i="18"/>
  <c r="C88" i="18"/>
  <c r="C22" i="21"/>
  <c r="H39" i="18"/>
  <c r="N37" i="18"/>
  <c r="L48" i="18" s="1"/>
  <c r="I69" i="18"/>
  <c r="I68" i="18"/>
  <c r="I75" i="18" s="1"/>
  <c r="I71" i="18"/>
  <c r="C27" i="19"/>
  <c r="C55" i="19"/>
  <c r="B44" i="19"/>
  <c r="C63" i="19" s="1"/>
  <c r="C62" i="19"/>
  <c r="C17" i="19"/>
  <c r="B46" i="19"/>
  <c r="C65" i="19" s="1"/>
  <c r="B45" i="19"/>
  <c r="C64" i="19" s="1"/>
  <c r="I18" i="19"/>
  <c r="I19" i="19"/>
  <c r="I20" i="19"/>
  <c r="I17" i="19"/>
  <c r="F18" i="19"/>
  <c r="B80" i="36" l="1"/>
  <c r="D91" i="36"/>
  <c r="K73" i="36"/>
  <c r="I82" i="36" s="1"/>
  <c r="D80" i="36"/>
  <c r="C90" i="36"/>
  <c r="B81" i="36"/>
  <c r="C80" i="36"/>
  <c r="H80" i="36"/>
  <c r="D97" i="30"/>
  <c r="F19" i="19"/>
  <c r="F20" i="19" s="1"/>
  <c r="G48" i="18"/>
  <c r="G47" i="18"/>
  <c r="D93" i="30"/>
  <c r="C92" i="30"/>
  <c r="C28" i="21"/>
  <c r="D27" i="21"/>
  <c r="C27" i="21"/>
  <c r="B28" i="21"/>
  <c r="D28" i="21"/>
  <c r="D33" i="21"/>
  <c r="C32" i="21"/>
  <c r="B27" i="21"/>
  <c r="D58" i="30"/>
  <c r="D59" i="30" s="1"/>
  <c r="C109" i="30"/>
  <c r="C110" i="30" s="1"/>
  <c r="C113" i="30" s="1"/>
  <c r="C51" i="23"/>
  <c r="C53" i="23" s="1" a="1"/>
  <c r="C53" i="23" s="1"/>
  <c r="C19" i="23"/>
  <c r="C20" i="23" s="1"/>
  <c r="C27" i="23" s="1"/>
  <c r="B46" i="18"/>
  <c r="D46" i="18"/>
  <c r="C46" i="18"/>
  <c r="C57" i="19"/>
  <c r="C30" i="19"/>
  <c r="I21" i="19"/>
  <c r="C20" i="19" s="1"/>
  <c r="C22" i="19" s="1"/>
  <c r="C59" i="30" l="1"/>
  <c r="I81" i="36"/>
  <c r="F84" i="30"/>
  <c r="C85" i="30" s="1"/>
  <c r="D85" i="30" s="1"/>
  <c r="C96" i="30"/>
  <c r="B95" i="30" s="1"/>
  <c r="C121" i="30"/>
  <c r="D122" i="30"/>
  <c r="C28" i="23"/>
  <c r="C39" i="23" s="1"/>
  <c r="C40" i="23"/>
  <c r="C32" i="19"/>
  <c r="I67" i="18"/>
  <c r="I66" i="18"/>
  <c r="G23" i="18"/>
  <c r="B71" i="16"/>
  <c r="C31" i="16"/>
  <c r="C72" i="16"/>
  <c r="E31" i="16"/>
  <c r="M33" i="16" s="1"/>
  <c r="C73" i="16"/>
  <c r="E35" i="16"/>
  <c r="E36" i="16"/>
  <c r="E33" i="16"/>
  <c r="E34" i="16"/>
  <c r="E32" i="16"/>
  <c r="C11" i="9"/>
  <c r="C17" i="9"/>
  <c r="D18" i="9" s="1"/>
  <c r="C10" i="9"/>
  <c r="F10" i="9" s="1"/>
  <c r="F12" i="9"/>
  <c r="H9" i="10"/>
  <c r="I12" i="10"/>
  <c r="D14" i="10"/>
  <c r="C9" i="10"/>
  <c r="E9" i="10" s="1"/>
  <c r="C8" i="10"/>
  <c r="M8" i="9"/>
  <c r="C33" i="19" l="1"/>
  <c r="E33" i="19" s="1"/>
  <c r="B36" i="19"/>
  <c r="E61" i="19"/>
  <c r="B68" i="19" s="1"/>
  <c r="C31" i="23"/>
  <c r="C42" i="23" s="1"/>
  <c r="C64" i="23"/>
  <c r="D70" i="23" s="1"/>
  <c r="D57" i="23"/>
  <c r="F85" i="30"/>
  <c r="C86" i="30" s="1"/>
  <c r="D86" i="30" s="1"/>
  <c r="F86" i="30" s="1"/>
  <c r="C87" i="30" s="1"/>
  <c r="D87" i="30" s="1"/>
  <c r="F87" i="30" s="1"/>
  <c r="D101" i="30"/>
  <c r="C100" i="30"/>
  <c r="C57" i="23"/>
  <c r="D58" i="23"/>
  <c r="B57" i="23"/>
  <c r="C58" i="23"/>
  <c r="B58" i="23"/>
  <c r="I72" i="18"/>
  <c r="C40" i="19"/>
  <c r="B71" i="19" s="1"/>
  <c r="G24" i="18"/>
  <c r="G25" i="18"/>
  <c r="C44" i="16"/>
  <c r="C45" i="16" s="1" a="1"/>
  <c r="C45" i="16" s="1"/>
  <c r="M19" i="16"/>
  <c r="C71" i="16"/>
  <c r="C69" i="16"/>
  <c r="C77" i="16"/>
  <c r="C78" i="16" s="1"/>
  <c r="D31" i="16"/>
  <c r="B33" i="16"/>
  <c r="B34" i="16" s="1"/>
  <c r="B35" i="16" s="1"/>
  <c r="B36" i="16" s="1"/>
  <c r="E25" i="10"/>
  <c r="F11" i="9"/>
  <c r="D14" i="9"/>
  <c r="D8" i="9"/>
  <c r="E34" i="10"/>
  <c r="C18" i="10"/>
  <c r="E8" i="10"/>
  <c r="E11" i="10"/>
  <c r="E12" i="10"/>
  <c r="E13" i="10"/>
  <c r="E19" i="10"/>
  <c r="E20" i="10"/>
  <c r="E21" i="10"/>
  <c r="E22" i="10"/>
  <c r="E23" i="10"/>
  <c r="E26" i="10"/>
  <c r="E27" i="10"/>
  <c r="E28" i="10"/>
  <c r="E29" i="10"/>
  <c r="E30" i="10"/>
  <c r="E31" i="10"/>
  <c r="E32" i="10"/>
  <c r="E35" i="10"/>
  <c r="F7" i="9"/>
  <c r="F13" i="9"/>
  <c r="F21" i="9"/>
  <c r="F6" i="9"/>
  <c r="B4" i="10"/>
  <c r="B2" i="10"/>
  <c r="B4" i="9"/>
  <c r="B2" i="9"/>
  <c r="D16" i="3"/>
  <c r="F16" i="3"/>
  <c r="C16" i="3"/>
  <c r="B16" i="3"/>
  <c r="B4" i="3"/>
  <c r="B4" i="1"/>
  <c r="B2" i="1"/>
  <c r="I76" i="18" l="1"/>
  <c r="H78" i="18"/>
  <c r="L31" i="16"/>
  <c r="D78" i="16"/>
  <c r="H40" i="19"/>
  <c r="F62" i="19"/>
  <c r="L32" i="16"/>
  <c r="M32" i="16"/>
  <c r="C65" i="23"/>
  <c r="D71" i="23" s="1"/>
  <c r="C36" i="18"/>
  <c r="C42" i="19"/>
  <c r="C44" i="19" s="1"/>
  <c r="M45" i="16"/>
  <c r="L18" i="16"/>
  <c r="F31" i="16"/>
  <c r="C32" i="16" s="1"/>
  <c r="D32" i="16" s="1"/>
  <c r="F32" i="16" s="1"/>
  <c r="C40" i="16" s="1"/>
  <c r="D19" i="9"/>
  <c r="D22" i="9" s="1"/>
  <c r="C36" i="10"/>
  <c r="F8" i="9"/>
  <c r="F19" i="9" s="1"/>
  <c r="F22" i="9" s="1"/>
  <c r="E14" i="10"/>
  <c r="E18" i="10" s="1"/>
  <c r="J82" i="18" l="1"/>
  <c r="I81" i="18"/>
  <c r="C81" i="18"/>
  <c r="C84" i="18" s="1"/>
  <c r="C87" i="18"/>
  <c r="B71" i="23"/>
  <c r="C45" i="18"/>
  <c r="C37" i="18"/>
  <c r="F44" i="19"/>
  <c r="C45" i="19"/>
  <c r="F45" i="19" s="1"/>
  <c r="C46" i="19"/>
  <c r="F46" i="19" s="1"/>
  <c r="L44" i="16"/>
  <c r="C33" i="16"/>
  <c r="D33" i="16" s="1"/>
  <c r="F33" i="16" s="1"/>
  <c r="C39" i="16"/>
  <c r="C41" i="16" s="1"/>
  <c r="E24" i="10"/>
  <c r="E36" i="10" s="1"/>
  <c r="D90" i="18" l="1"/>
  <c r="C90" i="18"/>
  <c r="B90" i="18"/>
  <c r="G46" i="19"/>
  <c r="H46" i="19" s="1"/>
  <c r="F65" i="19" s="1"/>
  <c r="G45" i="19"/>
  <c r="H45" i="19" s="1"/>
  <c r="G44" i="19"/>
  <c r="B69" i="19" s="1"/>
  <c r="C40" i="18"/>
  <c r="C34" i="16"/>
  <c r="D34" i="16" s="1"/>
  <c r="F34" i="16" s="1"/>
  <c r="C35" i="16" s="1"/>
  <c r="D35" i="16" s="1"/>
  <c r="F35" i="16" s="1"/>
  <c r="C36" i="16" s="1"/>
  <c r="D36" i="16" s="1"/>
  <c r="F36" i="16" s="1"/>
  <c r="F64" i="19" l="1"/>
  <c r="B70" i="19"/>
  <c r="H44" i="19"/>
  <c r="F63" i="19" s="1"/>
  <c r="D47" i="18"/>
  <c r="D50" i="18" s="1"/>
  <c r="L47" i="18"/>
  <c r="F50" i="61"/>
  <c r="F78" i="61" s="1"/>
  <c r="F86" i="61" l="1"/>
  <c r="K48" i="61"/>
  <c r="K81" i="61" s="1"/>
  <c r="AU17" i="49" l="1"/>
  <c r="BC20" i="49"/>
  <c r="BC14" i="49" s="1"/>
  <c r="M81" i="61"/>
  <c r="F81" i="61"/>
  <c r="F99" i="61" s="1"/>
  <c r="F96" i="61" s="1"/>
  <c r="F97" i="61" s="1"/>
  <c r="F100" i="61" s="1"/>
  <c r="BC15" i="49" l="1"/>
  <c r="BC21" i="49" s="1"/>
  <c r="BC103" i="49" s="1"/>
  <c r="AV16" i="49"/>
  <c r="AV13" i="49" l="1"/>
  <c r="AU13" i="49"/>
  <c r="AU33" i="49"/>
  <c r="L35" i="49" s="1"/>
  <c r="BC125" i="49"/>
  <c r="AU34" i="49"/>
  <c r="R80" i="49" s="1"/>
  <c r="AT13" i="49" a="1"/>
  <c r="AT13" i="49" s="1"/>
  <c r="AV35" i="49" l="1"/>
  <c r="M14" i="49" s="1"/>
  <c r="M130" i="49" s="1"/>
  <c r="S130" i="49"/>
  <c r="AH80" i="49"/>
  <c r="AH94" i="49" s="1"/>
  <c r="AH98" i="49" s="1"/>
  <c r="AH100" i="49" s="1"/>
  <c r="AH114" i="49" s="1"/>
  <c r="I34" i="49"/>
  <c r="H34" i="49"/>
  <c r="H17" i="49"/>
  <c r="I17" i="49"/>
  <c r="I14" i="49"/>
  <c r="H14" i="49"/>
  <c r="I40" i="49"/>
  <c r="H40" i="49"/>
  <c r="I33" i="49"/>
  <c r="H35" i="49"/>
  <c r="H33" i="49"/>
  <c r="H31" i="49"/>
  <c r="I31" i="49"/>
  <c r="I35" i="49"/>
  <c r="BC107" i="49" l="1"/>
  <c r="AV102" i="49"/>
  <c r="AH119" i="49"/>
  <c r="AH117" i="49" s="1"/>
  <c r="AH123" i="49"/>
  <c r="AH121" i="49" s="1"/>
  <c r="AH34" i="49"/>
  <c r="I130" i="49"/>
  <c r="AH17" i="49"/>
  <c r="AH31" i="49"/>
  <c r="AH33" i="49"/>
  <c r="AV104" i="49" l="1"/>
  <c r="AU104" i="49"/>
  <c r="AT104" i="49"/>
  <c r="BC134" i="49"/>
  <c r="BC136" i="49" s="1"/>
  <c r="AB82" i="49" l="1"/>
  <c r="AC25" i="49"/>
  <c r="AC40" i="49"/>
  <c r="AB14" i="49"/>
  <c r="AB40" i="49"/>
  <c r="AB25" i="49"/>
  <c r="AC82" i="49"/>
  <c r="AC14" i="49"/>
  <c r="I31" i="69"/>
  <c r="J31" i="69" s="1"/>
  <c r="K31" i="69" s="1"/>
  <c r="K37" i="69" s="1"/>
  <c r="C44" i="69" s="1"/>
  <c r="C45" i="69" s="1"/>
  <c r="AC130" i="49" l="1"/>
  <c r="AH25" i="49"/>
  <c r="AH26" i="49" s="1"/>
  <c r="AH14" i="49"/>
  <c r="AH20" i="49" s="1"/>
  <c r="D50" i="69"/>
  <c r="C49" i="69"/>
  <c r="AH27" i="49" l="1"/>
  <c r="BD8" i="49"/>
  <c r="BD7" i="49"/>
  <c r="BE6" i="49" s="1"/>
  <c r="BE7" i="49" l="1"/>
  <c r="BE8" i="49" s="1"/>
  <c r="AU123" i="49"/>
  <c r="AT123" i="49" s="1"/>
  <c r="AV123" i="49"/>
  <c r="AV124" i="49"/>
  <c r="AU124" i="49"/>
  <c r="AT124" i="49" s="1"/>
  <c r="AV6" i="49" l="1"/>
  <c r="AG138" i="49" s="1"/>
  <c r="AU6" i="49"/>
  <c r="AF138" i="49" s="1"/>
  <c r="AG35" i="49"/>
  <c r="AG40" i="49"/>
  <c r="AF40" i="49"/>
  <c r="AF35" i="49"/>
  <c r="AG137" i="49" l="1"/>
  <c r="AG139" i="49" s="1"/>
  <c r="AH40" i="49"/>
  <c r="AW6" i="49"/>
  <c r="AF137" i="49"/>
  <c r="AF139" i="49" s="1"/>
  <c r="AH35" i="49"/>
  <c r="AH39" i="49" s="1"/>
  <c r="AG130" i="49"/>
  <c r="AH43" i="49" l="1"/>
  <c r="AH59" i="49"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<sst xmlns="http://schemas.openxmlformats.org/spreadsheetml/2006/main" count="3653" uniqueCount="1990">
  <si>
    <t>Profit before tax</t>
  </si>
  <si>
    <t>Taxation</t>
  </si>
  <si>
    <t>PROFIT FOR THE YEAR</t>
  </si>
  <si>
    <t>Other comprehensive income:</t>
  </si>
  <si>
    <t>Items that will not be reclassified to profit or loss:</t>
  </si>
  <si>
    <t>Gain on property revaluation</t>
  </si>
  <si>
    <t>Gains on investments revaluation</t>
  </si>
  <si>
    <t>Taxation relating to items that will not be reclassified</t>
  </si>
  <si>
    <t>Other comprehensive income for the year, net of tax</t>
  </si>
  <si>
    <t>TOTAL COMPREHENSIVE INCOME FOR THE YEAR</t>
  </si>
  <si>
    <t>£'000</t>
  </si>
  <si>
    <t>Entity</t>
  </si>
  <si>
    <t>Year ended</t>
  </si>
  <si>
    <t>Statement of profit or loss and other comprehensive income</t>
  </si>
  <si>
    <t>Statement of changes in equity</t>
  </si>
  <si>
    <t>At 1 Jan xx</t>
  </si>
  <si>
    <t>Changes for 20xx</t>
  </si>
  <si>
    <t>Share capital</t>
  </si>
  <si>
    <t>Share Premium</t>
  </si>
  <si>
    <t>Retained Earnings</t>
  </si>
  <si>
    <t>Total</t>
  </si>
  <si>
    <t>Issue of shares</t>
  </si>
  <si>
    <t>Issue of bonus shares</t>
  </si>
  <si>
    <t>Dividends</t>
  </si>
  <si>
    <t>Total comprehensive income</t>
  </si>
  <si>
    <t>Transfer</t>
  </si>
  <si>
    <t xml:space="preserve">IAS 1 </t>
  </si>
  <si>
    <t>Presentation of Financial Statements</t>
  </si>
  <si>
    <t>IAS 34</t>
  </si>
  <si>
    <t>Interim Financial Reporting</t>
  </si>
  <si>
    <t>Items that may be reclassified subsequently to profit or loss:</t>
  </si>
  <si>
    <t>Taxation relating to items that may be reclassified</t>
  </si>
  <si>
    <t>Exchange differences on translating foreign operations</t>
  </si>
  <si>
    <t>IAS 8</t>
  </si>
  <si>
    <t>Accounting Policies, Changes in Accounting Estimates and Errors</t>
  </si>
  <si>
    <t xml:space="preserve">IAS 16 </t>
  </si>
  <si>
    <t>PPE</t>
  </si>
  <si>
    <t>IAS 38</t>
  </si>
  <si>
    <t>Intangible Assets</t>
  </si>
  <si>
    <t>FRS 102</t>
  </si>
  <si>
    <t>Accounting Policies, Estimates and Errors</t>
  </si>
  <si>
    <t>Requirements do not differ</t>
  </si>
  <si>
    <t>FRS Equivalent (UK GAAP)</t>
  </si>
  <si>
    <t>IAS Standards</t>
  </si>
  <si>
    <t>IFRS 9</t>
  </si>
  <si>
    <t>Financial Instruments</t>
  </si>
  <si>
    <t>IAS 27</t>
  </si>
  <si>
    <t>Separate Financial Statements</t>
  </si>
  <si>
    <t>Contribution * Unit Variance</t>
  </si>
  <si>
    <t>Difference between actual sales at budget sales price and actual at actual sales price</t>
  </si>
  <si>
    <t>Difference between actual material usage at budgeted/actual materials price</t>
  </si>
  <si>
    <t>Difference in material usage for actual sales, valued at standard cost</t>
  </si>
  <si>
    <t>Difference in labour costs for actual hours worked</t>
  </si>
  <si>
    <t>Difference in hours worked for actual sales, valued at standard cost</t>
  </si>
  <si>
    <t>Difference in actual v budgeted fixed overheads</t>
  </si>
  <si>
    <t>IAS 2</t>
  </si>
  <si>
    <t>Inventories</t>
  </si>
  <si>
    <t>Statement of profit or loss</t>
  </si>
  <si>
    <t>Revenue</t>
  </si>
  <si>
    <t>Cost of Sales</t>
  </si>
  <si>
    <t>GROSS PROFIT</t>
  </si>
  <si>
    <t>Distribution Costs</t>
  </si>
  <si>
    <t>Administration Costs</t>
  </si>
  <si>
    <t>Other Expenses</t>
  </si>
  <si>
    <t>Finance Costs</t>
  </si>
  <si>
    <t>Profit/Loss before tax</t>
  </si>
  <si>
    <t>Profit/Loss for the year</t>
  </si>
  <si>
    <t>Cost of sales</t>
  </si>
  <si>
    <t>Opening Inventory</t>
  </si>
  <si>
    <t>Purchases</t>
  </si>
  <si>
    <t>Closing Inventory</t>
  </si>
  <si>
    <t>Cost of Sales (Opening inventory + Purchases - Closing inventory)</t>
  </si>
  <si>
    <t>Assets</t>
  </si>
  <si>
    <t>Non-current assets</t>
  </si>
  <si>
    <t>Land and Buildings</t>
  </si>
  <si>
    <t>Plant and Machinery</t>
  </si>
  <si>
    <t>Current assets</t>
  </si>
  <si>
    <t>Trade Receivables</t>
  </si>
  <si>
    <t>Total Assets</t>
  </si>
  <si>
    <t>Equity and Liabilities</t>
  </si>
  <si>
    <t>Equity</t>
  </si>
  <si>
    <t>Share Capital</t>
  </si>
  <si>
    <t>Non-current liabilities</t>
  </si>
  <si>
    <t>Debentures</t>
  </si>
  <si>
    <t>Current liabilities</t>
  </si>
  <si>
    <t>Bank overdraft</t>
  </si>
  <si>
    <t>Trade and other payables</t>
  </si>
  <si>
    <t>Current tax payable</t>
  </si>
  <si>
    <t>Total equity and liabilties</t>
  </si>
  <si>
    <t>Adjustments</t>
  </si>
  <si>
    <t>Motor Vehicles</t>
  </si>
  <si>
    <t>Prepayments and Accrued Income</t>
  </si>
  <si>
    <t>Cash and cash equivalents</t>
  </si>
  <si>
    <t>Accruals and deferred income</t>
  </si>
  <si>
    <t>Finance Income</t>
  </si>
  <si>
    <t>Other income</t>
  </si>
  <si>
    <t>Gain on disposal</t>
  </si>
  <si>
    <t>Revalutation Reserve</t>
  </si>
  <si>
    <t xml:space="preserve">Bad debt expense </t>
  </si>
  <si>
    <t>CR 4800</t>
  </si>
  <si>
    <t>TR</t>
  </si>
  <si>
    <t>CR bad debt allowance</t>
  </si>
  <si>
    <t>DR  expense</t>
  </si>
  <si>
    <t>DR -  Loss</t>
  </si>
  <si>
    <t>DR - cash</t>
  </si>
  <si>
    <t>CR  -  cost</t>
  </si>
  <si>
    <t>DR deprn</t>
  </si>
  <si>
    <t>Adjustment 1</t>
  </si>
  <si>
    <t>Adjustment 2</t>
  </si>
  <si>
    <t>Adjustment 3</t>
  </si>
  <si>
    <t>Adjustment 4</t>
  </si>
  <si>
    <t>Adjustment 5</t>
  </si>
  <si>
    <t>Adjustment 6</t>
  </si>
  <si>
    <t>Adjustment 7</t>
  </si>
  <si>
    <t>DR/(CR)</t>
  </si>
  <si>
    <t>Financial Assets</t>
  </si>
  <si>
    <t xml:space="preserve">Classes of PPE:
</t>
  </si>
  <si>
    <t>Analysed into classificatoins such as merchandise, production  supplies, materials, WIP and finished goods</t>
  </si>
  <si>
    <t>IAS 37</t>
  </si>
  <si>
    <t>Provisions</t>
  </si>
  <si>
    <t>Analysed into provisions for employee benefits and others</t>
  </si>
  <si>
    <t>Analysis of expenses:</t>
  </si>
  <si>
    <t xml:space="preserve">Nature </t>
  </si>
  <si>
    <t>Function</t>
  </si>
  <si>
    <t>Admin expenses, distribution costs etc</t>
  </si>
  <si>
    <t>Depreciation, employee benefit expense etc</t>
  </si>
  <si>
    <t xml:space="preserve">OCI comprises items of income or expense (including reclassification adjustments not recognised in profit or loss as requried or permitted by IFRS. </t>
  </si>
  <si>
    <t>Separate disclosure if items material, e.g.:</t>
  </si>
  <si>
    <t>Restructuring costs, litigation settlements, discontinued operations, disposal of PPE</t>
  </si>
  <si>
    <t xml:space="preserve">Provide at least as of the end of first half of the financial year
Make available not later than 60 days after the enf of the interim period
Does not mandate which entities, in practice only listed companies in UK
Separate accounting period. Annual basis items (tax/ volume discounts etc) should be included as a proportion of expected amount.
Same requirements as YE reporting. </t>
  </si>
  <si>
    <t>Secion 4 - SoFP, Section 5 - Statement of OCI and IS</t>
  </si>
  <si>
    <t>Opening Lease Payable</t>
  </si>
  <si>
    <t>Payment</t>
  </si>
  <si>
    <t>Closing Lease payable</t>
  </si>
  <si>
    <t>Interest rate implicit in the lease</t>
  </si>
  <si>
    <t xml:space="preserve">Payble in </t>
  </si>
  <si>
    <t>arrears</t>
  </si>
  <si>
    <t>advance</t>
  </si>
  <si>
    <t>Lease liability</t>
  </si>
  <si>
    <t>RoU Asset</t>
  </si>
  <si>
    <t>Annual lease payment</t>
  </si>
  <si>
    <t>£</t>
  </si>
  <si>
    <t>Non-current lease payable</t>
  </si>
  <si>
    <t>Current lease payable</t>
  </si>
  <si>
    <t>Lease Term</t>
  </si>
  <si>
    <t>Useful Life</t>
  </si>
  <si>
    <t>Depreciation Charge</t>
  </si>
  <si>
    <t>Yes</t>
  </si>
  <si>
    <t>No</t>
  </si>
  <si>
    <t>Transfer of ownership/hire purchase agreement?</t>
  </si>
  <si>
    <t>Residual Value</t>
  </si>
  <si>
    <t>Sale and Leaseback:</t>
  </si>
  <si>
    <t>Carrying amount of underlying asset</t>
  </si>
  <si>
    <t>FV of underlying asset</t>
  </si>
  <si>
    <t>Proceeds</t>
  </si>
  <si>
    <t>Gain/(Loss)</t>
  </si>
  <si>
    <t>DR RoU property - cost</t>
  </si>
  <si>
    <t>CR Lease payable</t>
  </si>
  <si>
    <t>Asset Cost</t>
  </si>
  <si>
    <t>Accumlated depreciation</t>
  </si>
  <si>
    <t>DR Property - accumulated depreciation</t>
  </si>
  <si>
    <t>Proceeds - Carrying value</t>
  </si>
  <si>
    <t>(Total gain/Fair value of asset)*(Proceeds - Discounted lease payments)</t>
  </si>
  <si>
    <t>(Carrying amount/Fair value)*discounted lease payments)</t>
  </si>
  <si>
    <t xml:space="preserve">DR </t>
  </si>
  <si>
    <t>CR</t>
  </si>
  <si>
    <t>Lease Payable</t>
  </si>
  <si>
    <t>Journal Entries</t>
  </si>
  <si>
    <t>RoU asset - cost</t>
  </si>
  <si>
    <t>Lease payable</t>
  </si>
  <si>
    <t>SPL - administrative expenses</t>
  </si>
  <si>
    <t>SPL - Depreciation charge</t>
  </si>
  <si>
    <t>RoU asset - accumulated depreciation</t>
  </si>
  <si>
    <t>DR</t>
  </si>
  <si>
    <t>PV of future payments or FV of RoU asset</t>
  </si>
  <si>
    <t>Gain on sale relates to part sold</t>
  </si>
  <si>
    <t>Presented as separate category of asset or separately within disclosure note.</t>
  </si>
  <si>
    <t>% retained equal to discounted lease payments/ FV</t>
  </si>
  <si>
    <t>Residual Value after lease term</t>
  </si>
  <si>
    <t>Residual Value after useful life</t>
  </si>
  <si>
    <t>The contract is a lease as:</t>
  </si>
  <si>
    <t>There is a right to use an identified asset</t>
  </si>
  <si>
    <t>The right to use the asset is in exchange for consideration</t>
  </si>
  <si>
    <t>% lessee is entitled to</t>
  </si>
  <si>
    <t>Annual rate</t>
  </si>
  <si>
    <t>Time unit</t>
  </si>
  <si>
    <t>Months</t>
  </si>
  <si>
    <t>Years</t>
  </si>
  <si>
    <t>Accumulated Depreciation</t>
  </si>
  <si>
    <t>Number of periods, n (months/years)</t>
  </si>
  <si>
    <t>Rate per period</t>
  </si>
  <si>
    <t>Depreciation per period</t>
  </si>
  <si>
    <t>Straight line depreciation</t>
  </si>
  <si>
    <t>Cost</t>
  </si>
  <si>
    <t>NBV</t>
  </si>
  <si>
    <t>Revaluation</t>
  </si>
  <si>
    <t>Accumulated depreciation</t>
  </si>
  <si>
    <t>Revalued Amount</t>
  </si>
  <si>
    <t>Increase/(decrease) in value</t>
  </si>
  <si>
    <t>Cost - Buildings</t>
  </si>
  <si>
    <t>DR Accumulated Depreciation</t>
  </si>
  <si>
    <t>CR Revaluation Reserve</t>
  </si>
  <si>
    <t>DR Cost</t>
  </si>
  <si>
    <t>Useful life</t>
  </si>
  <si>
    <t>Annual transfer to RE</t>
  </si>
  <si>
    <t>On sale entire revaluation surplus transferred to RE</t>
  </si>
  <si>
    <t>Capitalised interest</t>
  </si>
  <si>
    <t>Borrowing costs:</t>
  </si>
  <si>
    <t>Expense</t>
  </si>
  <si>
    <t>Interest rate</t>
  </si>
  <si>
    <t>Reporting /capitalisation end date</t>
  </si>
  <si>
    <t>Payment date</t>
  </si>
  <si>
    <t>Periods of inactivity</t>
  </si>
  <si>
    <t>Amount</t>
  </si>
  <si>
    <t>Actual borrowing costs</t>
  </si>
  <si>
    <t>DR revaluation reserve</t>
  </si>
  <si>
    <t>Transfers to date</t>
  </si>
  <si>
    <t>Previously transferred to revaluation reserve</t>
  </si>
  <si>
    <t>Total downward revaluation</t>
  </si>
  <si>
    <t>Downward revaluation</t>
  </si>
  <si>
    <t>Carrying amount had no revaluation occurred</t>
  </si>
  <si>
    <t>Reversal of revaluation decrease through SPL</t>
  </si>
  <si>
    <t>For upwards revaluation, if there has been a previous revaluation decrease, first CR through the SPL the amount had no initial downward revaluation occurred:</t>
  </si>
  <si>
    <t>Remainder goes to revaluation reserve:</t>
  </si>
  <si>
    <t>CR SPL - reversal of revaluation decrease</t>
  </si>
  <si>
    <t>Less finance income</t>
  </si>
  <si>
    <t>An asset is a present economic resource controlled by the entity as a result of past events and an economic resource is a right that has the potential to produce economic benefits.
Recognised if and only if:
It is probable future economic benefits associated with the item will flow to the entity
The cost of the item can be meaured reliably
Risks and rewards of ownership transfer to the company at the point of delivery.
Fair value is the price that would be received to sell an asset, or paid to transfer a liability, 
in an orderly transaction between market participants at the measurement date.</t>
  </si>
  <si>
    <t>FVLCOD</t>
  </si>
  <si>
    <t>FV</t>
  </si>
  <si>
    <t xml:space="preserve">FV </t>
  </si>
  <si>
    <t>Costs of disposal</t>
  </si>
  <si>
    <t>Value in use</t>
  </si>
  <si>
    <t>Recoverable amount</t>
  </si>
  <si>
    <t>Carrying amount</t>
  </si>
  <si>
    <t>Impairment loss</t>
  </si>
  <si>
    <t>Intangibles</t>
  </si>
  <si>
    <t>Goodwill</t>
  </si>
  <si>
    <t>VIU</t>
  </si>
  <si>
    <t>PVF</t>
  </si>
  <si>
    <t>DCF</t>
  </si>
  <si>
    <t>Discount rate</t>
  </si>
  <si>
    <t>Allocation of impairment loss:</t>
  </si>
  <si>
    <t>Remaining loss to allocate</t>
  </si>
  <si>
    <t>Pro rated across remaining assets:</t>
  </si>
  <si>
    <t>No individual asset in the CGU should be written down below the higher of FVLCOD, VU or nil.</t>
  </si>
  <si>
    <t>If individual asset is restricted, perform initial pro rata calc but allocate outstanding between other assets</t>
  </si>
  <si>
    <t>Where goodwill cannot be allocated to individual CGUs:</t>
  </si>
  <si>
    <t>CGU Group:</t>
  </si>
  <si>
    <t>Carrying amount of CGUs</t>
  </si>
  <si>
    <t>Impairment of CGUs</t>
  </si>
  <si>
    <t>Recoverable amount of CGU group</t>
  </si>
  <si>
    <t>Impairment of goodwill</t>
  </si>
  <si>
    <t>Carrying amount prior to goodwill impairment</t>
  </si>
  <si>
    <t xml:space="preserve">CR </t>
  </si>
  <si>
    <t>PPE NBV</t>
  </si>
  <si>
    <t>Restrictions on impairment</t>
  </si>
  <si>
    <t>Max.</t>
  </si>
  <si>
    <t>Residual writedown</t>
  </si>
  <si>
    <t>Allocated to:</t>
  </si>
  <si>
    <t>Journal Entries:</t>
  </si>
  <si>
    <t>SPL - Impairment Loss</t>
  </si>
  <si>
    <t>Restricted?</t>
  </si>
  <si>
    <t>Impairment loss allocated to goodwill first/ other corporate assets (e.g. franchise)</t>
  </si>
  <si>
    <t>Variable costs</t>
  </si>
  <si>
    <t>Units</t>
  </si>
  <si>
    <t>Fixed production overheads</t>
  </si>
  <si>
    <t>Actual production</t>
  </si>
  <si>
    <t>Normal capacity</t>
  </si>
  <si>
    <t>Closing inventory</t>
  </si>
  <si>
    <t>Closing inventory (units)</t>
  </si>
  <si>
    <t>£/ unit</t>
  </si>
  <si>
    <t>Variable production costs</t>
  </si>
  <si>
    <t>Cost of closing inventory</t>
  </si>
  <si>
    <t>NRV</t>
  </si>
  <si>
    <t>Always assume raw material will be used in  a profitable product and that WIP will be completed as  a profitable product</t>
  </si>
  <si>
    <t xml:space="preserve">Item </t>
  </si>
  <si>
    <t>Value</t>
  </si>
  <si>
    <t>£/unit</t>
  </si>
  <si>
    <t>Value of closing inventory</t>
  </si>
  <si>
    <t>Total potentially allowable costs</t>
  </si>
  <si>
    <t>Total allowable cost per unit</t>
  </si>
  <si>
    <t>DR Accumulated depreciation</t>
  </si>
  <si>
    <t>CR Cost</t>
  </si>
  <si>
    <t>Potentially allowable borrowing costs</t>
  </si>
  <si>
    <t>If upward revaluation and no previous revaluation decrease:</t>
  </si>
  <si>
    <t>Start date</t>
  </si>
  <si>
    <t>End date</t>
  </si>
  <si>
    <t>Carrying value</t>
  </si>
  <si>
    <t>Sale</t>
  </si>
  <si>
    <t>DR Bank</t>
  </si>
  <si>
    <t>CR cost</t>
  </si>
  <si>
    <t>DR SPL - revaluation decrease</t>
  </si>
  <si>
    <t>Original Transfer</t>
  </si>
  <si>
    <t>Fair value</t>
  </si>
  <si>
    <t>DR NCA classified as held for sale</t>
  </si>
  <si>
    <t>Subsequent Revaluation</t>
  </si>
  <si>
    <t>Previous downward impairment</t>
  </si>
  <si>
    <t>Increase in value</t>
  </si>
  <si>
    <t>DR SPL - Loss on revaluation</t>
  </si>
  <si>
    <t>Max CV is original transfer value</t>
  </si>
  <si>
    <t>Proceeds less selling costs</t>
  </si>
  <si>
    <t>FV on SoFP</t>
  </si>
  <si>
    <t>Gain/(Loss) on  sale</t>
  </si>
  <si>
    <t xml:space="preserve">CR NCA classified as held for sale </t>
  </si>
  <si>
    <t>(Impairment loss)/ Max reversal</t>
  </si>
  <si>
    <t>Add dates etc</t>
  </si>
  <si>
    <t>The contract is for a period of time</t>
  </si>
  <si>
    <t>The lessee has the right to control the asset</t>
  </si>
  <si>
    <t>Annual Depreciation Charge</t>
  </si>
  <si>
    <t>SPL - Finance costs</t>
  </si>
  <si>
    <t>PVAF*Lease payment</t>
  </si>
  <si>
    <t>Initial costs/(incentives)</t>
  </si>
  <si>
    <t>Recognise separately as other income/ admin expenses</t>
  </si>
  <si>
    <t>In substance, no sale if retaining the right to use the asset over the overwhelming part of remaining useful life - instead treat as financial liability measured at amortised cost.  Analyse each payment into interest/ capital using effective interest rate. Property remains on SoFP and is depreciated over lease period.</t>
  </si>
  <si>
    <t>SHOW CALC</t>
  </si>
  <si>
    <t>Bank</t>
  </si>
  <si>
    <t>VC / Production</t>
  </si>
  <si>
    <t>Closing stock</t>
  </si>
  <si>
    <t xml:space="preserve">Writedown of Inventory </t>
  </si>
  <si>
    <t>Valued at LCM</t>
  </si>
  <si>
    <t>Writedown</t>
  </si>
  <si>
    <t>CR Inventories</t>
  </si>
  <si>
    <t>DR SPL - Cost of sales</t>
  </si>
  <si>
    <t>DR CoS</t>
  </si>
  <si>
    <t>£/Unit</t>
  </si>
  <si>
    <t>Standard Costing</t>
  </si>
  <si>
    <t>Standard cost</t>
  </si>
  <si>
    <t>Production units</t>
  </si>
  <si>
    <t>Variances - Adverse / (Favourable)</t>
  </si>
  <si>
    <t>Retail price method</t>
  </si>
  <si>
    <t>Retail Price</t>
  </si>
  <si>
    <t>Gross Margin</t>
  </si>
  <si>
    <t>Liabilities directly associated with non-current assets classified as held for sale</t>
  </si>
  <si>
    <t>Current Liabilities</t>
  </si>
  <si>
    <t>Current Assets</t>
  </si>
  <si>
    <t>NCA classified as held for sale</t>
  </si>
  <si>
    <t>Identify performance obligations:</t>
  </si>
  <si>
    <t>(Promise)</t>
  </si>
  <si>
    <t>Most likely outcome</t>
  </si>
  <si>
    <t>Set price</t>
  </si>
  <si>
    <t>Variable consideration</t>
  </si>
  <si>
    <t>DR Trade receivable</t>
  </si>
  <si>
    <t>CR SPL Revenue</t>
  </si>
  <si>
    <t>Recognise best estimate of revenue</t>
  </si>
  <si>
    <t>More than one year between delivery/ payment</t>
  </si>
  <si>
    <t>Transaction price</t>
  </si>
  <si>
    <t>CR Revenue</t>
  </si>
  <si>
    <t>Financial asset measured at amortised cost:</t>
  </si>
  <si>
    <t>Opening trade receivable</t>
  </si>
  <si>
    <t>Effective interest</t>
  </si>
  <si>
    <t>Nominal receipt</t>
  </si>
  <si>
    <t>Closing trade receivable</t>
  </si>
  <si>
    <t>Period delivery -&gt; payment</t>
  </si>
  <si>
    <t>Annual payment</t>
  </si>
  <si>
    <t>CR SPL - Finance income</t>
  </si>
  <si>
    <t>DR bank</t>
  </si>
  <si>
    <t>Determine the transaction price</t>
  </si>
  <si>
    <t>Identify the contract with a customer</t>
  </si>
  <si>
    <t>Recognise revenue when (or as) the entity satisfies a performance obligation</t>
  </si>
  <si>
    <t>Revenue recognised to date</t>
  </si>
  <si>
    <t>Revenue not yet recognised</t>
  </si>
  <si>
    <t>Unavoidable future costs</t>
  </si>
  <si>
    <t>Provision for onerous contract</t>
  </si>
  <si>
    <t>Journals:</t>
  </si>
  <si>
    <t>Cash consideration</t>
  </si>
  <si>
    <t>Share consideration:</t>
  </si>
  <si>
    <t>Share value</t>
  </si>
  <si>
    <t>Share market price</t>
  </si>
  <si>
    <t>Number of shares</t>
  </si>
  <si>
    <t>Investment value</t>
  </si>
  <si>
    <t>CR Share capital</t>
  </si>
  <si>
    <t>CR Share premium</t>
  </si>
  <si>
    <t>DR Investment</t>
  </si>
  <si>
    <t>CR cash</t>
  </si>
  <si>
    <t>Dividends:</t>
  </si>
  <si>
    <t>Dividends paid</t>
  </si>
  <si>
    <t>Dividends declared</t>
  </si>
  <si>
    <t>DR accrued income</t>
  </si>
  <si>
    <t>Initial Investment:</t>
  </si>
  <si>
    <t>Units affected</t>
  </si>
  <si>
    <t>Variance</t>
  </si>
  <si>
    <t>Recognised at a point in time</t>
  </si>
  <si>
    <t>Recognised over time</t>
  </si>
  <si>
    <t>Estimated total</t>
  </si>
  <si>
    <t>% complete</t>
  </si>
  <si>
    <t>Allocation basis</t>
  </si>
  <si>
    <t>On invoicing:</t>
  </si>
  <si>
    <t>DR Trade receivables</t>
  </si>
  <si>
    <t>CR Contract Asset</t>
  </si>
  <si>
    <t>Amount paid</t>
  </si>
  <si>
    <t>Loss making contract?</t>
  </si>
  <si>
    <t>CR Provision for onerous contract</t>
  </si>
  <si>
    <t>Investment  property</t>
  </si>
  <si>
    <t>Held for sale</t>
  </si>
  <si>
    <t>Impairment</t>
  </si>
  <si>
    <t>Contracts</t>
  </si>
  <si>
    <t>Investments</t>
  </si>
  <si>
    <t>Inventory</t>
  </si>
  <si>
    <t>Leases</t>
  </si>
  <si>
    <t>Topic</t>
  </si>
  <si>
    <t>Contract asset/ (refund liability)</t>
  </si>
  <si>
    <t>The parties to the contract have approved it and are committed to performing their respective obligations:</t>
  </si>
  <si>
    <t>The entity can identify each party's right regarding the goods and services to be transferred:</t>
  </si>
  <si>
    <t>The contract has  commercial substance:</t>
  </si>
  <si>
    <t>It is proabable that the entity will collect the consideration to which it is entitled:</t>
  </si>
  <si>
    <t>Contract costs</t>
  </si>
  <si>
    <t>Relating to future performance obligations</t>
  </si>
  <si>
    <t>CR Bank</t>
  </si>
  <si>
    <t>DR Contract asset</t>
  </si>
  <si>
    <t>Relating to past performance obligations/general costs</t>
  </si>
  <si>
    <t>Probability calc</t>
  </si>
  <si>
    <t>Probability</t>
  </si>
  <si>
    <t>Outcome</t>
  </si>
  <si>
    <t>Liabilities  directly   associated with NCA classified as held for sale</t>
  </si>
  <si>
    <t>Trade payables</t>
  </si>
  <si>
    <t xml:space="preserve">First in first out </t>
  </si>
  <si>
    <t>Date</t>
  </si>
  <si>
    <t>CR PPE</t>
  </si>
  <si>
    <t xml:space="preserve">The sale of the property is highly probable as:
- Management have committed to sell the asset
- The property is being actively marketed at year end
-  The property is being sold at a reasonable price relative to its fair value
- The sale is expected to be made within 12 months
</t>
  </si>
  <si>
    <t>Does the asset have physical substance?</t>
  </si>
  <si>
    <t>Is the asset controlled from past events and are future benefits expected to arise?</t>
  </si>
  <si>
    <t>Is the asset separable?</t>
  </si>
  <si>
    <t>Conclusion:</t>
  </si>
  <si>
    <t>Does the asset arise from contractual or legal rights?</t>
  </si>
  <si>
    <t>NCA Flowchart:</t>
  </si>
  <si>
    <t>Research costs - all expensed through SPL</t>
  </si>
  <si>
    <t>Development costs - MUST be capitalised if all criteria can be demonstrated:</t>
  </si>
  <si>
    <t>There is technical feasability the intangible asset will be complete so it wil be available for use or sale</t>
  </si>
  <si>
    <t>There is intention to complete the intangible asset and use or sell it</t>
  </si>
  <si>
    <t>There is an ability to use or sell the intangible asset</t>
  </si>
  <si>
    <t>There is sufficient availability of adequate technical, financial and other resources to complete the development and to use or sell the intangible asset</t>
  </si>
  <si>
    <t>There is an ability to measure reliably the expenditure attributable to the intangible asset during development</t>
  </si>
  <si>
    <t>Met</t>
  </si>
  <si>
    <t>Not Met</t>
  </si>
  <si>
    <t>Conclusion</t>
  </si>
  <si>
    <t>i.e. active market</t>
  </si>
  <si>
    <t>Intangibles will be recognised on acquisition in business combinations</t>
  </si>
  <si>
    <t>Capitalised - post meeting criteria</t>
  </si>
  <si>
    <t>Accumulated Amortisation</t>
  </si>
  <si>
    <t>Amortisation per period</t>
  </si>
  <si>
    <t>Transfer to RE</t>
  </si>
  <si>
    <t>Cost - Intangibles</t>
  </si>
  <si>
    <t>Carrying amount on BS (with revaluation)</t>
  </si>
  <si>
    <t>Total increase in value</t>
  </si>
  <si>
    <t>Directors</t>
  </si>
  <si>
    <t>Salary</t>
  </si>
  <si>
    <t>Bonus</t>
  </si>
  <si>
    <t>Other</t>
  </si>
  <si>
    <t>Total emoluments</t>
  </si>
  <si>
    <t>Benefits</t>
  </si>
  <si>
    <t>Fees</t>
  </si>
  <si>
    <t>Remuneration</t>
  </si>
  <si>
    <t>Fee from subsidiary company</t>
  </si>
  <si>
    <t>Loss of office payments</t>
  </si>
  <si>
    <t>Benefits in kind</t>
  </si>
  <si>
    <t>Details of the highest paid director should be disclosed if aggregate emoluments are in excess of £200,000:</t>
  </si>
  <si>
    <t>Highest paid director's emoluments</t>
  </si>
  <si>
    <t>Highest paid director</t>
  </si>
  <si>
    <t>Other - NAME</t>
  </si>
  <si>
    <t>Disclosure notes</t>
  </si>
  <si>
    <t>Long term incentive scheme</t>
  </si>
  <si>
    <t>LTIS</t>
  </si>
  <si>
    <t>Long-term incentive scheme</t>
  </si>
  <si>
    <t>Pension costs</t>
  </si>
  <si>
    <t>Aggregate directors remuneration</t>
  </si>
  <si>
    <t>The remuneration of the highest paid director included:</t>
  </si>
  <si>
    <t>Emoluments</t>
  </si>
  <si>
    <t>Gains on exercise on share options</t>
  </si>
  <si>
    <t>Gains on share options</t>
  </si>
  <si>
    <t>Directors remuneration comprised:</t>
  </si>
  <si>
    <t>Aggregate emoluments :</t>
  </si>
  <si>
    <t>(remuneration + LTIS + gains on share options)</t>
  </si>
  <si>
    <t>Total emoluments exceed £200,000?</t>
  </si>
  <si>
    <t>Remuneration of highest paid director</t>
  </si>
  <si>
    <t>Workings:</t>
  </si>
  <si>
    <t>Pension contributions - defined contribution</t>
  </si>
  <si>
    <t>Defined contribution</t>
  </si>
  <si>
    <t>Accrued pension - defined benefit</t>
  </si>
  <si>
    <t>Directors remuneration</t>
  </si>
  <si>
    <t>Does a present obligation exist as a result of past events?</t>
  </si>
  <si>
    <t>Is it probable that a future outflow of resources embodying economic benefits will be required to settle the obligation?</t>
  </si>
  <si>
    <t>Can a reliable estimate be made of the amount of the obligation?</t>
  </si>
  <si>
    <t>Explanation</t>
  </si>
  <si>
    <t>Expected Value</t>
  </si>
  <si>
    <t>Most likely outcome- weighted average of possible outcomes</t>
  </si>
  <si>
    <t xml:space="preserve">Discount rate </t>
  </si>
  <si>
    <t>Scenario</t>
  </si>
  <si>
    <t>Weighted</t>
  </si>
  <si>
    <t>Expectation</t>
  </si>
  <si>
    <t>n</t>
  </si>
  <si>
    <t>years</t>
  </si>
  <si>
    <t>Discounted Provision</t>
  </si>
  <si>
    <t>Provision as at balance sheet date</t>
  </si>
  <si>
    <t>DR SPL</t>
  </si>
  <si>
    <t>CR Provision</t>
  </si>
  <si>
    <t>Annual movement in provision</t>
  </si>
  <si>
    <t>DR SPL Finance costs</t>
  </si>
  <si>
    <t>CR provision</t>
  </si>
  <si>
    <t>Annual Finance costs</t>
  </si>
  <si>
    <t xml:space="preserve">Change in estimate </t>
  </si>
  <si>
    <t>Provision at revision date</t>
  </si>
  <si>
    <t>New discounted provision</t>
  </si>
  <si>
    <t xml:space="preserve">Average exchange rate </t>
  </si>
  <si>
    <t>Closing exchange rate</t>
  </si>
  <si>
    <t>GBP</t>
  </si>
  <si>
    <t>:1</t>
  </si>
  <si>
    <t>:GBP</t>
  </si>
  <si>
    <t>Opening net assets</t>
  </si>
  <si>
    <t>Closing rate</t>
  </si>
  <si>
    <t>Opening rate</t>
  </si>
  <si>
    <t>Exchange differences</t>
  </si>
  <si>
    <t>Profits</t>
  </si>
  <si>
    <t xml:space="preserve">Closing rate </t>
  </si>
  <si>
    <t>Average rate</t>
  </si>
  <si>
    <t>Balance</t>
  </si>
  <si>
    <t>Retained earnings</t>
  </si>
  <si>
    <t>Retained profit for the year</t>
  </si>
  <si>
    <t>Exchange gains/(losses) on translation</t>
  </si>
  <si>
    <t>On BS net assets are adjusted to spot rate at date of acquisition/average FX rate:</t>
  </si>
  <si>
    <t>Dividends paid in year</t>
  </si>
  <si>
    <t>Dividends must be deducted from retained profits</t>
  </si>
  <si>
    <t>Opening exchange rate/ Acquiusition date</t>
  </si>
  <si>
    <t>Foreign Currency</t>
  </si>
  <si>
    <t>USD</t>
  </si>
  <si>
    <t>Goodwill at Acquisition date</t>
  </si>
  <si>
    <t>Exchange loss</t>
  </si>
  <si>
    <t>Statement of Financial Position</t>
  </si>
  <si>
    <t>Goodwill at year end</t>
  </si>
  <si>
    <t>NCI share of net assets</t>
  </si>
  <si>
    <t>Add exchange gains/losses through OCI</t>
  </si>
  <si>
    <t>Investment in subsidiary</t>
  </si>
  <si>
    <t>NCI %</t>
  </si>
  <si>
    <t>Exchange losses on translatioon of subsidiary:</t>
  </si>
  <si>
    <t>Pre-consolidation: Step 2 - calculate and recognise exchange differences on translation</t>
  </si>
  <si>
    <t>Pre-consolidation: Step 1 - Translate the financial statements to presentation currency</t>
  </si>
  <si>
    <t>DR SPL  - decomissioning costs</t>
  </si>
  <si>
    <t>Straight line amortisation</t>
  </si>
  <si>
    <t>Transfer to PPE</t>
  </si>
  <si>
    <t>DR PPE - Cost</t>
  </si>
  <si>
    <t xml:space="preserve">Transfer to Investment property </t>
  </si>
  <si>
    <t xml:space="preserve">Carrying value </t>
  </si>
  <si>
    <t>FV at date of transfer</t>
  </si>
  <si>
    <t>Revaluation at YE</t>
  </si>
  <si>
    <t>PPE - Cost</t>
  </si>
  <si>
    <t>PPE - Accumulated depreciation</t>
  </si>
  <si>
    <t>DR PPE- Cost</t>
  </si>
  <si>
    <t xml:space="preserve">DR PPE- Accumulated depreciation </t>
  </si>
  <si>
    <t>CR revaluation surplus</t>
  </si>
  <si>
    <t>DR Investment Property</t>
  </si>
  <si>
    <t>CR Investment Property</t>
  </si>
  <si>
    <t>CR PPE - Cost</t>
  </si>
  <si>
    <t>Central PPE</t>
  </si>
  <si>
    <t>Classification</t>
  </si>
  <si>
    <t>CR bonds</t>
  </si>
  <si>
    <t>CR SPL - finance income</t>
  </si>
  <si>
    <t>The contractual terms of the asset give rise on specific dates to cash flows that are solely payments of principle and interest on the principal outstanding?</t>
  </si>
  <si>
    <t>Financial Asset Classification:</t>
  </si>
  <si>
    <t>Contractual  cash flows intention</t>
  </si>
  <si>
    <t>Intention to hold and then sell before maturity</t>
  </si>
  <si>
    <t>Intention to hold to maturity</t>
  </si>
  <si>
    <t>Intention to sell in the short term (held for trading)</t>
  </si>
  <si>
    <t>Ordinary Shares</t>
  </si>
  <si>
    <t>Preference Shares</t>
  </si>
  <si>
    <t>Irredeemable</t>
  </si>
  <si>
    <t>Redeemable</t>
  </si>
  <si>
    <t>Mandatory Dividend</t>
  </si>
  <si>
    <t>Redeemable at holders option or on fixed date with discretionary dividend</t>
  </si>
  <si>
    <t>Irredeemable or redeemable at issuers option with discretionary dividend</t>
  </si>
  <si>
    <t>Loan - through AC</t>
  </si>
  <si>
    <t>Principal amount</t>
  </si>
  <si>
    <t>Nominal interest</t>
  </si>
  <si>
    <t>Payable in</t>
  </si>
  <si>
    <t>Capitalised fees</t>
  </si>
  <si>
    <t>Opening balance</t>
  </si>
  <si>
    <t>Non-current loan payable</t>
  </si>
  <si>
    <t>Current loan payable</t>
  </si>
  <si>
    <t>Can elect to classify financial assets (equity) using FVTOCI when not held for trading</t>
  </si>
  <si>
    <t>Financial asset - debt</t>
  </si>
  <si>
    <t>Financial Liabilities</t>
  </si>
  <si>
    <t>Held for Trading</t>
  </si>
  <si>
    <t>Derivatives</t>
  </si>
  <si>
    <t>Designated as FVTPL</t>
  </si>
  <si>
    <t>Nature</t>
  </si>
  <si>
    <t>Can be designated FVTPL to eliminate accounting mismatch</t>
  </si>
  <si>
    <t>Amortised Cost</t>
  </si>
  <si>
    <t>Interest, dividends, gains and losses are recognised according to classification (SPL if related to a liability and in equity if related to an equity instrument)</t>
  </si>
  <si>
    <t>Nominal Interest/ dividends</t>
  </si>
  <si>
    <t>PV</t>
  </si>
  <si>
    <t>Weighted Average</t>
  </si>
  <si>
    <t>CR Loss Allowance</t>
  </si>
  <si>
    <t>Cash shortfall</t>
  </si>
  <si>
    <t xml:space="preserve">Current provision </t>
  </si>
  <si>
    <t>PY PV of cash shortfall</t>
  </si>
  <si>
    <t>CY PV of cash shortfall</t>
  </si>
  <si>
    <t xml:space="preserve">Stage of ECL </t>
  </si>
  <si>
    <t>DR loan receivable</t>
  </si>
  <si>
    <t>CR SPL - Finance Income</t>
  </si>
  <si>
    <t>Loan principal</t>
  </si>
  <si>
    <t>CR gain on  sale</t>
  </si>
  <si>
    <t>DR revenue</t>
  </si>
  <si>
    <t>Reserve for convertible bonds</t>
  </si>
  <si>
    <t>CR share premium</t>
  </si>
  <si>
    <t>Non-hedging derivative - FVTPL</t>
  </si>
  <si>
    <t>Bond - Amortised cost</t>
  </si>
  <si>
    <t xml:space="preserve">        Debt</t>
  </si>
  <si>
    <t>Entity can identify the payment terms for the goods and services:</t>
  </si>
  <si>
    <t>Significant financing component</t>
  </si>
  <si>
    <t>Conversion of bonds</t>
  </si>
  <si>
    <t>Convertible bonds carrying amount</t>
  </si>
  <si>
    <t>CR Retained earnings</t>
  </si>
  <si>
    <t>% of bonds converted</t>
  </si>
  <si>
    <t>DR bond liability</t>
  </si>
  <si>
    <t>CR share capital</t>
  </si>
  <si>
    <t>DR mortgage bonds</t>
  </si>
  <si>
    <t xml:space="preserve">DR cash </t>
  </si>
  <si>
    <t>CR mortgage bonds</t>
  </si>
  <si>
    <t>DR SPL - finance expense</t>
  </si>
  <si>
    <t>Upon conversion, a correction must be made to record the equity elements and eliminate the repayment in cash recorded.</t>
  </si>
  <si>
    <t>The convertible bond reserve must be released to retained earnings in accordance with accounting policy.</t>
  </si>
  <si>
    <t>The calculation of finance income should be based on the total cost and any payments received should be credited to the asset.</t>
  </si>
  <si>
    <t xml:space="preserve">Receipts from bond/mortgages are cash flows of solely principal (i.e. final repayment) and interest and it is the intention to hold them until maturity, therefore thhe asset is classified at amortised cost.
At initial recognition, the bond/mortgage is recognised at FV plus acquisition costs and must be removed from xxx suspense account. 
</t>
  </si>
  <si>
    <t>FVPTL - Derivatives</t>
  </si>
  <si>
    <t>Contract purchase price</t>
  </si>
  <si>
    <t>Fair value at reporting date</t>
  </si>
  <si>
    <t>Working capital movements</t>
  </si>
  <si>
    <t>Trade and other receivables</t>
  </si>
  <si>
    <t>Opening</t>
  </si>
  <si>
    <t>Closing</t>
  </si>
  <si>
    <t>Increase/(Decrease)</t>
  </si>
  <si>
    <t>Interest paid</t>
  </si>
  <si>
    <t>Opening accrued finance costs</t>
  </si>
  <si>
    <t>Finance costs</t>
  </si>
  <si>
    <t>Nominal payments</t>
  </si>
  <si>
    <t>Closing accrued finance costs</t>
  </si>
  <si>
    <t>Taxes paid</t>
  </si>
  <si>
    <t>Opening current tax payable</t>
  </si>
  <si>
    <t>Opening deferred tax</t>
  </si>
  <si>
    <t>Closing current tax payable</t>
  </si>
  <si>
    <t>Closing deferred tax</t>
  </si>
  <si>
    <t>Purchase of PPE</t>
  </si>
  <si>
    <t>Opening carrying amount</t>
  </si>
  <si>
    <t>Revaluation increase</t>
  </si>
  <si>
    <t>Closing carrying amount</t>
  </si>
  <si>
    <t>Less Depreciation charge</t>
  </si>
  <si>
    <t>Less Effective interest</t>
  </si>
  <si>
    <t>Interest received</t>
  </si>
  <si>
    <t>Opening accrued finance income</t>
  </si>
  <si>
    <t>Finance income</t>
  </si>
  <si>
    <t>Closing accrued finance income</t>
  </si>
  <si>
    <t>Opening retained earnings</t>
  </si>
  <si>
    <t>Profit for the year</t>
  </si>
  <si>
    <t>Release of reserves (non cash)</t>
  </si>
  <si>
    <t>Closing retained earnings</t>
  </si>
  <si>
    <t>i.e. revaulation/ convertible bonds</t>
  </si>
  <si>
    <t>[INSERT COMPANY] plc/ Ltd</t>
  </si>
  <si>
    <t>CHECKS (delete/ hide this column and any extra rows once checks performed)</t>
  </si>
  <si>
    <t>Statement of financial position</t>
  </si>
  <si>
    <t>Parent</t>
  </si>
  <si>
    <t>Sub</t>
  </si>
  <si>
    <t>Cumulative</t>
  </si>
  <si>
    <t>Dr</t>
  </si>
  <si>
    <t>Cr</t>
  </si>
  <si>
    <t>Final</t>
  </si>
  <si>
    <t>If any rows/ columns are added, formulas must be updated and checked</t>
  </si>
  <si>
    <t>ASSETS</t>
  </si>
  <si>
    <t>Property, plant and equipment</t>
  </si>
  <si>
    <t>Other intangible assets</t>
  </si>
  <si>
    <t>Add line items as necessary</t>
  </si>
  <si>
    <t>Investments in associates/ joint ventures</t>
  </si>
  <si>
    <t>Delete 'associate(s)' or 'joint venture(s)' as appropriate</t>
  </si>
  <si>
    <t>Investments in equity instruments</t>
  </si>
  <si>
    <t>Trade receivables</t>
  </si>
  <si>
    <t>Other receivables</t>
  </si>
  <si>
    <t>Total assets</t>
  </si>
  <si>
    <t>EQUITY AND LIABILITIES</t>
  </si>
  <si>
    <t>Equity attributable to owners of the parent</t>
  </si>
  <si>
    <t>Ordinary share capital</t>
  </si>
  <si>
    <t>Preference share capital</t>
  </si>
  <si>
    <t>Share premium</t>
  </si>
  <si>
    <t>Revaluation surplus</t>
  </si>
  <si>
    <t>Other components of equity</t>
  </si>
  <si>
    <t>Add line items as necessary; Formulas treat as a credit - change if it's a debit</t>
  </si>
  <si>
    <t>Non-controlling interests</t>
  </si>
  <si>
    <t>Formulas treat as a credit - change if it's a debit</t>
  </si>
  <si>
    <t>Total equity</t>
  </si>
  <si>
    <t>Long-term borrowings</t>
  </si>
  <si>
    <t>Deferred tax</t>
  </si>
  <si>
    <t>Formulas treat as a liability (credit) - change to non-current assets if it's a debit</t>
  </si>
  <si>
    <t>Long-term provisions</t>
  </si>
  <si>
    <t>Total non-current liabilities</t>
  </si>
  <si>
    <t>Short-term borrowings</t>
  </si>
  <si>
    <t>Current portion of long-term borrowings</t>
  </si>
  <si>
    <t>Short-term provisions</t>
  </si>
  <si>
    <t>Total current liabilities</t>
  </si>
  <si>
    <t>Total liabilities</t>
  </si>
  <si>
    <t>Total equity and liabilities</t>
  </si>
  <si>
    <t xml:space="preserve">Share capital </t>
  </si>
  <si>
    <t>Investments in subsidiaries</t>
  </si>
  <si>
    <t>DR Share Capital</t>
  </si>
  <si>
    <t>DR Retained Earnings</t>
  </si>
  <si>
    <t>CR SFP - non-controlling interest</t>
  </si>
  <si>
    <t>CY impairment of goodwill</t>
  </si>
  <si>
    <t>PY impairment of goodwill</t>
  </si>
  <si>
    <t>DR SPL - Impairment loss</t>
  </si>
  <si>
    <t>CR Goodwill</t>
  </si>
  <si>
    <t>Goodwill - at acquisition</t>
  </si>
  <si>
    <t>Retained earnings at acquisition</t>
  </si>
  <si>
    <t>Increase</t>
  </si>
  <si>
    <t>DR Retained earnings</t>
  </si>
  <si>
    <t>CR SFP - Non-controlling interests</t>
  </si>
  <si>
    <t>NCI share of CY Profit</t>
  </si>
  <si>
    <t>NCI share of historical profit</t>
  </si>
  <si>
    <t>Current year profit</t>
  </si>
  <si>
    <t>DR SPL - Non-controlling interests</t>
  </si>
  <si>
    <t>Current year impairment of goodwill</t>
  </si>
  <si>
    <t>Non-controlling interests share of current year profit</t>
  </si>
  <si>
    <t>CY transfer to RE</t>
  </si>
  <si>
    <r>
      <t>For the year ended</t>
    </r>
    <r>
      <rPr>
        <b/>
        <sz val="12"/>
        <color rgb="FFC00000"/>
        <rFont val="Arial"/>
        <family val="2"/>
      </rPr>
      <t xml:space="preserve"> [INSERT Y/E DATE]</t>
    </r>
  </si>
  <si>
    <t>Debit</t>
  </si>
  <si>
    <t>Credit</t>
  </si>
  <si>
    <t>Gross profit</t>
  </si>
  <si>
    <t>Distribution costs</t>
  </si>
  <si>
    <t>Administrative expenses</t>
  </si>
  <si>
    <t>Other expenses</t>
  </si>
  <si>
    <r>
      <rPr>
        <b/>
        <sz val="12"/>
        <color rgb="FFC00000"/>
        <rFont val="Arial"/>
        <family val="2"/>
      </rPr>
      <t>Profit/ Loss</t>
    </r>
    <r>
      <rPr>
        <b/>
        <sz val="12"/>
        <color theme="1"/>
        <rFont val="Arial"/>
        <family val="2"/>
      </rPr>
      <t xml:space="preserve"> before tax </t>
    </r>
  </si>
  <si>
    <t>Delete 'Profit' or 'Loss' as necessary</t>
  </si>
  <si>
    <t>Taxation is treated as an expense and deducted in formulas</t>
  </si>
  <si>
    <r>
      <rPr>
        <b/>
        <sz val="12"/>
        <color rgb="FFC00000"/>
        <rFont val="Arial"/>
        <family val="2"/>
      </rPr>
      <t>Profit/ Loss</t>
    </r>
    <r>
      <rPr>
        <b/>
        <sz val="12"/>
        <color theme="1"/>
        <rFont val="Arial"/>
        <family val="2"/>
      </rPr>
      <t xml:space="preserve"> for the year from continuing operations </t>
    </r>
  </si>
  <si>
    <r>
      <rPr>
        <sz val="12"/>
        <color rgb="FFC00000"/>
        <rFont val="Arial"/>
        <family val="2"/>
      </rPr>
      <t>Loss</t>
    </r>
    <r>
      <rPr>
        <sz val="12"/>
        <color theme="1"/>
        <rFont val="Arial"/>
        <family val="2"/>
      </rPr>
      <t xml:space="preserve"> for the year from discontinued operations</t>
    </r>
  </si>
  <si>
    <t>Formulas deducts a loss - change if it's a profit</t>
  </si>
  <si>
    <r>
      <rPr>
        <b/>
        <sz val="12"/>
        <color rgb="FFC00000"/>
        <rFont val="Arial"/>
        <family val="2"/>
      </rPr>
      <t>PROFIT/ LOSS</t>
    </r>
    <r>
      <rPr>
        <b/>
        <sz val="12"/>
        <color theme="1"/>
        <rFont val="Arial"/>
        <family val="2"/>
      </rPr>
      <t xml:space="preserve"> FOR THE</t>
    </r>
    <r>
      <rPr>
        <b/>
        <sz val="12"/>
        <rFont val="Arial"/>
        <family val="2"/>
      </rPr>
      <t xml:space="preserve"> YEAR</t>
    </r>
    <r>
      <rPr>
        <b/>
        <sz val="12"/>
        <color theme="1"/>
        <rFont val="Arial"/>
        <family val="2"/>
      </rPr>
      <t xml:space="preserve"> </t>
    </r>
  </si>
  <si>
    <r>
      <rPr>
        <sz val="12"/>
        <color rgb="FFC00000"/>
        <rFont val="Arial"/>
        <family val="2"/>
      </rPr>
      <t>Gains</t>
    </r>
    <r>
      <rPr>
        <sz val="12"/>
        <color theme="1"/>
        <rFont val="Arial"/>
        <family val="2"/>
      </rPr>
      <t xml:space="preserve"> on property revaluation</t>
    </r>
  </si>
  <si>
    <t>Formulas adds a gain - change if it's a loss</t>
  </si>
  <si>
    <t>Remeasurements of defined benefit pension plans</t>
  </si>
  <si>
    <r>
      <t xml:space="preserve">Share of other comprehensive income of </t>
    </r>
    <r>
      <rPr>
        <sz val="12"/>
        <color rgb="FFC00000"/>
        <rFont val="Arial"/>
        <family val="2"/>
      </rPr>
      <t>associates/ joint ventures</t>
    </r>
  </si>
  <si>
    <t>Formulas adds a gain - change if it's a loss; Delete 'associate(s)' or 'joint venture(s)' as appropriate</t>
  </si>
  <si>
    <t>Tax relating to items that will not be reclassified</t>
  </si>
  <si>
    <t>Tax relating to items that may be reclassified</t>
  </si>
  <si>
    <r>
      <rPr>
        <sz val="12"/>
        <color rgb="FFC00000"/>
        <rFont val="Arial"/>
        <family val="2"/>
      </rPr>
      <t>Profit/ Loss</t>
    </r>
    <r>
      <rPr>
        <sz val="12"/>
        <color theme="1"/>
        <rFont val="Arial"/>
        <family val="2"/>
      </rPr>
      <t xml:space="preserve"> attributable to:</t>
    </r>
  </si>
  <si>
    <t>Owners of the parent</t>
  </si>
  <si>
    <t>Total comprehensive income attributable to:</t>
  </si>
  <si>
    <t>Earnings per share:</t>
  </si>
  <si>
    <t>Pence per share to one decimal point</t>
  </si>
  <si>
    <t>p/ share</t>
  </si>
  <si>
    <t>Basic</t>
  </si>
  <si>
    <t>Diluted</t>
  </si>
  <si>
    <t>If basic and diluted are equal, one line item is needed - 'Basic and diluted'</t>
  </si>
  <si>
    <t>% of year passed since acquisition</t>
  </si>
  <si>
    <t>Reserves</t>
  </si>
  <si>
    <t>Since acquisition</t>
  </si>
  <si>
    <t>DR Reserves</t>
  </si>
  <si>
    <t xml:space="preserve">CY profit </t>
  </si>
  <si>
    <t>ECL</t>
  </si>
  <si>
    <t>DR Reserve for convertible bonds</t>
  </si>
  <si>
    <t>Original journal</t>
  </si>
  <si>
    <t>DR SPL - bank</t>
  </si>
  <si>
    <t xml:space="preserve">CR bonds </t>
  </si>
  <si>
    <t xml:space="preserve">CR Reserve for convertible bonds </t>
  </si>
  <si>
    <t>CR Investment in subsidiary</t>
  </si>
  <si>
    <t>DR Share Premium</t>
  </si>
  <si>
    <t>For gain on bargain purchase in subsequent years, then gain on bargain purchase entry goes to RE
Remember to deduct profits from RE for post acquisition</t>
  </si>
  <si>
    <t>% of Year</t>
  </si>
  <si>
    <t>Retained earnings at YE</t>
  </si>
  <si>
    <t>CY profits since acquisition</t>
  </si>
  <si>
    <t>CY profits</t>
  </si>
  <si>
    <t>RE at acquisition</t>
  </si>
  <si>
    <t>N/A if acquired in CY</t>
  </si>
  <si>
    <t>Intercompany Balances</t>
  </si>
  <si>
    <t xml:space="preserve">Balances in transit </t>
  </si>
  <si>
    <t>Intercompany Dividends</t>
  </si>
  <si>
    <t>Account for dividends paid</t>
  </si>
  <si>
    <t>CHECK</t>
  </si>
  <si>
    <t>Adjust in transit items for consolidation purposes, in order to match at YE</t>
  </si>
  <si>
    <t>Group share of subsidiary dividend</t>
  </si>
  <si>
    <t>Non-controlling interests' share of dividend</t>
  </si>
  <si>
    <t>Subsidiary dividend</t>
  </si>
  <si>
    <t>DR Finance income</t>
  </si>
  <si>
    <t>DR SFP - Non-controlling interests</t>
  </si>
  <si>
    <t>Intercompany sales and purchases</t>
  </si>
  <si>
    <t>DR SPL - Revenue</t>
  </si>
  <si>
    <t>Be alert too unpaid amounts at year end (I,e, internal indebtedness)</t>
  </si>
  <si>
    <t>ICO Sales Amount</t>
  </si>
  <si>
    <t>ICO CoS</t>
  </si>
  <si>
    <t xml:space="preserve">ICO profit </t>
  </si>
  <si>
    <t xml:space="preserve">Sold on to external parties </t>
  </si>
  <si>
    <t xml:space="preserve">Unrealised profit within group </t>
  </si>
  <si>
    <t>NCI Share of adjustment</t>
  </si>
  <si>
    <t>CR SPL - Cost of sales</t>
  </si>
  <si>
    <t>ICO sales and purchases</t>
  </si>
  <si>
    <t>NCI share of elimination of unrealised profit</t>
  </si>
  <si>
    <t>ICO Management fees</t>
  </si>
  <si>
    <t xml:space="preserve">DR SPL - </t>
  </si>
  <si>
    <t xml:space="preserve">CR SPL - </t>
  </si>
  <si>
    <t>ICO transfer of non-current assets</t>
  </si>
  <si>
    <t>Consolidation journal entries are required to return to the position as if the transfer had not taken place</t>
  </si>
  <si>
    <t>Eliminate unrealised profit in the sellers accounts, adjust carrying amount to the pre-transfer amount (I.e. true carrying amount)</t>
  </si>
  <si>
    <t>For post transfer period, need to adjust depreciation so that it is equal to original depreciarion pre transfer - adjust carrying amount by the same amount</t>
  </si>
  <si>
    <t xml:space="preserve">Sales price </t>
  </si>
  <si>
    <t>Carrying amount at point of sale</t>
  </si>
  <si>
    <t>Sub -&gt; Parent</t>
  </si>
  <si>
    <t>Gain/(Loss) on sale</t>
  </si>
  <si>
    <t>DR SPL - gain on sale</t>
  </si>
  <si>
    <t>CR PPE - accumulated depreciation</t>
  </si>
  <si>
    <t>Actual depreciation</t>
  </si>
  <si>
    <t>Equivalent historical depreciation charge</t>
  </si>
  <si>
    <t>Excess depreciation charge</t>
  </si>
  <si>
    <t>Accumulated depreciation at point of sale</t>
  </si>
  <si>
    <t>NCI share of excess depreciation charge</t>
  </si>
  <si>
    <t>DR PPE - accumulated depreceiation</t>
  </si>
  <si>
    <t>CR SPL - depreciation charge</t>
  </si>
  <si>
    <t>DR SPL - non-controlling interest</t>
  </si>
  <si>
    <t>Parent -&gt; Sub</t>
  </si>
  <si>
    <t>No adjustment when sold at a loss, as may indicate asset is impaired</t>
  </si>
  <si>
    <t>CR Trade receivables</t>
  </si>
  <si>
    <t>DR Trade payables</t>
  </si>
  <si>
    <t>YE balance</t>
  </si>
  <si>
    <t xml:space="preserve">Elimination of ICO unrealised profit </t>
  </si>
  <si>
    <t>Elimination of ICO dividend</t>
  </si>
  <si>
    <t>Dividends paid in CY</t>
  </si>
  <si>
    <t>CR Inventory</t>
  </si>
  <si>
    <t>NCI share of elimination of ICO gain on disposal</t>
  </si>
  <si>
    <t>DR SFP - non-controlling interests</t>
  </si>
  <si>
    <t>CR SPL - non-controlling interests</t>
  </si>
  <si>
    <t>DR Cash and cash equivalents</t>
  </si>
  <si>
    <t>Account for NCI share of revaluation surplus if there has been a revaluation since acquisition</t>
  </si>
  <si>
    <t>DR Revaluation surplus</t>
  </si>
  <si>
    <t>Increase in revaluation reserve since acquisition</t>
  </si>
  <si>
    <t xml:space="preserve">Include FV of previous shareholding </t>
  </si>
  <si>
    <t>Increase in controlling shareholding</t>
  </si>
  <si>
    <t xml:space="preserve">Additional investment </t>
  </si>
  <si>
    <t>Previous % shareholding</t>
  </si>
  <si>
    <t>New % shareholding</t>
  </si>
  <si>
    <t xml:space="preserve">% Acquired from NCI </t>
  </si>
  <si>
    <t>Net assets acquired from NCI</t>
  </si>
  <si>
    <t>Gain/(Loss) to retained earnings</t>
  </si>
  <si>
    <t>CR SFP - non-controlling interests</t>
  </si>
  <si>
    <t xml:space="preserve">Disposal </t>
  </si>
  <si>
    <t>Carrying amount of goodwill disposed of</t>
  </si>
  <si>
    <t>DR SFP - NCI</t>
  </si>
  <si>
    <t>CR Net assets</t>
  </si>
  <si>
    <t>If subsidiary is disposed of during the year, in the consolidated statement of profit or loss the income and expenses must only be included from the start of the year to the disposal date</t>
  </si>
  <si>
    <t>Closing balance</t>
  </si>
  <si>
    <t>Previous revaluations (revaluation reserve/deficit)</t>
  </si>
  <si>
    <t>FV at acquisition</t>
  </si>
  <si>
    <t>FV at start of year</t>
  </si>
  <si>
    <t>Redemption:</t>
  </si>
  <si>
    <t>Dr bond liability</t>
  </si>
  <si>
    <t>DR/CR gain on redemption</t>
  </si>
  <si>
    <t xml:space="preserve">Non-hedging derivatives are classified as fair value through profit or loss. Transaction costs must be written off to the statement of profit or loss and removed from the suspense account. </t>
  </si>
  <si>
    <t>Convertible bonds combine a financial liability (the obligation to pay interest and principal) and an equity instrument (the option to convert into shares)</t>
  </si>
  <si>
    <t>The two elements must be classified separately within [non-current/current liabilities] specifically and in equity.</t>
  </si>
  <si>
    <t>Sale of shares - OCI</t>
  </si>
  <si>
    <t>Shares should be derecognised as they have been sold and so no further economic benefit will be received.</t>
  </si>
  <si>
    <t>The investment must be removed from the SoFP.</t>
  </si>
  <si>
    <t>FV at point of sale (selling price)</t>
  </si>
  <si>
    <t>DR  Cash and cash equivalents</t>
  </si>
  <si>
    <t>CR Investment in shares</t>
  </si>
  <si>
    <t>The PBV of [12 month/lifetime] expected credit lossed must be compared to the opening loss allowance and only the increase should be accounted for in the CY.</t>
  </si>
  <si>
    <t>The loss allowance will be netted off against the loan receiviable to give a single balance on the statement of financial position of [..]</t>
  </si>
  <si>
    <t>Identify when control achieved</t>
  </si>
  <si>
    <t>Total shares</t>
  </si>
  <si>
    <t>% of shares held</t>
  </si>
  <si>
    <t>Shares purchased</t>
  </si>
  <si>
    <t>Other equity</t>
  </si>
  <si>
    <t>% of NA held by  parent</t>
  </si>
  <si>
    <t>Net assets</t>
  </si>
  <si>
    <t xml:space="preserve">Net assets held by parent </t>
  </si>
  <si>
    <t>NCI Share of net assets</t>
  </si>
  <si>
    <t>Increase/(decrease) in revaluation reserve since acquisition</t>
  </si>
  <si>
    <t>Gain on full disposal of subsidiary</t>
  </si>
  <si>
    <r>
      <t xml:space="preserve">as at </t>
    </r>
    <r>
      <rPr>
        <b/>
        <sz val="12"/>
        <color rgb="FFC00000"/>
        <rFont val="Arial"/>
        <family val="2"/>
      </rPr>
      <t>30 September 2018</t>
    </r>
  </si>
  <si>
    <t xml:space="preserve">Gain/(loss) on disposal </t>
  </si>
  <si>
    <t>If useful life changes, equivalent depreciation would be based on carrying value pre sale over new useful life</t>
  </si>
  <si>
    <t>Sub 2</t>
  </si>
  <si>
    <t xml:space="preserve">Sub 1 </t>
  </si>
  <si>
    <t>Investment</t>
  </si>
  <si>
    <t>% Holding</t>
  </si>
  <si>
    <t>Group share of net assets (40%)</t>
  </si>
  <si>
    <t xml:space="preserve">Group share of CY profit </t>
  </si>
  <si>
    <t>Dividend paid</t>
  </si>
  <si>
    <t>CR SPL - Share of profit of the associate</t>
  </si>
  <si>
    <t>Group share of current year profit</t>
  </si>
  <si>
    <t>CR Retained Earnings</t>
  </si>
  <si>
    <t>Group</t>
  </si>
  <si>
    <t>CR Investment</t>
  </si>
  <si>
    <t>DR SPL - Finance Income</t>
  </si>
  <si>
    <t>Unrealised profit</t>
  </si>
  <si>
    <t>Group Share</t>
  </si>
  <si>
    <t>JV/Associate -&gt; Group</t>
  </si>
  <si>
    <t>Group -&gt; JV/Associate</t>
  </si>
  <si>
    <t>Downstream:</t>
  </si>
  <si>
    <t>Upstream:</t>
  </si>
  <si>
    <t>Group share of historical profit</t>
  </si>
  <si>
    <t>Share of profit of associate</t>
  </si>
  <si>
    <t>DR SPL - Share of profit of the associate</t>
  </si>
  <si>
    <t>If gain from bargain purchase in PY, goes to RE</t>
  </si>
  <si>
    <t>CY dividend</t>
  </si>
  <si>
    <t>Elimination of NCA transfer gain/(loss)</t>
  </si>
  <si>
    <t>NCI share of of elimination</t>
  </si>
  <si>
    <t>Adjustment to depreciation charge</t>
  </si>
  <si>
    <t>Downward revaulation (and no previous upwards revaluation)</t>
  </si>
  <si>
    <t>CR Intangibles - Accumulated depreciation</t>
  </si>
  <si>
    <t>No RV on patents, brands, mastheads etc as no active market UNLESS there is an agreement to purchase at end of useful life</t>
  </si>
  <si>
    <t>The highest paid director exercised … share options of the company [- these were received under an LTIS]</t>
  </si>
  <si>
    <t>Do not include fees for directors of joint ventures/associates</t>
  </si>
  <si>
    <t>A sale has occurred if the rights to use the asset have been transferred after the lease term (and if this is for a substantial part of its useful life). Transaction therefore qualifies as a sale under IFRS 15 Revenue, and should be accounted for as sale and leaseback.</t>
  </si>
  <si>
    <t>Only a proportion of tha gain on disposal may be recognised in the statement of profit or loss, equivalent to the proportion of the asset transferred.</t>
  </si>
  <si>
    <t xml:space="preserve">The lease liability should be equivalent to the PV of future lease payments and not simply the FV of the asset/ cash consideration. </t>
  </si>
  <si>
    <t>ROU property - cost' must be recognised instead of 'Property - cost' and so the old account must be removed (I.e. PPE derecognised and ROU asset recognised)</t>
  </si>
  <si>
    <t>Revaluations</t>
  </si>
  <si>
    <t>CR Revaluation surplus/deficit</t>
  </si>
  <si>
    <t>DR Revaluation surplus/deficit</t>
  </si>
  <si>
    <t xml:space="preserve">As the shares are classified as fair value through OCI, the related revaluation surplus must be released to retained earnings to realise the full gain/loss on diisposal, </t>
  </si>
  <si>
    <t>Adjust profit for the year for any adjustements:</t>
  </si>
  <si>
    <t>Revaluation Reserve</t>
  </si>
  <si>
    <t>Recognise revaluation surplus/deficit separately</t>
  </si>
  <si>
    <t>Profit pre adjustments</t>
  </si>
  <si>
    <t>The … are a financial liability as there is a contractual obligation to deliver cash in the form of …</t>
  </si>
  <si>
    <t>The … are a financial asset as there is a contractual obligation to receive cash in the form of …</t>
  </si>
  <si>
    <t>The amortised cost method requires effective interest to be added to the opening liability, and nominal payments made against the bonds deducted from this.</t>
  </si>
  <si>
    <t>The amortised cost method requires effective interest to be added to the opening asset, and nominal payments made deducted.</t>
  </si>
  <si>
    <t xml:space="preserve">Effective interest is calculated by multiplying the outstanding asset by the effective interest rate. </t>
  </si>
  <si>
    <t>Should be prorated if issued throughout the year.</t>
  </si>
  <si>
    <t>Prior to disposal, one final valuation of the shares is made based on the selling price and the revaluation recognised in equity.</t>
  </si>
  <si>
    <t xml:space="preserve">Revaluation is permitted as there is an active market for the asset </t>
  </si>
  <si>
    <t xml:space="preserve">The carrying amount must be compared to the fair value and the revaluation decrease recognised across the prior revaluation surplus and SPL. </t>
  </si>
  <si>
    <r>
      <rPr>
        <sz val="11"/>
        <color rgb="FFFF0000"/>
        <rFont val="Calibri"/>
        <family val="2"/>
        <scheme val="minor"/>
      </rPr>
      <t>If none of the individual NCA generate cash flows independently from the rest of  the NCAs in the division, then the division as a whole will be treated as the CGU.</t>
    </r>
    <r>
      <rPr>
        <sz val="11"/>
        <color theme="1"/>
        <rFont val="Calibri"/>
        <family val="2"/>
        <scheme val="minor"/>
      </rPr>
      <t xml:space="preserve">
</t>
    </r>
    <r>
      <rPr>
        <b/>
        <sz val="11"/>
        <color theme="1"/>
        <rFont val="Calibri"/>
        <family val="2"/>
        <scheme val="minor"/>
      </rPr>
      <t xml:space="preserve">
Indicators of impairment:</t>
    </r>
    <r>
      <rPr>
        <sz val="11"/>
        <color theme="1"/>
        <rFont val="Calibri"/>
        <family val="2"/>
        <scheme val="minor"/>
      </rPr>
      <t xml:space="preserve">
Internal:
Physical damage, idle assets, assets held within discontinued operationsuseful life reassessed as finite
External:
Decline in asset value, market/ economic changes with adverse effect, change in market interest rates affecting VIU
Annual Impairment tests required for:
Intangible assets with indefinite useful life,  intangibles not yet available for use, goodwill
</t>
    </r>
  </si>
  <si>
    <t>Fair value less costs to sell is calculated at the assets highest and best use</t>
  </si>
  <si>
    <t>The recoverable amount is the higher of VIU or fair value</t>
  </si>
  <si>
    <t xml:space="preserve">As FVLCOD is lower than the carrying amount of the assets, the CGU isi potentially impaired an we must also calculate VIU. </t>
  </si>
  <si>
    <t xml:space="preserve">As it is not possible to allocate goodwill to individual business units, it should instead be allocated to the combined business units. </t>
  </si>
  <si>
    <t>As the recoverable amount of the combined business units exceeds the carrying amount (less impairment) of the combined business units, the unallocated goodwill is shown to be impaired.</t>
  </si>
  <si>
    <t xml:space="preserve">Finished goods include all costs to bring the inventories to their current location and in their current condition - including purchase price, transport costs, irrecoverable import duties and costs of conversion. </t>
  </si>
  <si>
    <t xml:space="preserve">Selling and distribution costs must be deducted from the sales price to give the NRV per unit. </t>
  </si>
  <si>
    <t>As cost/NRV is lower, … is valued at ….</t>
  </si>
  <si>
    <t>The provision will be presented as a [non-current/current liability] on the SoFP.</t>
  </si>
  <si>
    <t>The discount on the provision must be unwound for the CY and the movement recognised in finance costs.</t>
  </si>
  <si>
    <t>Work out transfer with no useful life given:</t>
  </si>
  <si>
    <t>Transfer from revalution surplus</t>
  </si>
  <si>
    <t>Loss on disposal</t>
  </si>
  <si>
    <t xml:space="preserve">Investment property cannot be owner occupied, and therefore will require a transfer from investment property to PPE. </t>
  </si>
  <si>
    <t>Revalue at date of transfer through revaluation reserve in line with IAS 16</t>
  </si>
  <si>
    <t xml:space="preserve">Should be transferred to PPE, with the 'cost' being FV at date of transfer (revalue in line with IAS 40 before transfer), then depreciated over its remaining useful life. </t>
  </si>
  <si>
    <t xml:space="preserve">The transaction price includes a significant financing component as there is more than one year between delivery and payment. </t>
  </si>
  <si>
    <t xml:space="preserve">Revenue and trade receivables/contract asset should be recognised at their present value, with finance income being recogniised monthly until the final receipt, increasing the receivable amount. </t>
  </si>
  <si>
    <t>The transaction price includes variable consideration, being the…</t>
  </si>
  <si>
    <t>It is most likely that the criteria will be met/not met, and so the transaction price will be…</t>
  </si>
  <si>
    <t xml:space="preserve">A refund liability should be recognised for the consideration expected to be refunded. </t>
  </si>
  <si>
    <t>General administration costs are not allowable costs to fulfil a contract and should be expensed as incurred.</t>
  </si>
  <si>
    <t>Revenue which has not been invoiced should be accrued as a contract asset</t>
  </si>
  <si>
    <t>Does the immediate/ultimate parent include the entities results in it's audited consolidated financial statements?</t>
  </si>
  <si>
    <t>Are the consolidated financial statements filed in the UK, so they can be accessed by users?</t>
  </si>
  <si>
    <t>Do any NCI shareholders of subsidiaries request the preparation of consolidated financial statements?</t>
  </si>
  <si>
    <t>Is the parent listed on any refgulated market of a EEA state?</t>
  </si>
  <si>
    <t>CA Exemptions:</t>
  </si>
  <si>
    <t>IFRS 10 Exemption:</t>
  </si>
  <si>
    <t>Is the entity is a wholly-owned or partially-owned subsidiary and the other owners do not object to not preparing consolidated financial statements?</t>
  </si>
  <si>
    <t>Are the entities debt or equity instruments traded in a public market?</t>
  </si>
  <si>
    <t>Does the entities ultimate or any intermediate parent produce publicly available IFRS financial statements?</t>
  </si>
  <si>
    <t>Power</t>
  </si>
  <si>
    <t>Exposure or rights to variable returns from involvement with the investee</t>
  </si>
  <si>
    <t>The ability of the investor to use its power over the investee to affect returns</t>
  </si>
  <si>
    <t>Power over the investee</t>
  </si>
  <si>
    <t>We must consider which entity has control by considering:</t>
  </si>
  <si>
    <t>Power is defined as existing rights that give the current ability to direct relevant activities</t>
  </si>
  <si>
    <t>Voting rights</t>
  </si>
  <si>
    <t>As .. Own more than 50% of voting rights</t>
  </si>
  <si>
    <t>Structured entities:</t>
  </si>
  <si>
    <t>Exposure or rights to variable returns</t>
  </si>
  <si>
    <t>Entity has rights to variable returns through a surplus above a dividend</t>
  </si>
  <si>
    <t>Bank effectlively receives a repayment of the loan with interest through the dividend payment</t>
  </si>
  <si>
    <t>Use of power to affect returns</t>
  </si>
  <si>
    <t xml:space="preserve">As the entity can make changes to the business to affect performance, this affects returns through the surplus received each year. </t>
  </si>
  <si>
    <t xml:space="preserve">Although rights often come from voting rights, owning 100% of the share capital is not enough to define power. 
The entity retained the right to monitor the operation of the subsidiary and to make necessary changes, and so have power through the current ability to direct relevant activities. </t>
  </si>
  <si>
    <t>.. Controls … through the power that it exerts, therefore … must be consolidated into the group.</t>
  </si>
  <si>
    <t>Structured entity - has been designed so that voting or similar rights are not the dominant factor in deciding who controls the entity.</t>
  </si>
  <si>
    <t xml:space="preserve">If a structured entity is 'controlled' by another, then it should be included in any consolidated financial statements of the controlling entity. </t>
  </si>
  <si>
    <t>e.g. charitable trust</t>
  </si>
  <si>
    <t>Consolidation Exemptions</t>
  </si>
  <si>
    <t>Control</t>
  </si>
  <si>
    <t>As the time value of money is material, the PV of expected expenditure is receorded as a provision:</t>
  </si>
  <si>
    <t>The unwinding of the discount must be calculated - this represents a finance cost.</t>
  </si>
  <si>
    <t>Total consideration</t>
  </si>
  <si>
    <t>Cash paid</t>
  </si>
  <si>
    <t>Deferred payment</t>
  </si>
  <si>
    <t>Ordinary shares at FV</t>
  </si>
  <si>
    <t>Bonds at FV</t>
  </si>
  <si>
    <t>Property at FV</t>
  </si>
  <si>
    <t>Contingent Shares</t>
  </si>
  <si>
    <t>CR Cash</t>
  </si>
  <si>
    <t>CR Share Premium</t>
  </si>
  <si>
    <t xml:space="preserve">CR Share capital </t>
  </si>
  <si>
    <t>CR liability for deferred payment</t>
  </si>
  <si>
    <t>Transaction costs:</t>
  </si>
  <si>
    <t>DR Share premium</t>
  </si>
  <si>
    <t xml:space="preserve">DR Inventories </t>
  </si>
  <si>
    <t xml:space="preserve">Intangible assets </t>
  </si>
  <si>
    <t xml:space="preserve">Fair value </t>
  </si>
  <si>
    <t>DR Intangible assets</t>
  </si>
  <si>
    <t>Development expenditure</t>
  </si>
  <si>
    <t>Subsidiary adjustment if held at FV model, consol adjustment if cost model</t>
  </si>
  <si>
    <t>FV of intangible asset</t>
  </si>
  <si>
    <t>Carrying amount of net assets</t>
  </si>
  <si>
    <t>Fair value of net assets</t>
  </si>
  <si>
    <t>Manual entry</t>
  </si>
  <si>
    <t>Deferred payment:</t>
  </si>
  <si>
    <t>Nominal</t>
  </si>
  <si>
    <t>DR Bond liability</t>
  </si>
  <si>
    <t xml:space="preserve">CR Cash </t>
  </si>
  <si>
    <t xml:space="preserve">DR Admin expenses </t>
  </si>
  <si>
    <t>Adjustments to Net Assets:</t>
  </si>
  <si>
    <t>Held using FV model?</t>
  </si>
  <si>
    <t>DR financial asset</t>
  </si>
  <si>
    <t>Contingent Liability</t>
  </si>
  <si>
    <t>FV of contingent liability (recognise as credit)</t>
  </si>
  <si>
    <t>CR liability</t>
  </si>
  <si>
    <t>Adjustment to net assets</t>
  </si>
  <si>
    <t>Fair value adjustment</t>
  </si>
  <si>
    <t>Subsidiary adjustments:</t>
  </si>
  <si>
    <t>Fair value adjustments:</t>
  </si>
  <si>
    <t>* Ensure correct classification as FV adjustment or subsidiary adjustment</t>
  </si>
  <si>
    <t>Number</t>
  </si>
  <si>
    <t>Market value</t>
  </si>
  <si>
    <t>CR Contingent Shares Reserve</t>
  </si>
  <si>
    <t>FV of net assets</t>
  </si>
  <si>
    <t xml:space="preserve">NCI share of net assets </t>
  </si>
  <si>
    <t xml:space="preserve">NCI </t>
  </si>
  <si>
    <t>For transfer to consol template:</t>
  </si>
  <si>
    <t>Do not make any adjustments after 12 months</t>
  </si>
  <si>
    <t>Issued Bonds</t>
  </si>
  <si>
    <t>% of inventories sold on during year</t>
  </si>
  <si>
    <t>Effective interest prior to revaluation</t>
  </si>
  <si>
    <t xml:space="preserve">New effective interest rate </t>
  </si>
  <si>
    <t xml:space="preserve">Increased depreciation charge </t>
  </si>
  <si>
    <t>DR SPL - Depreciation charge</t>
  </si>
  <si>
    <t>CR PPE - Accumulated depreciation</t>
  </si>
  <si>
    <t xml:space="preserve">Cum. effect on SPL </t>
  </si>
  <si>
    <t>CR SPL - finance costs</t>
  </si>
  <si>
    <t>NCI share</t>
  </si>
  <si>
    <t xml:space="preserve">DR SFP - NCI </t>
  </si>
  <si>
    <t>CR SPL  - NCI</t>
  </si>
  <si>
    <t>Effect of FV adjustments</t>
  </si>
  <si>
    <t>Manually add FV adjustments</t>
  </si>
  <si>
    <t>Assets (market value)</t>
  </si>
  <si>
    <t>CY</t>
  </si>
  <si>
    <t>PY</t>
  </si>
  <si>
    <t xml:space="preserve">Net pension asset </t>
  </si>
  <si>
    <t>Current service cost</t>
  </si>
  <si>
    <t>Contributions in year</t>
  </si>
  <si>
    <t>Benefit payments</t>
  </si>
  <si>
    <t>PV of obligation (acturial value)</t>
  </si>
  <si>
    <t>Step 1 - Contributions</t>
  </si>
  <si>
    <t>CR bank</t>
  </si>
  <si>
    <t>CR Pension account (assets)</t>
  </si>
  <si>
    <t>DR Pension account (obligation)</t>
  </si>
  <si>
    <t>Step 3 - Service Cost</t>
  </si>
  <si>
    <t>DR SPL - Staff costs</t>
  </si>
  <si>
    <t>CR Pension account (obligation)</t>
  </si>
  <si>
    <t xml:space="preserve">Step 4 - Interest </t>
  </si>
  <si>
    <t xml:space="preserve">Contributions </t>
  </si>
  <si>
    <t>Pro- rata  %</t>
  </si>
  <si>
    <t>Adjusted balance</t>
  </si>
  <si>
    <t>Pension assets</t>
  </si>
  <si>
    <t>Pension obligations</t>
  </si>
  <si>
    <t xml:space="preserve">Discount/interest rate </t>
  </si>
  <si>
    <t>Finance income on assets/costs on obligation</t>
  </si>
  <si>
    <t>Step 5 - remeasurements</t>
  </si>
  <si>
    <t>Fair value of pension assets</t>
  </si>
  <si>
    <t>Present value of pension obligation</t>
  </si>
  <si>
    <t>Contributions</t>
  </si>
  <si>
    <t>Interest</t>
  </si>
  <si>
    <t>Remeasurement gain/ Actuarial loss</t>
  </si>
  <si>
    <t>Staff costs</t>
  </si>
  <si>
    <t>FV Adjustments</t>
  </si>
  <si>
    <t>Land</t>
  </si>
  <si>
    <t>Depreciation:</t>
  </si>
  <si>
    <t>Increase in FV</t>
  </si>
  <si>
    <t xml:space="preserve"> </t>
  </si>
  <si>
    <t>Depreciation %</t>
  </si>
  <si>
    <t>Increase in depreciation charge</t>
  </si>
  <si>
    <t>DR SPL - depreciation charge</t>
  </si>
  <si>
    <t>Interest on bonds:</t>
  </si>
  <si>
    <t>Original interest rate</t>
  </si>
  <si>
    <t>New interest rate</t>
  </si>
  <si>
    <t>Increase/(decrease) in finance costs</t>
  </si>
  <si>
    <t>% of inventory sold since acquisition</t>
  </si>
  <si>
    <t>Increased CoS</t>
  </si>
  <si>
    <t>Journals (right)</t>
  </si>
  <si>
    <t>DR PPE - Land</t>
  </si>
  <si>
    <t>Should relate to manual FV adjustment</t>
  </si>
  <si>
    <t>CR Retained earnings/ gain from bargain purchase</t>
  </si>
  <si>
    <t>Fully eliminate (inc. gain/loss) Assets granted as part of investment</t>
  </si>
  <si>
    <t>Fee</t>
  </si>
  <si>
    <t>DR SPL - Other income</t>
  </si>
  <si>
    <t>CR SPL - administrative expenses</t>
  </si>
  <si>
    <t>Defined benefit pension plan:</t>
  </si>
  <si>
    <t>Defined contribution pension plan:</t>
  </si>
  <si>
    <t>Short term staff costs:</t>
  </si>
  <si>
    <t>Profit Sharing scheme:</t>
  </si>
  <si>
    <t>Employee % payable</t>
  </si>
  <si>
    <t>Wages and salaries (gross)</t>
  </si>
  <si>
    <t>PBT</t>
  </si>
  <si>
    <t>Employer % payable</t>
  </si>
  <si>
    <t>Employers NI</t>
  </si>
  <si>
    <t>% Payment</t>
  </si>
  <si>
    <t>Total salaries</t>
  </si>
  <si>
    <t>Weighted avg. if applicable</t>
  </si>
  <si>
    <t>PAYE contributions</t>
  </si>
  <si>
    <t>Employee NI deductions</t>
  </si>
  <si>
    <t>NI</t>
  </si>
  <si>
    <t>Total employee contributions</t>
  </si>
  <si>
    <t>(accounted for as part of bank payment)</t>
  </si>
  <si>
    <t>Amounts outstanding to HMRC</t>
  </si>
  <si>
    <t>Current service cost (%*Salaries in year)</t>
  </si>
  <si>
    <t>Total employer contributions</t>
  </si>
  <si>
    <t>Journal:</t>
  </si>
  <si>
    <t>Past service cost contributions</t>
  </si>
  <si>
    <t>Owing to pension plan at period end</t>
  </si>
  <si>
    <t>Past service cost additional liability</t>
  </si>
  <si>
    <t>DR Staff costs</t>
  </si>
  <si>
    <t>DR staff cost</t>
  </si>
  <si>
    <t>Transfers out</t>
  </si>
  <si>
    <t>CR HMRC creditor</t>
  </si>
  <si>
    <t>CR accrued staff costs</t>
  </si>
  <si>
    <t>Reduction in FV of obligation due to transfer</t>
  </si>
  <si>
    <t>Gain/(Loss) on transfer</t>
  </si>
  <si>
    <t>DR staff costs</t>
  </si>
  <si>
    <t>CR Pension liability</t>
  </si>
  <si>
    <t>DR Pension account  (assets)</t>
  </si>
  <si>
    <t>Step 2 - Benefit/Transfer payments</t>
  </si>
  <si>
    <t>Past service costs</t>
  </si>
  <si>
    <t>Transfers</t>
  </si>
  <si>
    <t>Past service cost</t>
  </si>
  <si>
    <t xml:space="preserve">Net gain/(loss) = </t>
  </si>
  <si>
    <t>OCI:</t>
  </si>
  <si>
    <t>Remeasurement of defined benefit pension plan - gain/(loss)</t>
  </si>
  <si>
    <t>Pension surplus</t>
  </si>
  <si>
    <t>Non-current liabilties</t>
  </si>
  <si>
    <t>Pension obligation</t>
  </si>
  <si>
    <t>Analyse effect of SPL and SoFP of errors:</t>
  </si>
  <si>
    <t>Year end date</t>
  </si>
  <si>
    <t>Payment  1</t>
  </si>
  <si>
    <t xml:space="preserve">Adjust to 14th </t>
  </si>
  <si>
    <t xml:space="preserve">Profit </t>
  </si>
  <si>
    <t>Payment  2</t>
  </si>
  <si>
    <t>Payment  3</t>
  </si>
  <si>
    <t>Payment  4</t>
  </si>
  <si>
    <t>Amount paid in year</t>
  </si>
  <si>
    <t>Tax at 19%</t>
  </si>
  <si>
    <t>Tax expense</t>
  </si>
  <si>
    <t>Opening creditor</t>
  </si>
  <si>
    <t>Can carry back against previous profits</t>
  </si>
  <si>
    <t>Paid to date</t>
  </si>
  <si>
    <t>Over/(under) provision</t>
  </si>
  <si>
    <t>Tax loss</t>
  </si>
  <si>
    <t>DR SPL - Taxation</t>
  </si>
  <si>
    <t>DR Other receivables</t>
  </si>
  <si>
    <t>CR Current Tax payable</t>
  </si>
  <si>
    <t>CR SPL - Taxation</t>
  </si>
  <si>
    <t>Tax</t>
  </si>
  <si>
    <t xml:space="preserve">For FVTPL, revalue through SPL </t>
  </si>
  <si>
    <t>Costs of disposal:</t>
  </si>
  <si>
    <t>DR Admin expenses</t>
  </si>
  <si>
    <t>Dividends received</t>
  </si>
  <si>
    <t>Cash generated from operations</t>
  </si>
  <si>
    <t>Cash generated from operations =</t>
  </si>
  <si>
    <t>Payment of lease liabilities</t>
  </si>
  <si>
    <t>Cash flows from financing activities</t>
  </si>
  <si>
    <t>Proceeds from issue of share capital</t>
  </si>
  <si>
    <t>Purchase of investments</t>
  </si>
  <si>
    <t>Proceeds from sale of investments</t>
  </si>
  <si>
    <t>Direct method:</t>
  </si>
  <si>
    <t>Cash and cash equivalents within current assets</t>
  </si>
  <si>
    <t>Admin expenses</t>
  </si>
  <si>
    <t>Purchases = cost of sales - opening inventory + closing inventory</t>
  </si>
  <si>
    <t>Carrying amount on BS (with prior revaluation)</t>
  </si>
  <si>
    <t>Goods exchanged for services</t>
  </si>
  <si>
    <t>Stand alone selling price of goods/services provided</t>
  </si>
  <si>
    <t>for services received</t>
  </si>
  <si>
    <t>DR Cost of sales</t>
  </si>
  <si>
    <t>CR inventory/ SPL income</t>
  </si>
  <si>
    <t>DR SPL - expense/ inventory</t>
  </si>
  <si>
    <t>Discontinued operations</t>
  </si>
  <si>
    <t>Net</t>
  </si>
  <si>
    <t>Discontinued operation</t>
  </si>
  <si>
    <t>Profit/(loss)</t>
  </si>
  <si>
    <t>Profit/(loss) on disposal</t>
  </si>
  <si>
    <t>Sales value</t>
  </si>
  <si>
    <t>Total profit/(loss) for the year</t>
  </si>
  <si>
    <t>Adjustments for:</t>
  </si>
  <si>
    <t>Non-cash items</t>
  </si>
  <si>
    <t>i.e. foreign exchange gains, non-cash considerations</t>
  </si>
  <si>
    <t>Account for effect of accrued finance costs etc that are not payable in cash</t>
  </si>
  <si>
    <t>Refunds on over/underpayments go to SPL - taxation</t>
  </si>
  <si>
    <t>Any unpaid tax for the current period is a liability</t>
  </si>
  <si>
    <t xml:space="preserve">An election has been made to carry back the loss, and as the directors are confident it will be successful, the refund on the tax loss should be recognised. </t>
  </si>
  <si>
    <t xml:space="preserve">An asset should be recognised in the current year with a corresponding reduction in the taxation expense. </t>
  </si>
  <si>
    <t xml:space="preserve">The redeemed debentures/bonds should be derecognised as they have been cancelled, thus extinguishing the obligation. </t>
  </si>
  <si>
    <t>The gain/loss on redemption should be recorded in profit or loss.</t>
  </si>
  <si>
    <t>Forward contract should be valued at its fair value at year end  - a fair value gain/loss is recognised in profit or loss as the movement in exchange rates is favourable/unfavourable.</t>
  </si>
  <si>
    <t>This is a forward contract and is an example of a non-hedging derivative</t>
  </si>
  <si>
    <t xml:space="preserve">A derivative liability should be created within current liabilities specifically if it will be settled within 12 months of the year end. </t>
  </si>
  <si>
    <t>The only loss in respect of the sale will be any selling costs incurred (and any release from equity)</t>
  </si>
  <si>
    <t xml:space="preserve">As the loan is classified as amortised costs, expected credit losses must be evaluated at the year end and the loss allowance updated. </t>
  </si>
  <si>
    <t>The PV of the 12 month/lifetime expected credit losses must be compared to the opening loss allowance and only the increase/decrease should be accounted for in the current year.</t>
  </si>
  <si>
    <t xml:space="preserve">For stage 3 income, finance income is calculated on the net balance. </t>
  </si>
  <si>
    <t xml:space="preserve">The standard costs should be adjusted for variances relating to closing inventories unless they relate to abnormal events. </t>
  </si>
  <si>
    <t xml:space="preserve">Selling and distribution variances are irrelevant in arriving at the cost of inventories as the underlying expense is not permitted. </t>
  </si>
  <si>
    <t xml:space="preserve">Inventories must be valued at the lower of cost and NRV. </t>
  </si>
  <si>
    <t xml:space="preserve">It is permissible under IAS 2 to use either the first in first out method, or the average cost method. </t>
  </si>
  <si>
    <t xml:space="preserve">AVCO v FIFO - In future years, if prices continue to rise, profit (less costly inventories sold first) and inventories (most recent inventories costlier) will be higher under first in first out than average cost and vice versa. </t>
  </si>
  <si>
    <t>Warehousing costs are not included unless necessary before further production (i.e. whiskey)</t>
  </si>
  <si>
    <t>Standard costs are allowable as a method of valuing inventories providing that they are a reasonable approximation of actual cost</t>
  </si>
  <si>
    <t xml:space="preserve">Adjustments should be made for normal variances from standard cost and must be pro-rated. </t>
  </si>
  <si>
    <t>Selling and distribution variance should be used to adjust NRV (Remember not incurred in respect of inventory at YE)</t>
  </si>
  <si>
    <t>Receipts are cash flows of solely principal (ie. Final repayment) and interest and it is the intention to hold them until maturity and so the asset is classified as amortised cost</t>
  </si>
  <si>
    <t>At initial recognition the asset is recognised at fair value plus the acquisition costs</t>
  </si>
  <si>
    <t>Less effective interest</t>
  </si>
  <si>
    <t>Cash flows from operating activities</t>
  </si>
  <si>
    <t>Cash flows from investing activities</t>
  </si>
  <si>
    <t xml:space="preserve">This contract does not qualify as a lease as the enetity does not control the asset. They cannot direct their use and obtain subdtantially all associated economic benefits. </t>
  </si>
  <si>
    <t>The asset remains under the control of … and can be used as needed in their business.</t>
  </si>
  <si>
    <t>This is instead a contract for services whereby there is an agreement to provide …</t>
  </si>
  <si>
    <t>Expenses in relation to this agreement will be recognised directly in profit or loss as the work is undertaken</t>
  </si>
  <si>
    <t>Nominal value</t>
  </si>
  <si>
    <t>Premium on purchase</t>
  </si>
  <si>
    <t>Nominal value of shares</t>
  </si>
  <si>
    <t>DR Share capital</t>
  </si>
  <si>
    <t>DR Premium on purchase</t>
  </si>
  <si>
    <t>CR Premium on purchase</t>
  </si>
  <si>
    <t>CR Capital redemption reserve</t>
  </si>
  <si>
    <t>Distributable profits</t>
  </si>
  <si>
    <t>Step 2 - Record the Purchase</t>
  </si>
  <si>
    <t>Step 1 - Consider legality</t>
  </si>
  <si>
    <t>Step 3 - Record any new issue</t>
  </si>
  <si>
    <t>Step 4 - Eliminate any premium on purchase</t>
  </si>
  <si>
    <t>Step 5 - Replace the nominal value of shares purchased</t>
  </si>
  <si>
    <t>Proceeds from new issue</t>
  </si>
  <si>
    <t>Par</t>
  </si>
  <si>
    <t>Premium</t>
  </si>
  <si>
    <t>New issue</t>
  </si>
  <si>
    <t>Consideration for repurchase</t>
  </si>
  <si>
    <t>Balance on share premium</t>
  </si>
  <si>
    <t>Share premium from new issue</t>
  </si>
  <si>
    <t>In respect of repurchased shares</t>
  </si>
  <si>
    <t>BS share premium</t>
  </si>
  <si>
    <t>Original share premium (repurchased shares)</t>
  </si>
  <si>
    <t>As there has been a new issue of shares to fund the purchase, and as the shares being purchased were initially issued at a premium, share premium may be used to elimate the premium on purchase</t>
  </si>
  <si>
    <t>The lower of the original share premium and the balance on share premium may be used</t>
  </si>
  <si>
    <t>The remaining premium on purchase is written off against distributable profits</t>
  </si>
  <si>
    <t>All RE distributable?</t>
  </si>
  <si>
    <t xml:space="preserve">Transactions in year </t>
  </si>
  <si>
    <t>Dividends on ordinary shares</t>
  </si>
  <si>
    <t>Realised revaluation gain</t>
  </si>
  <si>
    <t>Unrealised gain on exchange</t>
  </si>
  <si>
    <t>Distributable profits at year end</t>
  </si>
  <si>
    <t>Retained earnings PY</t>
  </si>
  <si>
    <t>Profit for CY</t>
  </si>
  <si>
    <t>Dividends CY</t>
  </si>
  <si>
    <t>Transfer from revlaution surplus</t>
  </si>
  <si>
    <t>Retained earnings CY</t>
  </si>
  <si>
    <t>Negative</t>
  </si>
  <si>
    <t>Consists of:</t>
  </si>
  <si>
    <t>Distrbutable profits</t>
  </si>
  <si>
    <t>Non-distributable profits</t>
  </si>
  <si>
    <t>RE at YE</t>
  </si>
  <si>
    <t>Distributable profits PY balance</t>
  </si>
  <si>
    <t>Fair value increase on investment property</t>
  </si>
  <si>
    <t>Profit for the year, prior to adjusting for unrealised profits</t>
  </si>
  <si>
    <t>Not realised</t>
  </si>
  <si>
    <t>(Increase)/decrease in receivables allowance</t>
  </si>
  <si>
    <t>Bad debts written off (deduct)</t>
  </si>
  <si>
    <t>Trade payables - Deduct prepayments from balance/ add accruals and provisions related to operating profit. Exclude tax payable and accrued finance costs.</t>
  </si>
  <si>
    <t>Less disposals (carrying amount)</t>
  </si>
  <si>
    <t>RoU assets under new leases</t>
  </si>
  <si>
    <t>Shares repurchased by company (#)</t>
  </si>
  <si>
    <t>Shares issued to fund purchase?</t>
  </si>
  <si>
    <t>Purchase of shares</t>
  </si>
  <si>
    <t>Capital Redemption reserve</t>
  </si>
  <si>
    <t>Record deductions as a negative</t>
  </si>
  <si>
    <t>UNREALISED:</t>
  </si>
  <si>
    <t>Fair value increases on investment property</t>
  </si>
  <si>
    <t>Unrealised gains on exchange</t>
  </si>
  <si>
    <t>Excess depreciation on revalued assets</t>
  </si>
  <si>
    <t>REALISED:</t>
  </si>
  <si>
    <t>Revaluation decreases debited to revaluation surplus (assets that had previously been revalued upwards)</t>
  </si>
  <si>
    <t>Adjust for difference in profit when measuring assets at cost/revaluation model, adjust for transfers to be made from revaluation surplus (difference between yearly depreciation)</t>
  </si>
  <si>
    <t>Statement of cash flows</t>
  </si>
  <si>
    <t>Can also be shown in a financing cash flow</t>
  </si>
  <si>
    <r>
      <t xml:space="preserve">Net cash </t>
    </r>
    <r>
      <rPr>
        <i/>
        <sz val="12"/>
        <color rgb="FFC00000"/>
        <rFont val="Arial"/>
        <family val="2"/>
      </rPr>
      <t>from/ used in</t>
    </r>
    <r>
      <rPr>
        <i/>
        <sz val="12"/>
        <color theme="1"/>
        <rFont val="Arial"/>
        <family val="2"/>
      </rPr>
      <t xml:space="preserve"> operating activities</t>
    </r>
  </si>
  <si>
    <t>Delete 'from' or 'used in' as necessary</t>
  </si>
  <si>
    <t>Acquisition of subsidiary, net of cash acquired</t>
  </si>
  <si>
    <t>Disposal of subsidiary, net of cash disposed</t>
  </si>
  <si>
    <t>Purchase of non-current assets</t>
  </si>
  <si>
    <t>Edit as necessary for type of non-current asset</t>
  </si>
  <si>
    <t>Proceeds from sale of non-current assets</t>
  </si>
  <si>
    <t>Purchase of other investments</t>
  </si>
  <si>
    <t>Edit as necessary for type of other investment</t>
  </si>
  <si>
    <t>Proceeds from sale of other investments</t>
  </si>
  <si>
    <t>Can also be shown as an operating cash flow</t>
  </si>
  <si>
    <r>
      <t xml:space="preserve">Net cash </t>
    </r>
    <r>
      <rPr>
        <i/>
        <sz val="12"/>
        <color rgb="FFC00000"/>
        <rFont val="Arial"/>
        <family val="2"/>
      </rPr>
      <t>from/ used in</t>
    </r>
    <r>
      <rPr>
        <i/>
        <sz val="12"/>
        <color theme="1"/>
        <rFont val="Arial"/>
        <family val="2"/>
      </rPr>
      <t xml:space="preserve"> investing activities</t>
    </r>
  </si>
  <si>
    <t>Purchase of share capital</t>
  </si>
  <si>
    <t>Proceeds from long-term borrowings</t>
  </si>
  <si>
    <t>Edit as necessary for type of borrowing</t>
  </si>
  <si>
    <t>Payment/ Redemption of long-term borrowings</t>
  </si>
  <si>
    <t>Edit as necessary for type of borrowing; Delete 'Payment'/ 'Redemption' as necessary</t>
  </si>
  <si>
    <r>
      <t xml:space="preserve">Net cash </t>
    </r>
    <r>
      <rPr>
        <i/>
        <sz val="12"/>
        <color rgb="FFC00000"/>
        <rFont val="Arial"/>
        <family val="2"/>
      </rPr>
      <t>from/ used</t>
    </r>
    <r>
      <rPr>
        <i/>
        <sz val="12"/>
        <color theme="1"/>
        <rFont val="Arial"/>
        <family val="2"/>
      </rPr>
      <t xml:space="preserve"> in financing activities</t>
    </r>
  </si>
  <si>
    <t>Net increase/ decrease in cash and cash equivalents</t>
  </si>
  <si>
    <t>Delete 'increase' or 'decrease' as necessary</t>
  </si>
  <si>
    <r>
      <t xml:space="preserve">Cash and cash equivalents at </t>
    </r>
    <r>
      <rPr>
        <b/>
        <sz val="12"/>
        <color rgb="FFC00000"/>
        <rFont val="Arial"/>
        <family val="2"/>
      </rPr>
      <t>[INSERT FIRST DAY OF YEAR]</t>
    </r>
  </si>
  <si>
    <r>
      <t xml:space="preserve">From the final TB/ ETB; </t>
    </r>
    <r>
      <rPr>
        <b/>
        <sz val="12"/>
        <color rgb="FFC00000"/>
        <rFont val="Arial"/>
        <family val="2"/>
      </rPr>
      <t>use negative amount if overdrawn</t>
    </r>
  </si>
  <si>
    <r>
      <t xml:space="preserve">Cash and cash equivalents at </t>
    </r>
    <r>
      <rPr>
        <b/>
        <sz val="12"/>
        <color rgb="FFC00000"/>
        <rFont val="Arial"/>
        <family val="2"/>
      </rPr>
      <t>[INSERT Y/E DATE]</t>
    </r>
  </si>
  <si>
    <t>Check that net movement in cash equals the movement in cash and cash equivalents</t>
  </si>
  <si>
    <r>
      <rPr>
        <sz val="12"/>
        <color rgb="FFC00000"/>
        <rFont val="Arial"/>
        <family val="2"/>
      </rPr>
      <t>Profit/ Loss</t>
    </r>
    <r>
      <rPr>
        <sz val="12"/>
        <color theme="1"/>
        <rFont val="Arial"/>
        <family val="2"/>
      </rPr>
      <t xml:space="preserve"> before taxation</t>
    </r>
  </si>
  <si>
    <r>
      <t xml:space="preserve">From the final TB/ ETB/ ETB; Delete 'Profit' or 'Loss' as necessary; </t>
    </r>
    <r>
      <rPr>
        <b/>
        <sz val="12"/>
        <color rgb="FFC00000"/>
        <rFont val="Arial"/>
        <family val="2"/>
      </rPr>
      <t>Use negative amount if a loss</t>
    </r>
  </si>
  <si>
    <t>Depreciation of non-current assets</t>
  </si>
  <si>
    <t>Delete as necessary</t>
  </si>
  <si>
    <t>Amortisation of non-current assets</t>
  </si>
  <si>
    <t>Gain on sale of non-current assets</t>
  </si>
  <si>
    <t>Loss on sale of non-current assets</t>
  </si>
  <si>
    <t>Fair value gain</t>
  </si>
  <si>
    <t>Fair value loss</t>
  </si>
  <si>
    <t>Foreign exchange gain</t>
  </si>
  <si>
    <t>Foreign exchange loss</t>
  </si>
  <si>
    <t>Release of deferred income</t>
  </si>
  <si>
    <r>
      <t xml:space="preserve">Net cash </t>
    </r>
    <r>
      <rPr>
        <i/>
        <sz val="12"/>
        <color rgb="FFC00000"/>
        <rFont val="Arial"/>
        <family val="2"/>
      </rPr>
      <t>from/ used</t>
    </r>
    <r>
      <rPr>
        <i/>
        <sz val="12"/>
        <color theme="1"/>
        <rFont val="Arial"/>
        <family val="2"/>
      </rPr>
      <t xml:space="preserve"> in investing activities</t>
    </r>
  </si>
  <si>
    <t>Account for movements in accruals, inventories, prepayments, provisions etc (can separate out)</t>
  </si>
  <si>
    <t>Bonus issue</t>
  </si>
  <si>
    <t xml:space="preserve">Proceeds from issue of share capital </t>
  </si>
  <si>
    <t>Opening share capital and share premium</t>
  </si>
  <si>
    <t>Closing share capital and share premium</t>
  </si>
  <si>
    <t>Proceeds from long term borrowings</t>
  </si>
  <si>
    <t>Opening debentures</t>
  </si>
  <si>
    <t>Closing debentures</t>
  </si>
  <si>
    <t xml:space="preserve">Proceeds from long term borrowings </t>
  </si>
  <si>
    <t>Proceeds from sale of PPE</t>
  </si>
  <si>
    <t>Loss/(gain) on disposal</t>
  </si>
  <si>
    <t>Manual entry - split into individual line items for journal entry requirement</t>
  </si>
  <si>
    <t>Ensure to transfer assets under construction to PPE</t>
  </si>
  <si>
    <t>Ensure to include adjustments from earlier requirements in this journal rather than just through consolidation excel</t>
  </si>
  <si>
    <t>Joint venture:</t>
  </si>
  <si>
    <t>The consolidated financial statements should include a single line item with non-current assets showing the cost of the investment:</t>
  </si>
  <si>
    <t>Less any bargain purchase (if relevant)</t>
  </si>
  <si>
    <t>Adjusted for the groups 25% share of joint venture profits and losses included in the statement of profit or loss since acquisition</t>
  </si>
  <si>
    <t>Adjusted for the groups 25% share of the JVs gains and losses included in the statement of OCI since acquisition</t>
  </si>
  <si>
    <t xml:space="preserve">In the consolidated financial statements, the JV should be accounted for using the equity method. </t>
  </si>
  <si>
    <t>Adjusted for any dividends received from the joint venture</t>
  </si>
  <si>
    <t>Financial asset:</t>
  </si>
  <si>
    <t xml:space="preserve">An investment below 20% is accounted for as an ordinary investment as the entity has no ability to control or direct activities in the company. </t>
  </si>
  <si>
    <t>The investment would be included as a financial asset in the consolidated financial statement of financial position and would be valued at its fair value at year end.</t>
  </si>
  <si>
    <t>Associate:</t>
  </si>
  <si>
    <t>Adjusted for the groups share of associates profits and losses included in the statement of profit or loss since acquisition</t>
  </si>
  <si>
    <t>Adjusted for any dividends received from the associate</t>
  </si>
  <si>
    <t>Adjusted for the groups share of the associates gains and losses included in the statement of OCI since acquisition</t>
  </si>
  <si>
    <t>An investment where there is significant influence is accounted for as an associate in the consolidated statement of finacial position using the equity method.</t>
  </si>
  <si>
    <t>Presumed for 20-50% shareholding</t>
  </si>
  <si>
    <t>Does not have control or joint control</t>
  </si>
  <si>
    <t>Two or more parties have joint control (requires unanimous consent)</t>
  </si>
  <si>
    <t>Have right to net assets of the arrangement (always a separate legal entity)</t>
  </si>
  <si>
    <t>Adjust for any impairment of investment and groups % of unrealised profits</t>
  </si>
  <si>
    <t>In individual finacial statements the investment is measured at cost, in line with IFRS 9 or using the equity metho</t>
  </si>
  <si>
    <t>Uniform accounting policies should be applied</t>
  </si>
  <si>
    <t>Reporting dates should be the same (or no more than 3 months difference with adjustments made as relevant)</t>
  </si>
  <si>
    <t xml:space="preserve">Evidenced by significant influence (e.g. representation on the board). Significant influence is defined as the power to participate in the financial and operating policy decisions of the investee, but is not control or joint control of these policies. </t>
  </si>
  <si>
    <t>A seat on the board would suggest significant influence, as does the fact that the entity purchases/sells products to the investee if this is deemed to be a material amount</t>
  </si>
  <si>
    <t>Subsidiary:</t>
  </si>
  <si>
    <t>Presumed for over 50% of voting rights</t>
  </si>
  <si>
    <t>Evidenced by control, must consider:</t>
  </si>
  <si>
    <t>Power:</t>
  </si>
  <si>
    <t>Defined as existing rights that give the current ability to direct relevant activities</t>
  </si>
  <si>
    <t>Although rights often come from voting rights, owning xx % is not enough to define power.</t>
  </si>
  <si>
    <t xml:space="preserve">As have the right to monitor operations and make necessary changes have power through the current ability to direct relevant activities. </t>
  </si>
  <si>
    <t>Right to variable returns through surplus above dividend</t>
  </si>
  <si>
    <t>Can make changes to affect performance, therefore affecting the variable returns received</t>
  </si>
  <si>
    <t>Conclusion: The entity controls the investee through the power it exerts, therefore must be consolidated into the group</t>
  </si>
  <si>
    <t>Calculate % shareholding/ voting power for all</t>
  </si>
  <si>
    <t>Consolidation</t>
  </si>
  <si>
    <t>Associates and JVs</t>
  </si>
  <si>
    <t>Accounting for investments</t>
  </si>
  <si>
    <t>Shares</t>
  </si>
  <si>
    <t>As there is active market for the shares, the quoted market price is a level 1 input for the purposes of valuing the financial asset.</t>
  </si>
  <si>
    <t>Investments in shares are ordinarily classified as FVTPL, as there are no contractual terms giving rise to cash flows that are solely payments of principal and interest.</t>
  </si>
  <si>
    <t xml:space="preserve">The transaction costs must be written off to the SPL. </t>
  </si>
  <si>
    <t xml:space="preserve">Fair value = </t>
  </si>
  <si>
    <t>Market value * number of shares</t>
  </si>
  <si>
    <t xml:space="preserve">If it is decided that an election will be made to classify shares as FVTOCI, the FV at the date of acquisition would include the transaction costs. </t>
  </si>
  <si>
    <t>Market value * number of shares + transaction costs</t>
  </si>
  <si>
    <t>Convertible bonds</t>
  </si>
  <si>
    <t>There is no active market for the bonds, but there is the existence of an active market for similar (not identical) bonds which provide a level 2 input.</t>
  </si>
  <si>
    <t>The investment in bonds will be classified as 'amortised cost' as there are contractual terms giving rise to cash flows that are solely payments of principal and interest and it is the intention to collect these (i.e. they will not be held for trading)</t>
  </si>
  <si>
    <t>The FV at the date of acquisition would include the transaction cosrts</t>
  </si>
  <si>
    <t>Comparable value + transaction costs</t>
  </si>
  <si>
    <t>Fair value =</t>
  </si>
  <si>
    <t xml:space="preserve">As this is an onerous (i.e. loss making) contract, sufficient cost of sales and a provision must be recognised to account for the loss immediately. </t>
  </si>
  <si>
    <t xml:space="preserve">The provision should be recognised at the least net cost of exiting the contract. </t>
  </si>
  <si>
    <t>If no provision then cost of sales and the provisions are understated - a provision must be recognised at the net cost of …, which is the lesser of the future loss and cancellation cost of …</t>
  </si>
  <si>
    <t>Ensure amounts invoiced has been credited to revenue</t>
  </si>
  <si>
    <t>A provision should therefore be recognised for …, which is less than …</t>
  </si>
  <si>
    <t xml:space="preserve">Revenue/trade receivables should be recorded at the cash selling price before recognising an apportionment of finance income and unwinding the discount. </t>
  </si>
  <si>
    <r>
      <t>Finance income should be recognised as the difference between the promised condieration of … and the cash selling price on the</t>
    </r>
    <r>
      <rPr>
        <b/>
        <sz val="11"/>
        <color rgb="FFFF0000"/>
        <rFont val="Calibri"/>
        <family val="2"/>
        <scheme val="minor"/>
      </rPr>
      <t xml:space="preserve"> date of delivery</t>
    </r>
    <r>
      <rPr>
        <sz val="11"/>
        <color rgb="FFFF0000"/>
        <rFont val="Calibri"/>
        <family val="2"/>
        <scheme val="minor"/>
      </rPr>
      <t>, apportioned across the accounting period .</t>
    </r>
  </si>
  <si>
    <t>Contract does not exist:</t>
  </si>
  <si>
    <t xml:space="preserve">A revenue contract does not exist as there is no commercial substance - the consideration is too similar in nature to the asset being sold. </t>
  </si>
  <si>
    <t xml:space="preserve">Although the contract may be mutually beneficial, there is no impact to cash flows. </t>
  </si>
  <si>
    <t>Any amounts paid up front should be recorded in other income</t>
  </si>
  <si>
    <t>Two assets with same value:</t>
  </si>
  <si>
    <t>Expand on calc for max impairment of individual assets</t>
  </si>
  <si>
    <t>Total allocated impairment</t>
  </si>
  <si>
    <t xml:space="preserve">Constructive obligation due to .... .
Legal obligation to… therefore provision is appropriate
Expand on what the past event is.
</t>
  </si>
  <si>
    <t xml:space="preserve">The required outflow at xx/xx/xx should be estimated using the best estimate of the expected outflow of economic resources. </t>
  </si>
  <si>
    <t>The balance due should be recorded as a provision/adjustment to the exiting provision in the statement of financial position</t>
  </si>
  <si>
    <t>Even though it is a future cost, it relates to past events i.e. dilapidations occuring during the lease</t>
  </si>
  <si>
    <t>Unwinding of discount</t>
  </si>
  <si>
    <t>PY balance</t>
  </si>
  <si>
    <t>DR SPL - Finance costs</t>
  </si>
  <si>
    <t>Legal requirement to make improvements to factories - currently no obligating past event if improvements have not taken place and costs could be avoided if were to close factories. In addition, if unclear what the repercussions will be then a provision should not be created.</t>
  </si>
  <si>
    <t>The contract was entered into before year end, creating an obligation to fulfil the contract by…</t>
  </si>
  <si>
    <t>The contract becomes 'onerous' as the unavoidable costs of meeting the obligations under the contract exceed the economic benefits expected to be received</t>
  </si>
  <si>
    <t>The provision should be recognised at the least net cost of exiting the contract (lower of unavoidable costs or cancellation charge)</t>
  </si>
  <si>
    <t>If being revalued for the first time this is a change in accounting policy. Dealt with prospectively as instructed by… Revaluation should be accounted for in line with IAS 16 PPE.</t>
  </si>
  <si>
    <t>Revalution surplus should be presented in OCI and a 'Revaluation surplus' recognised in equity section of SoFP.</t>
  </si>
  <si>
    <t>After revaluation should to continue to depreciate over its remaining useful life of …. years</t>
  </si>
  <si>
    <t>Amount to revaluation surplus/SPL is difference between carrying amount and fair value:</t>
  </si>
  <si>
    <t>Revalued Amount (FV)</t>
  </si>
  <si>
    <t>The accounting software will have automatically calculated depreciaiton for the year ended … based on the original cost, so an adjusting entry is requiered for the difference in depreciation.</t>
  </si>
  <si>
    <t>Exchange of assets</t>
  </si>
  <si>
    <t xml:space="preserve">Where there is an exchange of assets without commercial substance, that is, the two assets are substantially interchangeable, then swapping the asset name in the fixed asset register will be the correct accounting treatement. </t>
  </si>
  <si>
    <t xml:space="preserve">If two assets are not interchangeable (i.e. same category) then this is not correct. </t>
  </si>
  <si>
    <t xml:space="preserve">The assets have different expected useful lives and therefore the cash flows that are expected to flow from the assets over their useful lives will be different. Thus, the transaction has commercial substance. </t>
  </si>
  <si>
    <t xml:space="preserve">IAS 16 requires that the asset that has been transferred out to be treated as a disposal and eemoved from the accounting records. A gain or loss should be recorded to reflect the difference between the carrying amount of the asset disposed of and the fair value of the asset acquired. </t>
  </si>
  <si>
    <t>If breaching protective right terms, must ensure that the entity is complying with contract terms.</t>
  </si>
  <si>
    <t xml:space="preserve">A protective right is designed to protect the lorry but doesn’t restrict the right to use the lorry. </t>
  </si>
  <si>
    <t>THIS IS THEREFORE A LEASE CONTRACT</t>
  </si>
  <si>
    <t>The RoU asset is measured as the value of the value of the lease liability plus the initial lease payment.</t>
  </si>
  <si>
    <t>As such, a RoU asset should be capitalised and depreciated over the shorter of the lease term and estimated useful life, from the start of the contract (XX/XX/XX)</t>
  </si>
  <si>
    <t>This should be recognised for the contractual obligation and payments must be analysed into capital and finance costs</t>
  </si>
  <si>
    <t>A lease liability is measured at the PV of future lease payments.</t>
  </si>
  <si>
    <t>Finance costs are calculated as the implicit interest rate * opening payable (pro rated if applicable). SHOW CALC</t>
  </si>
  <si>
    <t>Always split even if not asked for specifically in question</t>
  </si>
  <si>
    <t>The RoU asset is measured using the cost model, and so depreciation is charged for the period, with the asset being depreciated over the shorter of the lease term and useful life.</t>
  </si>
  <si>
    <t>Adjusted standard cost per unit</t>
  </si>
  <si>
    <t>Sales price</t>
  </si>
  <si>
    <t>Selling and distribution</t>
  </si>
  <si>
    <t>NRV (sales price - costs)</t>
  </si>
  <si>
    <t>Allocation of fixed costs</t>
  </si>
  <si>
    <t>Total costs</t>
  </si>
  <si>
    <t>Cost per unit</t>
  </si>
  <si>
    <t>Group share of net assets = … net shares / … total shares (…% NCI). Control is obtained on XX/XX/XX</t>
  </si>
  <si>
    <t>Separate into two periods if increase in shareholding through year</t>
  </si>
  <si>
    <t>If increased shareholding, calculate profit for each period above accounting for dividends, then calculate CY profit share</t>
  </si>
  <si>
    <t>Demonstrated when prototype capable of being produced</t>
  </si>
  <si>
    <t>Interest in product/agreement to sell</t>
  </si>
  <si>
    <t>Expand on each</t>
  </si>
  <si>
    <t>DR Development costs</t>
  </si>
  <si>
    <t>Issue amount (at discount/premium)</t>
  </si>
  <si>
    <t>Effective interest is calculated by multiplying the outstanding liability by the effective interest rate (show calc)</t>
  </si>
  <si>
    <t>The original value for the bond is measured as the FV of a similar bond without conversion rights</t>
  </si>
  <si>
    <t>The reserve for convertible bonds is recorded as the difference between the issue price and FV of similar bond without conversion rights</t>
  </si>
  <si>
    <t>Opening investments</t>
  </si>
  <si>
    <t>Revaluation gains</t>
  </si>
  <si>
    <t>Closing investments</t>
  </si>
  <si>
    <t>Payment of long-term borrowings</t>
  </si>
  <si>
    <t>Opening loan payable</t>
  </si>
  <si>
    <t>Closing loan payable</t>
  </si>
  <si>
    <t>Fair vaue increase</t>
  </si>
  <si>
    <t>Carrying amount of investments sold</t>
  </si>
  <si>
    <t>Gain on sale of investments</t>
  </si>
  <si>
    <t>Service conditions</t>
  </si>
  <si>
    <t>Vesting period</t>
  </si>
  <si>
    <t>Number of share options granted per employee</t>
  </si>
  <si>
    <t>Number of employees</t>
  </si>
  <si>
    <t>Value at grant date</t>
  </si>
  <si>
    <t>Value of options recognised per year</t>
  </si>
  <si>
    <t>Expectation - employees</t>
  </si>
  <si>
    <t>No. of options</t>
  </si>
  <si>
    <t>Period</t>
  </si>
  <si>
    <t xml:space="preserve">DR SPL </t>
  </si>
  <si>
    <t>Journals</t>
  </si>
  <si>
    <t>Performance Conditions</t>
  </si>
  <si>
    <t>Scenario 2</t>
  </si>
  <si>
    <t>Scenario 1</t>
  </si>
  <si>
    <t>Most likely scenario</t>
  </si>
  <si>
    <t>On exercise:</t>
  </si>
  <si>
    <t>Amount in equity</t>
  </si>
  <si>
    <t>Exercise price</t>
  </si>
  <si>
    <t>Par value of shares</t>
  </si>
  <si>
    <t>If company makes transfers to retained earnings:</t>
  </si>
  <si>
    <t>DR other reserves</t>
  </si>
  <si>
    <t>CR retained earnings</t>
  </si>
  <si>
    <t>Number of options exercised</t>
  </si>
  <si>
    <t>%</t>
  </si>
  <si>
    <t>On lapse of remaining options</t>
  </si>
  <si>
    <t>In exchange for an asset</t>
  </si>
  <si>
    <t>FV of asset available?</t>
  </si>
  <si>
    <t>FV of shares</t>
  </si>
  <si>
    <t>FV of asset</t>
  </si>
  <si>
    <t>DR Asset</t>
  </si>
  <si>
    <t>Fair value of property</t>
  </si>
  <si>
    <t>Cash settled SBP</t>
  </si>
  <si>
    <t>(SAR)</t>
  </si>
  <si>
    <t>CR Other Payables</t>
  </si>
  <si>
    <t>*For cash settled transactions, must re-measure the transaction based on the fair value of the liability at each reporting date</t>
  </si>
  <si>
    <t>Other payables</t>
  </si>
  <si>
    <t>On settlement:</t>
  </si>
  <si>
    <t>DR other payables</t>
  </si>
  <si>
    <t>Number of employees (total)</t>
  </si>
  <si>
    <t>YE FV</t>
  </si>
  <si>
    <t>Time to vest</t>
  </si>
  <si>
    <t>Expected value</t>
  </si>
  <si>
    <t>Recognised</t>
  </si>
  <si>
    <t>Tax base</t>
  </si>
  <si>
    <t>DTL</t>
  </si>
  <si>
    <t>DTA/DTL</t>
  </si>
  <si>
    <t>DTA</t>
  </si>
  <si>
    <t>Historical cost PPE</t>
  </si>
  <si>
    <t xml:space="preserve">Share based payment liability </t>
  </si>
  <si>
    <t>Pension liability</t>
  </si>
  <si>
    <t xml:space="preserve">Movement </t>
  </si>
  <si>
    <t>Land - rollover gain</t>
  </si>
  <si>
    <t>PPE CA v TWDW</t>
  </si>
  <si>
    <t>Cash settled SBP liabilities</t>
  </si>
  <si>
    <t>Pension liabilities</t>
  </si>
  <si>
    <t>Taxable/ (deductible) temporary difference</t>
  </si>
  <si>
    <t>Total DTL/(DTA)</t>
  </si>
  <si>
    <t>Recognition if:</t>
  </si>
  <si>
    <t>Cause of losses identified</t>
  </si>
  <si>
    <t>Not expected to recur</t>
  </si>
  <si>
    <t>PPE - Historical cost</t>
  </si>
  <si>
    <t>Balance as at start of year (DTL /(DTA))</t>
  </si>
  <si>
    <t xml:space="preserve">Adjustment required = </t>
  </si>
  <si>
    <t>(Better to post as one entry)</t>
  </si>
  <si>
    <t>The loss allowance will be netted off against the loan receivable to give a single balance on the statement of financial position of …</t>
  </si>
  <si>
    <t>Proceeds from issue of LT borrowings</t>
  </si>
  <si>
    <t>Include both long term and current loans payable</t>
  </si>
  <si>
    <t xml:space="preserve">Payment of lease liabilities </t>
  </si>
  <si>
    <t>Opening lease payable</t>
  </si>
  <si>
    <t>New lease</t>
  </si>
  <si>
    <t>Closing lease payable</t>
  </si>
  <si>
    <t>Initial transfer - recognise in revaluation surplus in line with PPE accounting treatment (IAS 16)</t>
  </si>
  <si>
    <t xml:space="preserve">After initial transfer investment property is treated in line with IAS 40 - no depreciation is charged under the FV model. Investment property should be remeasured at each subsequent year end with fair value gains and losses recognised in profit or loss. </t>
  </si>
  <si>
    <t>Before transfer to PPE, investment property should be revalued with the gain/loss posted to the statement of profit and loss in line with IAS 40.</t>
  </si>
  <si>
    <t>Upon transfer to HFS, assets should be written down to FVLCTS if this is less than the carrying amount:</t>
  </si>
  <si>
    <t>Revalue if going from IP -&gt; HFS, regardless if gain or loss</t>
  </si>
  <si>
    <t>At year end, the asset should be revalued, recognising a further impairment loss if less than carrying value</t>
  </si>
  <si>
    <t>A loss reversal is permitted provided this is capped at losses to date</t>
  </si>
  <si>
    <t>Profit or loss on disposal is calculated as normal (in line with IAS 16 rules)</t>
  </si>
  <si>
    <t xml:space="preserve">Annual depreciation on valaution (remaining useful life) </t>
  </si>
  <si>
    <t>Annual depreciation on historical cost (full useful life)</t>
  </si>
  <si>
    <t>If change in estimation then full useful life</t>
  </si>
  <si>
    <t>Ratio</t>
  </si>
  <si>
    <t>Price</t>
  </si>
  <si>
    <t>:</t>
  </si>
  <si>
    <t xml:space="preserve">Uptake </t>
  </si>
  <si>
    <t>Shares in issue</t>
  </si>
  <si>
    <t xml:space="preserve">New shares issued (#) </t>
  </si>
  <si>
    <t>DR other income</t>
  </si>
  <si>
    <t>Rights issue</t>
  </si>
  <si>
    <t>Shares issued</t>
  </si>
  <si>
    <t>Par value</t>
  </si>
  <si>
    <t>Issue price</t>
  </si>
  <si>
    <t>Issue costs</t>
  </si>
  <si>
    <t>Issue costs should be debited against share premium</t>
  </si>
  <si>
    <t xml:space="preserve">Abnormal variances should be charged to the SPL </t>
  </si>
  <si>
    <t>Labour</t>
  </si>
  <si>
    <t xml:space="preserve">This is based on past experience of [the percentage of sales which are returned.] </t>
  </si>
  <si>
    <t xml:space="preserve">Settlement of a provision </t>
  </si>
  <si>
    <t>As the legal obligation has been settled, no liability exists and the provision is no longer required</t>
  </si>
  <si>
    <t>The amount paid must be utilised against the provision</t>
  </si>
  <si>
    <t>The provision is no longer required and therefore the balance of the provision/ payment should be released to the relevant SPL account.</t>
  </si>
  <si>
    <t>It is not probable there will be an outflow of resources as the entity is in a sound financial state (no provision therefore recognised however a contingent liability may be disclosed for the balance outstanding, unless the likelihood of falling into financial difficulty is remote)</t>
  </si>
  <si>
    <t>For costs paid pre year end there is no future outflow of resources and so no further accounting adjustments required</t>
  </si>
  <si>
    <t>Once formally accepted can reduce expense</t>
  </si>
  <si>
    <t>In considering the net assets acquired, it is necessary to identify their fair values (not their carrying values) and also to identify any assets and liabilities not included in the acquired company's statement of financial position which meet the recognition criteria of being identifiable, either because they are separable or because they arise from the contractual or other legal rights.
For ...'s acquisition of ..., this means that FV adjustments are required as follows: (list and explain each)</t>
  </si>
  <si>
    <t>Brand names/ customer list should be included at FV as have been identified as separable asset expected to generate significant economic benefits</t>
  </si>
  <si>
    <t>Bond carrying values should reflect the market rate:</t>
  </si>
  <si>
    <t>The parent own …%  of the share capital - this means they control 100% of net assets, but …% of those net assets are owned by third parties (non-controlling interests). NCI must be apportioned their share of the changes to the fair values to the acquired net assets</t>
  </si>
  <si>
    <t>The increased value of the PPE at consolidation level means that the depreciation charge should also be increased at the group level.</t>
  </si>
  <si>
    <t>The fair value adjustment of the bonds reduced the financial liability at consolidation level, but the increase in the effective increase rate as a result means there is an increase to finance costs at consolidation level</t>
  </si>
  <si>
    <t>The NCI should be allocated a share of the increase/decrease in profits arising from the additional adjustments required:</t>
  </si>
  <si>
    <t>CR NCI (SPL)</t>
  </si>
  <si>
    <t>DR NCI (SFP)</t>
  </si>
  <si>
    <t>Impact on profits</t>
  </si>
  <si>
    <t>Goodwill is impaired by …, which needs to be reflected in the consolidated accounts. No impact to NCI as only arises on consolidation.</t>
  </si>
  <si>
    <t>…% of 'profit' made have not yet left the group, and consequently the profit made by the sub on the internal sale of these goods to the parent has npt been realised at the group level</t>
  </si>
  <si>
    <t>Closing inventoriees at group level will be overstated, as they are not at the original cost to the group and profits (through cost of sales) will also be overstated.</t>
  </si>
  <si>
    <t>Because the unrealised profit is reducing the profits of the subsidiary, the NCI share of profits will also be overstated unless it is also adjusted for its share of the unrealised profits</t>
  </si>
  <si>
    <t>Financial asset/liability as contractual right to exchange financial instruments under potentially favourable/unfavourable conditions</t>
  </si>
  <si>
    <t>Depreciation under revaluation model</t>
  </si>
  <si>
    <t>Revaluation under cost model</t>
  </si>
  <si>
    <t>Adjustment to distributable profit</t>
  </si>
  <si>
    <t xml:space="preserve">Financial instrument is recognised when the entity becomes party to the contractual provisions - in this instance when the fair value changes. </t>
  </si>
  <si>
    <t>A company may only make a distribution out of profits available for the purpose</t>
  </si>
  <si>
    <t>A company need not make a profit in the year it pays a dividend - accumulated profits and losses include reserves brought forward</t>
  </si>
  <si>
    <t>A distribution is every transfer of a company's assets to its members, whether in casn or otherwise, subject to a few exceptions (issue of bonus shares, redemption of own shares, distribution of assets on a winding up, reduction of share capital extinguishing share capital not paid up or repaying paud up share capita)</t>
  </si>
  <si>
    <t>For loans classified as amortised cost only, expected credit losses must be evaluated at the year end and the loss allowance updated.</t>
  </si>
  <si>
    <t>Increase in risk of default, indicated by actual or expected decline in borrowers operating results, adverse changes in conditions or environment, downgrade in borrowers credit rating</t>
  </si>
  <si>
    <t>Presumed where contractual payments are more than 30 days past due</t>
  </si>
  <si>
    <t>Objective evidence of impairment (stage 3)</t>
  </si>
  <si>
    <t>Significant increase in credit risk (stage 2)</t>
  </si>
  <si>
    <t>Significant financial difficulty</t>
  </si>
  <si>
    <t>Breach of contract</t>
  </si>
  <si>
    <t>Probable the borrower will enter bankruptcy</t>
  </si>
  <si>
    <t>Derognise if exercised or expires</t>
  </si>
  <si>
    <t>Derecognise when right is converted or lapsed</t>
  </si>
  <si>
    <t>Derecognition:</t>
  </si>
  <si>
    <t>The right to cash flows from the asset have expired (through settlement, lapse or cancellation)</t>
  </si>
  <si>
    <t>Rights to receive cash flows from the asset have been transferred along with substantially all risks and rewards of ownership</t>
  </si>
  <si>
    <t>Company has assumed an obligation to pay the cash flows from the asset on to another party and substantially all risks and rewards of ownership have been transferred</t>
  </si>
  <si>
    <t>Risks and rewards are transferred where the companys exposure to variability in the amounts and timing of the PV of the net cash flows of the asset no longer significant in relation to total variability</t>
  </si>
  <si>
    <t>If continuing to recognise and proceeds have been received then the proceeds received on transfer should be accounted for as a financial liability</t>
  </si>
  <si>
    <t>Furthermore, there must be sufficient distributable profits to fund the purchase.</t>
  </si>
  <si>
    <t>Sufficient distributable profits are required for any necessary write off premium on purchase any any necessary transfer to the capital redemption reserve.</t>
  </si>
  <si>
    <t>OR as the share being purchased were originally issed at par, all the premium on purchase must be written off to retained earnings</t>
  </si>
  <si>
    <t>Proceeds from issue of shares</t>
  </si>
  <si>
    <t>Net Increase/(decrease) in permanent capital</t>
  </si>
  <si>
    <t>The companies Act 2006 requires permanent capital to be maintained, but there is an exception to this rule for private limited companies only. Private limited companies may make purchases out of permanent capital, subject to a series of additional safeguards designed to protect the interests of creditors.</t>
  </si>
  <si>
    <t>The basic safeguard limits the reduction in permanent capital to the smallest amount possible and is known as the permissible capital payment</t>
  </si>
  <si>
    <t>Private company exceptions:</t>
  </si>
  <si>
    <t xml:space="preserve">The Companies Act 2006 states that a share buyback is allowed if the Articles of Association do not prohibit it </t>
  </si>
  <si>
    <t>For goods services, based on FV of goods/services received, if not available then SASP of goods or service provided</t>
  </si>
  <si>
    <t>Control passes over time if:</t>
  </si>
  <si>
    <t>the customer simultaneously receives and consumes the benefits provided by the entity as it performs;</t>
  </si>
  <si>
    <t>The entitys performance creates or enhances an asset that the customer controls as it is created or enhances</t>
  </si>
  <si>
    <t>The entitys performance does not create an asset with an alternative use to the entity and the entity has an enforecable right to payment for performance completed to date</t>
  </si>
  <si>
    <t>Allowable costs to fulfil a contract should be recorded in cost of sales (unless incremental (crucial in securing contract) and expected to be recovered)</t>
  </si>
  <si>
    <t>Costs recognised as an asset are amortised over the period that the goods or services are transferred to the customer</t>
  </si>
  <si>
    <t>Recognised as an asset if relate to future performance obligations, relate directly to the contract or are expected to be recovered</t>
  </si>
  <si>
    <t>Materials</t>
  </si>
  <si>
    <t>If released against depreciation of asset then pro rate over useful life of asset</t>
  </si>
  <si>
    <t>The … meets the definition of an asset as holding it gives control and it generates economic benefit through…</t>
  </si>
  <si>
    <t>The brand is identifiable as it is separable</t>
  </si>
  <si>
    <t>Overstatement of closing inventories and RE</t>
  </si>
  <si>
    <t>Overstatement of closing inventories and retained earnings</t>
  </si>
  <si>
    <t>Overstatement of opening inventories and retained earnings</t>
  </si>
  <si>
    <t xml:space="preserve">CY +1 </t>
  </si>
  <si>
    <t xml:space="preserve">Net over/understatement for year </t>
  </si>
  <si>
    <t xml:space="preserve">Impact on historic profits, net of tax = </t>
  </si>
  <si>
    <t xml:space="preserve">Tax effect in CY </t>
  </si>
  <si>
    <t>DR Current tax payable</t>
  </si>
  <si>
    <t>Year ended - overstatement of PY inventories</t>
  </si>
  <si>
    <t>Valuation in CY</t>
  </si>
  <si>
    <t>Opening inventories</t>
  </si>
  <si>
    <t>Corrections</t>
  </si>
  <si>
    <t>Closing inventories</t>
  </si>
  <si>
    <t>Adjustment</t>
  </si>
  <si>
    <t>DR Inventory</t>
  </si>
  <si>
    <t>CR CoS</t>
  </si>
  <si>
    <t>CoS if CY</t>
  </si>
  <si>
    <t>DT rate</t>
  </si>
  <si>
    <t>PY DTL in respect of revaluation surplus</t>
  </si>
  <si>
    <t>The misclassification of a lease is an error in each of the following: recognition, measurement, presentation and disclosure elements of financial statements</t>
  </si>
  <si>
    <t xml:space="preserve">The adjustment is a result of a change in estimate and is not an error - a correction must be made in the current year to reclassify the tax refund - no restrospective restatement is required. </t>
  </si>
  <si>
    <t>The tax refund represents an over-provision of a prior year taxation expense. Adjustments to a PY tax charge are made in the CY SPL.</t>
  </si>
  <si>
    <t>Qualifying consideration:</t>
  </si>
  <si>
    <t>Equal to accumulated realised profits (so far as not previously utilised by distribution or capitalisation) LESS accumulated, realised loss (so far as not written off on a reduction or reorganisation of capital)</t>
  </si>
  <si>
    <t>A profit/(loss) for the year increases/(decreases) distributable profits</t>
  </si>
  <si>
    <t>Adjustments should be made to exclude any amounts included in the SPL for the year which are unrealised</t>
  </si>
  <si>
    <t>Fair value gains on investment properties will only be realised when the property is sold and so the gain should be excluded as it is unrealised</t>
  </si>
  <si>
    <t>Gain on sale with no qualifying consideration</t>
  </si>
  <si>
    <t>As there is no qualifying consideration received in the exchange, the gain on exchange must be excluded from the calculation of distributable profits as it is also unrealised</t>
  </si>
  <si>
    <t>Gain/loss on derivatives for which there is a readily available market - fair value gain should remain in the calculation even though the investments have not yet been sold as they have been 'marked to market' and so they are readily convertible into cash and the gain is deemed to be realised</t>
  </si>
  <si>
    <t>Although no annual transfers are made from the revaluation surplus to retained earnings, the excess depreciation is deemed to be a realised portion of the revaluation gain and should be included in the calculation of distributable profits</t>
  </si>
  <si>
    <t>Cash, an asset readily convertible into cash or amounts to be settled in cash (i.e. credit sales)</t>
  </si>
  <si>
    <t>e.g. services exchanged for machinery do not qualify</t>
  </si>
  <si>
    <t>A profit is realised when it arises from a transaction where the consideration received by the company is qualifying consideration</t>
  </si>
  <si>
    <t>Trade receivable is recognised when the right to consideratoin that is unconditional  (i.e. only the passage of time is required before payment)</t>
  </si>
  <si>
    <t>An entitys right to consideration that is conditional on something other than the passage of time (e.g. entitys performance)</t>
  </si>
  <si>
    <t>Any impairment should be charged to the SPL</t>
  </si>
  <si>
    <t>Downward revaluation (with previous upwards revaluation)</t>
  </si>
  <si>
    <t xml:space="preserve">Demonstrated when there is an indication that the product will be sold and that retailers are interest. If not certain, costs cannot be capitalised and should be written off to SPL. </t>
  </si>
  <si>
    <t xml:space="preserve">The asset/expense should be value at the fair value of the goods/services received. If unable to determine reliably (i.e. staff services) then should measure at FV of instruments granted at the grant date. </t>
  </si>
  <si>
    <t>The transaction should be recognised over the vesting period, as vesting conditions (…) exist.</t>
  </si>
  <si>
    <t>Taxable trading losses can be carrried back, provided:</t>
  </si>
  <si>
    <t>Company budgets indicate future taxable profits</t>
  </si>
  <si>
    <t>Deductible when paid</t>
  </si>
  <si>
    <t>Notional shares per employee</t>
  </si>
  <si>
    <t>The net effect is nil in equity and reserves.</t>
  </si>
  <si>
    <t>On completion of the scheme, the options exercised with cash proceeds would increase the bank account, share capital and share premium as follows:</t>
  </si>
  <si>
    <t>Options are debited to the SPL and credited to 'other payables' as a liability'</t>
  </si>
  <si>
    <t>The effect on equity and reserves is a reduction in retained earnings resulting from the charge to the statement of profit and loss in the year.</t>
  </si>
  <si>
    <t>On completion of the scheme, the cash bonus to be paid would be deducted from the account and debited from 'Other payables'</t>
  </si>
  <si>
    <t>IFRS 13 FV Measurement gives guidance on the way in which a company should determine the fair value of an asset or liability</t>
  </si>
  <si>
    <t>IFRS 13 requires an entity to use valuation techniques that are appropriate, for which sufficient data are available and which maximised the use of relevant observable inputs (e.g. quoted market prices) and minimises the use of unobservable inputs (e.g. using a pricing model)</t>
  </si>
  <si>
    <t>IFRS 13 included a hierarchy of the inputs into categorising fair value measurement techniques.</t>
  </si>
  <si>
    <t>Level 1 inputs are quoted prices in active markets for identical assets or liabilities that the entity can access at the measurement date</t>
  </si>
  <si>
    <t>LEVEL ONE INPUTS</t>
  </si>
  <si>
    <t>Shares in a FTSE 100 listed company would be valued in this way, as the LSE is an active market and each share is identical</t>
  </si>
  <si>
    <t>LEVEL TWO INPUTS</t>
  </si>
  <si>
    <t>Level 2 inputs are quoted prices, other than those at Level 1, that are directly or indirectly observable for an asset or liability</t>
  </si>
  <si>
    <t>These might be, for example, quoted prices for similar but not identical assets or liabilities</t>
  </si>
  <si>
    <t>LEVEL THREE INPUTS</t>
  </si>
  <si>
    <t>Level three inputs are unobservable inputs (i.e. that cannot be sourced from the market) and should only be used where observable inputs are not available</t>
  </si>
  <si>
    <t>Internal budgets and forecasts could be used as a basis for determining fair value</t>
  </si>
  <si>
    <t>See module summary for discontinued op</t>
  </si>
  <si>
    <t>If control lost, may require disclosure as discontinued operation in line with IFRS 5</t>
  </si>
  <si>
    <t>Bonus Issue</t>
  </si>
  <si>
    <t>Number of shares in issue</t>
  </si>
  <si>
    <t>Number of bonus shares issued</t>
  </si>
  <si>
    <t>CR Share Capital</t>
  </si>
  <si>
    <t>The non-cash consideration should be recognised at its fair value on the date of issue if this is available</t>
  </si>
  <si>
    <t>The amount of the fair value of the asset exceeds the nominal value of shares issued and so a premium must be recognised in 'share premium'</t>
  </si>
  <si>
    <t>An issue of bonus shares is a conversion of reserves (in this case, "Retained earnings") into share capital and no consideration is received</t>
  </si>
  <si>
    <t>The nominal value of shares must be removed from Retained earnings to create share capital</t>
  </si>
  <si>
    <t>Less depreciation, adjust for gains/losses on PPE (add back gains), add release of deferred income, less bad debts, adjust for (increase)/decrease in allowance for receivables and other cash items. Cash adjustments made should be added/deducted (not gains/losses)</t>
  </si>
  <si>
    <t>Contributions paid have been recorded in the SPL - this is incorrect and the result is that both profits in the statement of profit ot loss and retained earnings on the SoFP are understated</t>
  </si>
  <si>
    <t>The net pension asset on the SoFP is over/understated</t>
  </si>
  <si>
    <t>The contributions should be recognised in the pension account as an increase in pension assets</t>
  </si>
  <si>
    <t>Current and past service costs should be charge to the SPL and credited against the pension obligation</t>
  </si>
  <si>
    <t>Finance income is recognised for asset/obligation balances across the year at the applicable interest rate</t>
  </si>
  <si>
    <t>The transaction price should reflect the cash price when control of the asset has been transferred, with the consideration being adjusted for the time value of money.</t>
  </si>
  <si>
    <t>End receivable</t>
  </si>
  <si>
    <t>Finance income is reecognised monthly from [date] until the final receipt, gradually increasing the trade receivable</t>
  </si>
  <si>
    <t>Measurement basis</t>
  </si>
  <si>
    <t>Amount recognised not equal to the most likely outcome?</t>
  </si>
  <si>
    <t>As goods are exchanged for services, there is commercial substance to this agreement. The transaction price is determined by the fair value of the goods/services received (SOSP of goods/service exchanged if not available)</t>
  </si>
  <si>
    <t>Cost of sales must also be recognised as the cost of the service or goods given in consideration</t>
  </si>
  <si>
    <t>Fair value of consideration received</t>
  </si>
  <si>
    <t>Cost of goods/services provided</t>
  </si>
  <si>
    <t>Foreign currency</t>
  </si>
  <si>
    <t>Invoice value in foreign currency</t>
  </si>
  <si>
    <t>FX rate at invoice date (FC/GBP)</t>
  </si>
  <si>
    <t>FX rate at YE (FC/GBP)</t>
  </si>
  <si>
    <t>Original translation</t>
  </si>
  <si>
    <t>YE translation</t>
  </si>
  <si>
    <t>Gain/(loss) on exchange</t>
  </si>
  <si>
    <t>Trade receivable/(payable)</t>
  </si>
  <si>
    <t>The trade receivable balance is a foreigh curreny monetary asset and must be retranslated at year end</t>
  </si>
  <si>
    <t>The FX gain/loss should be recorded in the SPL</t>
  </si>
  <si>
    <t>CR SPL - Foreign currency gain / loss</t>
  </si>
  <si>
    <t>Either the performance conditions will be met or not met - there are two possible outcomes and so the 'most likely amount' approach should be taken to measurement</t>
  </si>
  <si>
    <t>It is clear how the asset will generate probable future economic benefits</t>
  </si>
  <si>
    <t xml:space="preserve">Any depreciation charge relating directly to development costs should be capitalised but only for the period until the product was ready for operation/launch. </t>
  </si>
  <si>
    <t>Can the cost be measured reliably?</t>
  </si>
  <si>
    <t>Purchase cost</t>
  </si>
  <si>
    <t>Any initital direct costs/ estimated dismantling costs are added to the RoU asset, along with any up front payments</t>
  </si>
  <si>
    <t>Continuing</t>
  </si>
  <si>
    <t>Hide columns on left (continuing/discontinuing split then net as final answer)</t>
  </si>
  <si>
    <t>Closing revaluation surplus</t>
  </si>
  <si>
    <t>Adjustment to DTL relating to revaluation surplus</t>
  </si>
  <si>
    <t>Positve is negative movement</t>
  </si>
  <si>
    <t>Balancing entry</t>
  </si>
  <si>
    <t>Losses:</t>
  </si>
  <si>
    <t>Tax refunds:</t>
  </si>
  <si>
    <t>CY tax</t>
  </si>
  <si>
    <t>VAT</t>
  </si>
  <si>
    <t>VAT must be included in trade receivables/payables and excluded from the SPL</t>
  </si>
  <si>
    <t>Revaluation of shares - OCI</t>
  </si>
  <si>
    <t>FV at year end</t>
  </si>
  <si>
    <t>Gain/(loss)</t>
  </si>
  <si>
    <t>Effective interest should be recognised as finance income through the SPL</t>
  </si>
  <si>
    <t>Effective interest rate</t>
  </si>
  <si>
    <t>Hawkins plc</t>
  </si>
  <si>
    <r>
      <t xml:space="preserve">as at </t>
    </r>
    <r>
      <rPr>
        <b/>
        <sz val="12"/>
        <color rgb="FFC00000"/>
        <rFont val="Arial"/>
        <family val="2"/>
      </rPr>
      <t>30 September 2021</t>
    </r>
  </si>
  <si>
    <t>Carrying value at transfer</t>
  </si>
  <si>
    <t>Fair value at transfer</t>
  </si>
  <si>
    <t>Gain/(loss) on disposal of property</t>
  </si>
  <si>
    <t>CR Property (NBV)</t>
  </si>
  <si>
    <t>Account for any excess depreciation charged</t>
  </si>
  <si>
    <t>The investment should be remeasured at year end to the fair value, using the bid price of…</t>
  </si>
  <si>
    <t>The fair value gain/loss would be recognised as a revaluation surplus surplus/deficit and reported through other comprehensive income.</t>
  </si>
  <si>
    <t xml:space="preserve">Discount back interest payments by expected amount </t>
  </si>
  <si>
    <t>Lifetime/12 month expected credit losses are compared to the opening loss allowance and movements in the balance accounted for as at …</t>
  </si>
  <si>
    <t>Lifetime/ 12 month expected credit losses are measured at the probability weighted present value of cash shortfalls on interest and the principal</t>
  </si>
  <si>
    <t>IAS 23 Borrowing Costs requires capitalisation of borrowing costs relating to a qualifying asset. A qualifying assets is "an asset that necessarily takes a substantial period of time to get ready for its intended use or sale" (IAS 23, p.25)</t>
  </si>
  <si>
    <t>The amount of borrowing costs capitalised cannot exceed the actual borrowing costs incurred.</t>
  </si>
  <si>
    <t>If there is no 'substantial period of time' involved, then the asset is not a qualifying asset. Therefore no borrowing costs should be capitalised.</t>
  </si>
  <si>
    <t xml:space="preserve">The … is a qualifying asset as it is planned to take … months to complete and make ready for use, which is a substantial period of time and so borrowing costs must be capitalised. </t>
  </si>
  <si>
    <t>CR  SPL - Finance costs</t>
  </si>
  <si>
    <t>Fixed Costs</t>
  </si>
  <si>
    <t>Amortisation</t>
  </si>
  <si>
    <t>Production admin</t>
  </si>
  <si>
    <t>Depreciation</t>
  </si>
  <si>
    <t>Rent</t>
  </si>
  <si>
    <t>Based on actual unless actual&lt;normal capacity, in which case alloated on normal capacity</t>
  </si>
  <si>
    <t>Selling, general admin and distribution costs are excluded from the cost of production as these are disallowed under IAS 2 (should be included as admin/distribution costs)</t>
  </si>
  <si>
    <t xml:space="preserve">Fixed costs must be absorbed into total costs based on normal capacity, but are restricted to actual production if actual production falls beneath normal production. </t>
  </si>
  <si>
    <t>IAS 2 requires abosorption costing for dealing with production overheads</t>
  </si>
  <si>
    <t>There continues to be an obligation as it is still probable a future payment will be required. A provision should continue to be recognised but should be measured in accordance with the updated estimated cost.</t>
  </si>
  <si>
    <t>Finance costs (unwinding of discount should be based on the opening balance and the disocunt rate of ..</t>
  </si>
  <si>
    <t xml:space="preserve">The change in estimate (difference between opening balance plus finance costs and revised closing balance) bmust then be calculated and recognised as [... Costs]. </t>
  </si>
  <si>
    <t>Reimbursements (insurance etc)- Credit to same account as expense/ DR other receivables</t>
  </si>
  <si>
    <t>Insurance company not formally accepted - contingent asset as still uncertainty, brief description of claim and estimate of financial effect</t>
  </si>
  <si>
    <t>% impairment</t>
  </si>
  <si>
    <t>Post adjustment to PPE as one (different categories/ allocated PPE)</t>
  </si>
  <si>
    <t xml:space="preserve">Delivery of fish </t>
  </si>
  <si>
    <t>Annual fees should be spread evenly over the period to which they relate</t>
  </si>
  <si>
    <t xml:space="preserve">The standard states that a company should use valuation techniques that maximise the use of relevant observable inputs and minimise the use of unobservable inputs. </t>
  </si>
  <si>
    <t>Three widely used techniques are the market approach, the cost approach and the income approach. When more than one approach is used, the results should be evaluated and the most representative fair value should be determined.</t>
  </si>
  <si>
    <t>Cost approach - level 2 observable input being the current published price of a similar/the same asset in a brand new condition</t>
  </si>
  <si>
    <t>This is the assets current replacement cost</t>
  </si>
  <si>
    <t>Income approach - level 3 input, being the PV of future cash flows the asset is expected to generate.</t>
  </si>
  <si>
    <t>The cost approach uses the replacement cost of the asset adjusted for xx years of usage. Both the replacement cost and manufacturer useful lives are 'objective evidence which supports the adjustment calculation i.e. adjustment is not much based on firms own estimate for depreciation.</t>
  </si>
  <si>
    <t>As the asset is now not brand new this must be taken into account - the depreciated replacement cost adjusts the current replacement cost for its age and condition. Compare to manufacturer estimated useful lives and depreciate to reduce the cost by an appropriate %.</t>
  </si>
  <si>
    <t>The income approach is based on unobservable inputs, both the expected cash flows and average cost of borrowing, which have greater use of assumptions and are more subjective</t>
  </si>
  <si>
    <t>Both approaches produce a similar FV, but as the cost approach makes use of level 2 observable inputs it is considered more reliable</t>
  </si>
  <si>
    <t>DR Cash</t>
  </si>
  <si>
    <t>DR SPL - Issue costs</t>
  </si>
  <si>
    <t>DR share issue costs to SPL if not sufficient share premium</t>
  </si>
  <si>
    <t>Ensure full amount of issue costs written against share premium for issue</t>
  </si>
  <si>
    <t>Remember any new issues as per question</t>
  </si>
  <si>
    <t>Discount on deferred payment should be unwound in parents accounts</t>
  </si>
  <si>
    <t>CR bond liability</t>
  </si>
  <si>
    <t>Reorgansation costs which are estimated to be incurred post YE are not adjusted for as this is not a committed cost (i.e. decision could be reversed)</t>
  </si>
  <si>
    <t>Annual finance costs</t>
  </si>
  <si>
    <t>DR Finance costs</t>
  </si>
  <si>
    <t>Net assets journal entry will be split to eliminate eassets</t>
  </si>
  <si>
    <t xml:space="preserve">There is an legal obligation from past sales to meet valid warranty claims - based on past experience it is probable that these will arise and an estimate of the amount can be made. </t>
  </si>
  <si>
    <t>Warranty relating to year ended</t>
  </si>
  <si>
    <t xml:space="preserve">Units </t>
  </si>
  <si>
    <t>ST Provision</t>
  </si>
  <si>
    <t>LT Provision</t>
  </si>
  <si>
    <t>Estimate</t>
  </si>
  <si>
    <t>Closing provisions</t>
  </si>
  <si>
    <t>Opening provision</t>
  </si>
  <si>
    <t>Utilised during year</t>
  </si>
  <si>
    <t>Adjusted opening provisions</t>
  </si>
  <si>
    <t>Increase/decrease</t>
  </si>
  <si>
    <t>A present obligation exists because of …. [ the significant deterioration in market conditions]</t>
  </si>
  <si>
    <t>The relocation of a business activity from one region to another is defined as an example of restructuring
The amalgamation has been approved by the board and communicated to the affected employees by year end and so there is a constructive obligation because of a past event
It is probable there will be an outflow of resources for restructuring and redundancy costs and a reliable estimate can be made</t>
  </si>
  <si>
    <t>There has been/has been no election to classify the investment at FVTOCI</t>
  </si>
  <si>
    <t>CR Revaluation surplus</t>
  </si>
  <si>
    <t>SURPLUS or DEFICIT</t>
  </si>
  <si>
    <t>Sale of shares - FVTPL</t>
  </si>
  <si>
    <t>As the shares are classified as fair value through FVTPL, the related gain/loss should be recognised in the SPL.</t>
  </si>
  <si>
    <t>The proceeds received represent the leasing of the asset (lease liability of £…) and the balance represents the sales proceeds for the part of the asset not leased back.</t>
  </si>
  <si>
    <t>DR SPL - Administrative expenses</t>
  </si>
  <si>
    <t xml:space="preserve">DR SPL - loss on revaluation </t>
  </si>
  <si>
    <t>Lease financing received (lease payable)</t>
  </si>
  <si>
    <t>Financing by sale of investment (not derecognised)</t>
  </si>
  <si>
    <t>Remember transaction fees</t>
  </si>
  <si>
    <t>Per question</t>
  </si>
  <si>
    <t>Impairment losses</t>
  </si>
  <si>
    <t>(Gains)/losses</t>
  </si>
  <si>
    <t>Financial liabilities</t>
  </si>
  <si>
    <t xml:space="preserve">JE </t>
  </si>
  <si>
    <t>SPL non-cash balances for cash flow</t>
  </si>
  <si>
    <t>Revised</t>
  </si>
  <si>
    <t>CR SPL - Admin expenses</t>
  </si>
  <si>
    <t>Net income/(cost)</t>
  </si>
  <si>
    <t>The total costs under the DB plan is the current service cost less the net interest income:</t>
  </si>
  <si>
    <t>Net pension asset/liability is recognised as a non-current item - under the DB plan the company is responsible for for liabilities and can benefit from the assets in the plan.,</t>
  </si>
  <si>
    <t>Only amount in SoFP are unpaid or prepaid contributions</t>
  </si>
  <si>
    <t>CR SPL  - Taxation</t>
  </si>
  <si>
    <t>(DTA)/Liability</t>
  </si>
  <si>
    <t>Will make less contributions in future - liability</t>
  </si>
  <si>
    <t>Non current liabilities are a deductible temporary difference for share based payments - as it is not due to bw paid within 9 months of the end of the financial year it will be deductbile against CY profits</t>
  </si>
  <si>
    <t xml:space="preserve">Deferred tax assets may be recognised for deductible temporary differences to the extent that it is probable that there will be future taxable profits against which the asset can be utilised. IAS 12 Taxtion states that it is probable that future taxable profits will be available when there are sufficient taxable temporary differences 
</t>
  </si>
  <si>
    <t>To recognise a DTA in respect of remaining losses, the company must be able to show that losses aris from identifiable causes that are unlikely to recur and that it is probable that it will have future taxable profits to use the tax losses against. Losses arose  from ... (identifiable cause unliekly to recur) and budgets indicate the company will return to profitability next year (probable taxable profits). Therefore, a DTA can be recognised for the remaining losses.</t>
  </si>
  <si>
    <t>Scenario 3</t>
  </si>
  <si>
    <t>As the fair value of the service of the dirctors cannot be measured reliablym the cost is measured using the FV of the share options at the grant date, being …</t>
  </si>
  <si>
    <t>The average operating profit at … is .. % and it is expected to remain at over …% The fair value of these share options at the grant date was …</t>
  </si>
  <si>
    <t>Six directors are expected to remain with the company, so the fair value should be calculated based on option accruing to .. Directors. At YE, the total fair value of the options is:</t>
  </si>
  <si>
    <t>x employees * no. of options * FV = xxx</t>
  </si>
  <si>
    <t>*calc*</t>
  </si>
  <si>
    <t>xx is already recorded in 'other reserves' from previous years, so an additional expense needs to be recorded:</t>
  </si>
  <si>
    <t>The liability calculated at the year end should be based on the best estimate of the number of staff who will receive the SAR at the vesting date.</t>
  </si>
  <si>
    <t xml:space="preserve">Estimated number of staff at the vesting date = </t>
  </si>
  <si>
    <t>This wil be recorded as a current/non-current liability as the payment will be made in …</t>
  </si>
  <si>
    <t>As the fair value of the service of the employees cannot be measured reliably the cost is measured using the FV of the share options at the grant date, being …</t>
  </si>
  <si>
    <t>Six employees are expected to remain with the company, so the fair value should be calculated based on option accruing to .. employees. At YE, the total fair value of the options is:</t>
  </si>
  <si>
    <t>Share option schemes - expense in year is allocated to each director (remember if in question)</t>
  </si>
  <si>
    <t>Don’t include remuneration for defined benefit employees</t>
  </si>
  <si>
    <t>The highest paid director had amounts accrued under a DBS  of £</t>
  </si>
  <si>
    <t>If no previous impairment on transfer and revaluing to an agreed selling price at YE then can revalue upwards (applies for investment property). Price is given at YE but will not sell until after</t>
  </si>
  <si>
    <t>Borrowing costs in relation to qualifying assets can only be capitalised for the period since payment of the expense.</t>
  </si>
  <si>
    <t>Grant amount</t>
  </si>
  <si>
    <t>Grant income recognised</t>
  </si>
  <si>
    <t xml:space="preserve">CR SPL - CoS </t>
  </si>
  <si>
    <t>DR deferred income</t>
  </si>
  <si>
    <t>Deferred income</t>
  </si>
  <si>
    <t>Intangible assets</t>
  </si>
  <si>
    <t>Trademarks should be expensed if corresponding asset does not yet meet capitalisation criteria.</t>
  </si>
  <si>
    <t>Revaluation reserve</t>
  </si>
  <si>
    <t>Purchase of Intangibles</t>
  </si>
  <si>
    <t>Less amortisation charge</t>
  </si>
  <si>
    <t>Useful life of asset</t>
  </si>
  <si>
    <t>Conditions - facility maintained for</t>
  </si>
  <si>
    <t xml:space="preserve">5 months / 50 years = </t>
  </si>
  <si>
    <t>As no adjustments in inventories have been accounted for, opening inventories must be transferred to CoS and then closing inventoeries created</t>
  </si>
  <si>
    <t>The identification of fraud in the current year must be accoutned for in the CY and affected prior years</t>
  </si>
  <si>
    <t>The impact on RE and tax must be accounted for</t>
  </si>
  <si>
    <t>Tax impact</t>
  </si>
  <si>
    <t>CR Current tax payable</t>
  </si>
  <si>
    <t>PPE borrowing cost loans drawn down</t>
  </si>
  <si>
    <t>Revaluation Surplus</t>
  </si>
  <si>
    <t>CR FV Gain</t>
  </si>
  <si>
    <t>CR SPL Depreiation</t>
  </si>
  <si>
    <t>DR Acc depreciation</t>
  </si>
  <si>
    <t>PPE should be included at the market rate (at acquisition)</t>
  </si>
  <si>
    <t>Allocate the transaction price to the perormance obligations in the contract</t>
  </si>
  <si>
    <t>Investments - Equity method</t>
  </si>
  <si>
    <t>Reduces investment balance for consolidation purposes</t>
  </si>
  <si>
    <t>Share repurchases</t>
  </si>
  <si>
    <t>Share based payments</t>
  </si>
  <si>
    <t>FV measurement</t>
  </si>
  <si>
    <t>SOCE</t>
  </si>
  <si>
    <t>IAS 28 equity method need not be applied if the investor is exempt from preparing conslIdated accounts of the associate/JV is classified as held for sale</t>
  </si>
  <si>
    <t>For development costs, amortise from when development ceases (inclusive of month)</t>
  </si>
  <si>
    <t>Goodwill is the difference between the consideration given and the net assets at the date of acquisition</t>
  </si>
  <si>
    <t>Costs incurred in relation to the acqisition should be written off to the SPL</t>
  </si>
  <si>
    <t>Less opening inventory</t>
  </si>
  <si>
    <t>Add closing inventory</t>
  </si>
  <si>
    <t>Per SPL</t>
  </si>
  <si>
    <t>Add release of deferred income</t>
  </si>
  <si>
    <t>Less bad debts</t>
  </si>
  <si>
    <t>Add gains</t>
  </si>
  <si>
    <t>Less losses</t>
  </si>
  <si>
    <t>Derecognition of debentures</t>
  </si>
  <si>
    <t>Revaluation increase/(impairment loss)</t>
  </si>
  <si>
    <t>A contract has commercial substance if the risk, timing or amount of the entitys future cash flows is expected to change as a result of the contract</t>
  </si>
  <si>
    <t>In evaluating whether collectability of an amount of consideration is probable, an entity shall consider only the customers ability and intention to pay</t>
  </si>
  <si>
    <t>As each party t othe contract has the unilateral enforceable right to terminate a wholly unperformed contract without compensating the other party</t>
  </si>
  <si>
    <t>Contract is wholly unperformed if the entity has not yet transferred any promised goods or services, or the entity has not yet received , and is not yet entitled to received, any consideration in exchange for the promised goods or services</t>
  </si>
  <si>
    <t>There are a range of possible outcomes, therefore the expected value method should be used:</t>
  </si>
  <si>
    <t>A revenue contract does not exist as there is no commercial substance - the consideration is too similar in nature to the asset being sold (the goods or services exchanged must have different risks and cash flows for there to be commerical substance)</t>
  </si>
  <si>
    <t>Goods or services exchanged must have different risks and cash flows for there to be commerical substance to an exchange transaction</t>
  </si>
  <si>
    <t>If neither can be measured, no revenue or CoS recognised</t>
  </si>
  <si>
    <t>Therefore a contract exists/ no contract exists</t>
  </si>
  <si>
    <t xml:space="preserve">Yes, as future cash flows expected to change as a result </t>
  </si>
  <si>
    <t>No reason to believe otherwise as per Q</t>
  </si>
  <si>
    <t>Orally agreed</t>
  </si>
  <si>
    <t>Goods delivered in exchange for receipt of services over 3 months</t>
  </si>
  <si>
    <t>services with FV of 40k</t>
  </si>
  <si>
    <t>Revenue recognised</t>
  </si>
  <si>
    <t>Amount invoiced</t>
  </si>
  <si>
    <t>Transaction price (PV)</t>
  </si>
  <si>
    <t>CR inventories</t>
  </si>
  <si>
    <t>CR Admin expenses</t>
  </si>
  <si>
    <t xml:space="preserve">CR Rvenue </t>
  </si>
  <si>
    <t xml:space="preserve">DR Contract assrt </t>
  </si>
  <si>
    <t>The transaction price is …, being the consideration expected to be received in exchange for the delivery of …</t>
  </si>
  <si>
    <t>A trade receivable is recognised as there is a set credit period of … days.</t>
  </si>
  <si>
    <t>Performance obligations are satisfied over time as the customer simultaneously receives and consumes the benefits provided by the entitys performance/ the entitys performance creates or enhances an asset that the customer contols as the asset is created or enhanced/ the entitys performance does not creat an asset eith an alternative use to the entity and the entity has an enforceable right to payment for performance completed to date</t>
  </si>
  <si>
    <t xml:space="preserve">If the loss is greater than any previous revaluation surplus, the balance must be taken to the SPL as an impairment loss, otherwise it can be offset against the 'revaluation surplus account. </t>
  </si>
  <si>
    <t>…. Should be capitalised as these are costs 'directly attributable to getting the asset to the location and condition intended for use</t>
  </si>
  <si>
    <t>INVESTMENT PROPERTY:</t>
  </si>
  <si>
    <t>The disposal meets the definition of a discontinued operation as it was the only component of the group operating in that country and was material to the group</t>
  </si>
  <si>
    <t>The post tax profit for the … months to … [disposal date] and the post tax gain/loss on disposal must be disclosed on the face of the statement of profit or loss and OCI as a single figure</t>
  </si>
  <si>
    <t>The single figure should be analysed into:</t>
  </si>
  <si>
    <t>Revenue, expenses and pre-tax profit</t>
  </si>
  <si>
    <t>The related tax</t>
  </si>
  <si>
    <t>Gain/loss on disposal</t>
  </si>
  <si>
    <t>Tax relating to the gain/loss on disposal</t>
  </si>
  <si>
    <t>This analysis can either be shown on the face of the statement (separate from continuing operations) or in the notes to the financial statements</t>
  </si>
  <si>
    <t>If the gain/loss is material it should be shown as a separate line item in the consolidated SPL.</t>
  </si>
  <si>
    <t>The gain on disposal of … is unlikely to be material and so will not need to be shown as a separate item on the face of the consolidated statement of profit or loss</t>
  </si>
  <si>
    <t>Comparative amounts should be restated so that operations are classified as discontinued</t>
  </si>
  <si>
    <t>As the subsidiary was diposed of during the year, its income and expenses must still be included in the consolidated profit or loss from the start of the year to the disposal date.</t>
  </si>
  <si>
    <t xml:space="preserve">When a company disposes of a subsidary, it must derecognise the assets (including any goodwill) and liabilities and also the carrying amount of any non-controlling interests. This will give rise to a gain or loss on disposal, calculated as the fair value of the consideration minus the net assets disposed of. </t>
  </si>
  <si>
    <t xml:space="preserve">If the gain or loss is material, it is normally presented as a separate item in the consolidated statement of profit or loss or in the analysis in the notes. </t>
  </si>
  <si>
    <t>If the disposal meets the criteria in IFRS 5 Non-current Assets Held for Sale and Discontinued Operations, it should be treated as a discontinued operation and disclosed as such.</t>
  </si>
  <si>
    <t>Being a subsidiary , the income, expenses, assets and liabilities of the discontinued business are separately identifiable.</t>
  </si>
  <si>
    <t xml:space="preserve">There will also be an impact on the EPS figures presneted on the face of the SPL: basic and diluted EPS should be calculated and presented for continuing, discontinued and total operations with the figures for continuing and total operations shown on the face of the SPL; the figures for discontinued operations can be shown either on the face of the SPL or in the notes. </t>
  </si>
  <si>
    <t>In the consolidated SPL, the group can show on the face of the SPL an analysis of the results of the discontinued operation, which should include the post-tax profit or loss on disposal, The analysis is usually presented as a column under the heading ; Discontinued operations' separate from all other results which are presented in a separate column with the heading ' Continuing operations'. If this approach were to be adopted, then the figures to be included as a separate column in the consolidated SPL would be as shown in the discontinued operations column left.</t>
  </si>
  <si>
    <t>Alternative presentation:</t>
  </si>
  <si>
    <t>The acquisition of the asset is an equity settled share-based payment, with shares being issues to purchase a non-current asset.</t>
  </si>
  <si>
    <t>The asset should be depreciated in line with company policy over its estimated useful life of … years from the date it was put into use. For the year ended xx/xxx/xx, this is xx months of depreciation.</t>
  </si>
  <si>
    <t>This is an equity settled share based payment, with options to purchase shares being granted to [employees/directors] in exchange for their services to the company (providing they remain in employment until xx/xx/xx)</t>
  </si>
  <si>
    <t>As we cannot estimate the fair value of the service to the company we should measure the transaction at the fair value of the equity instruments.</t>
  </si>
  <si>
    <t>As the performance vesting conditions are not related to share price, we should adjust measurement of the reserve for new information at each year end (number of employees expected to be in employment at end of vesting period)</t>
  </si>
  <si>
    <t>The fair value of the options should not be revised from the fair value at the grant date.</t>
  </si>
  <si>
    <t>Changes in fair value of the options should not be accounted for.</t>
  </si>
  <si>
    <t>The cost should be recognised as part of staff costs for the year with the credit to reserves - either a separate 'Equity reserve' or to 'Retained earnings'</t>
  </si>
  <si>
    <t>Assume that if distributable profits plus proceeds of new issue &gt; repurchase then purchase is legal</t>
  </si>
  <si>
    <t>At the maturity date, the reserve for convertible bonds is transferred to retained earnings:</t>
  </si>
  <si>
    <t>The convertible debt liability should be derecognised - amounts redeemed for cash should be recorded as a reduction in the liability balance</t>
  </si>
  <si>
    <t>The liability converted should be converted into ordinary shares, with the amount over nominal value being recorded as share premium.</t>
  </si>
  <si>
    <t>OR because there has been no new issue of shares made, the premium paid over the nominal value must be taken to retained earnings and cannot be offset against the share premium account created on the original isse</t>
  </si>
  <si>
    <t>Because there has been no new issue of shares made, the nominal value of the shares purchased must be replaced as permanent capital from distributable profits by creating a 'Capital redemption reserve'</t>
  </si>
  <si>
    <t xml:space="preserve">SPL - pre 1 Jan </t>
  </si>
  <si>
    <t>IAS 38 intangible assets staets that expenditure that was previously recognised as an expense cannot be recognised as an asset at a later date (p.71). Therefore, the expenditure written off in the PY should remain written off.</t>
  </si>
  <si>
    <t>Development costs should be capitalised from the date that the criteria in IAS 38 are met and continue to be treated as an expense until this point; in this case it appears the criteria are satisfied from […], when the product has proved technical feasability and there is an interest in it in the market. 
Costs incurred before this date should not be capitalised and so £.... should not be capitalised. Costs to be capitalised should be those arising from the date the criteria are met up until the date the product is launched  - £... incurred from .. to ..
Costs incurred after this date are no longer development costs and should not be capitalised.</t>
  </si>
  <si>
    <t>Expenditure capitalised includes all costs atrributable to the cost of development, being …</t>
  </si>
  <si>
    <t>Intangible assets/capitalised development expenditure should be amortised from the point they are put into use, over the useful life of … years</t>
  </si>
  <si>
    <t xml:space="preserve">Patents should be capitalised as separate intangible assets. For legal fees etc associated with a patent, these should be capitalised separately with the corresponding patent. </t>
  </si>
  <si>
    <t xml:space="preserve">Units sold = </t>
  </si>
  <si>
    <t>Differences due to over/under productin included as variance</t>
  </si>
  <si>
    <t>Cash flows - Direct</t>
  </si>
  <si>
    <t>Cash flows - Indirect</t>
  </si>
  <si>
    <t>External costs of site preparation</t>
  </si>
  <si>
    <t>Professional architects’ fees</t>
  </si>
  <si>
    <t>Net instalment to contractor</t>
  </si>
  <si>
    <t>Final net instalment to contractor</t>
  </si>
  <si>
    <t>Costs of opening party event</t>
  </si>
  <si>
    <t>Dustin Mullens</t>
  </si>
  <si>
    <t>Sarah Sands</t>
  </si>
  <si>
    <t>Emily Budd</t>
  </si>
  <si>
    <t>Matt Rozon</t>
  </si>
  <si>
    <t>Alexis Murphy</t>
  </si>
  <si>
    <t>Roland Elliott</t>
  </si>
  <si>
    <t>Moira O’Hara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</si>
</sst>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6" formatCode="&quot;£&quot;#,##0;[Red]\-&quot;£&quot;#,##0"/>
    <numFmt numFmtId="8" formatCode="&quot;£&quot;#,##0.00;[Red]\-&quot;£&quot;#,##0.00"/>
    <numFmt numFmtId="41" formatCode="_-* #,##0_-;\-* #,##0_-;_-* &quot;-&quot;_-;_-@_-"/>
    <numFmt numFmtId="44" formatCode="_-&quot;£&quot;* #,##0.00_-;\-&quot;£&quot;* #,##0.00_-;_-&quot;£&quot;* &quot;-&quot;??_-;_-@_-"/>
    <numFmt numFmtId="43" formatCode="_-* #,##0.00_-;\-* #,##0.00_-;_-* &quot;-&quot;??_-;_-@_-"/>
    <numFmt numFmtId="164" formatCode="_-* #,##0_-;\-* #,##0_-;_-* &quot;-&quot;??_-;_-@_-"/>
    <numFmt numFmtId="165" formatCode="0.0000"/>
    <numFmt numFmtId="166" formatCode="[$-F800]dddd\,\ mmmm\ dd\,\ yyyy"/>
    <numFmt numFmtId="167" formatCode="0.0%"/>
    <numFmt numFmtId="168" formatCode="_-* #,##0.000_-;\-* #,##0.000_-;_-* &quot;-&quot;??_-;_-@_-"/>
    <numFmt numFmtId="169" formatCode="0.000"/>
    <numFmt numFmtId="170" formatCode="0.0"/>
    <numFmt numFmtId="171" formatCode="_-* #,##0.000_-;\-* #,##0.000_-;_-* &quot;-&quot;???_-;_-@_-"/>
    <numFmt numFmtId="172" formatCode="_-* #,##0.0_-;\-* #,##0.0_-;_-* &quot;-&quot;?_-;_-@_-"/>
    <numFmt numFmtId="173" formatCode="0.0000000"/>
    <numFmt numFmtId="174" formatCode="&quot;£&quot;#,##0"/>
  </numFmts>
  <fonts count="30" x14ac:knownFonts="1">
    <font>
      <sz val="11"/>
      <color theme="1"/>
      <name val="Calibri"/>
      <family val="2"/>
      <scheme val="minor"/>
    </font>
    <font>
      <b/>
      <sz val="11"/>
      <color theme="1"/>
      <name val="Calibri"/>
      <family val="2"/>
      <scheme val="minor"/>
    </font>
    <font>
      <i/>
      <sz val="11"/>
      <color theme="1"/>
      <name val="Calibri"/>
      <family val="2"/>
      <scheme val="minor"/>
    </font>
    <font>
      <sz val="8"/>
      <name val="Calibri"/>
      <family val="2"/>
      <scheme val="minor"/>
    </font>
    <font>
      <sz val="11"/>
      <color theme="1"/>
      <name val="Calibri"/>
      <family val="2"/>
      <scheme val="minor"/>
    </font>
    <font>
      <b/>
      <sz val="11"/>
      <color theme="9" tint="-0.249977111117893"/>
      <name val="Calibri"/>
      <family val="2"/>
      <scheme val="minor"/>
    </font>
    <font>
      <b/>
      <i/>
      <sz val="11"/>
      <color theme="1"/>
      <name val="Calibri"/>
      <family val="2"/>
      <scheme val="minor"/>
    </font>
    <font>
      <u/>
      <sz val="11"/>
      <color theme="10"/>
      <name val="Calibri"/>
      <family val="2"/>
      <scheme val="minor"/>
    </font>
    <font>
      <b/>
      <sz val="12"/>
      <color rgb="FFC00000"/>
      <name val="Arial"/>
      <family val="2"/>
    </font>
    <font>
      <sz val="12"/>
      <color theme="1"/>
      <name val="Arial"/>
      <family val="2"/>
    </font>
    <font>
      <b/>
      <sz val="12"/>
      <color theme="1"/>
      <name val="Arial"/>
      <family val="2"/>
    </font>
    <font>
      <b/>
      <sz val="10"/>
      <color rgb="FFC00000"/>
      <name val="Arial"/>
      <family val="2"/>
    </font>
    <font>
      <sz val="12"/>
      <color rgb="FFC00000"/>
      <name val="Arial"/>
      <family val="2"/>
    </font>
    <font>
      <sz val="12"/>
      <name val="Arial"/>
      <family val="2"/>
    </font>
    <font>
      <b/>
      <sz val="12"/>
      <name val="Arial"/>
      <family val="2"/>
    </font>
    <font>
      <sz val="12"/>
      <color rgb="FFFF0000"/>
      <name val="Arial"/>
      <family val="2"/>
    </font>
    <font>
      <sz val="11"/>
      <color rgb="FFFF0000"/>
      <name val="Calibri"/>
      <family val="2"/>
      <scheme val="minor"/>
    </font>
    <font>
      <b/>
      <sz val="11"/>
      <color rgb="FFFF0000"/>
      <name val="Calibri"/>
      <family val="2"/>
      <scheme val="minor"/>
    </font>
    <font>
      <i/>
      <sz val="11"/>
      <color rgb="FFFF0000"/>
      <name val="Calibri"/>
      <family val="2"/>
      <scheme val="minor"/>
    </font>
    <font>
      <b/>
      <i/>
      <sz val="12"/>
      <color theme="1"/>
      <name val="Arial"/>
      <family val="2"/>
    </font>
    <font>
      <i/>
      <sz val="12"/>
      <color theme="1"/>
      <name val="Arial"/>
      <family val="2"/>
    </font>
    <font>
      <sz val="11"/>
      <color theme="1"/>
      <name val="Arial"/>
      <family val="2"/>
    </font>
    <font>
      <b/>
      <sz val="12"/>
      <color rgb="FFFF0000"/>
      <name val="Arial"/>
      <family val="2"/>
    </font>
    <font>
      <sz val="11"/>
      <name val="Calibri"/>
      <family val="2"/>
      <scheme val="minor"/>
    </font>
    <font>
      <sz val="10"/>
      <color theme="1"/>
      <name val="Arial"/>
      <family val="2"/>
    </font>
    <font>
      <i/>
      <sz val="12"/>
      <color rgb="FFC00000"/>
      <name val="Arial"/>
      <family val="2"/>
    </font>
    <font>
      <b/>
      <sz val="11"/>
      <name val="Calibri"/>
      <family val="2"/>
      <scheme val="minor"/>
    </font>
    <font>
      <b/>
      <sz val="16"/>
      <color theme="1"/>
      <name val="Calibri"/>
      <family val="2"/>
      <scheme val="minor"/>
    </font>
    <font>
      <b/>
      <sz val="14"/>
      <color theme="1"/>
      <name val="Calibri"/>
      <family val="2"/>
      <scheme val="minor"/>
    </font>
    <font>
      <sz val="9"/>
      <color theme="1"/>
      <name val="Calibri"/>
      <family val="2"/>
    </font>
  </fonts>
  <fills count="11">
    <fill>
      <patternFill patternType="none"/>
    </fill>
    <fill>
      <patternFill patternType="gray125"/>
    </fill>
    <fill>
      <patternFill patternType="solid">
        <fgColor rgb="FFFFFF00"/>
        <bgColor indexed="64"/>
      </patternFill>
    </fill>
    <fill>
      <patternFill patternType="solid">
        <fgColor theme="6" tint="0.79998168889431442"/>
        <bgColor indexed="64"/>
      </patternFill>
    </fill>
    <fill>
      <patternFill patternType="solid">
        <fgColor theme="2"/>
        <bgColor indexed="64"/>
      </patternFill>
    </fill>
    <fill>
      <patternFill patternType="solid">
        <fgColor theme="0" tint="-4.9989318521683403E-2"/>
        <bgColor indexed="64"/>
      </patternFill>
    </fill>
    <fill>
      <patternFill patternType="solid">
        <fgColor rgb="FFFF0000"/>
        <bgColor indexed="64"/>
      </patternFill>
    </fill>
    <fill>
      <patternFill patternType="solid">
        <fgColor theme="0"/>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9" tint="0.79998168889431442"/>
        <bgColor indexed="64"/>
      </patternFill>
    </fill>
  </fills>
  <borders count="112">
    <border>
      <left/>
      <right/>
      <top/>
      <bottom/>
      <diagonal/>
    </border>
    <border>
      <left/>
      <right/>
      <top style="thin">
        <color indexed="64"/>
      </top>
      <bottom style="double">
        <color indexed="64"/>
      </bottom>
      <diagonal/>
    </border>
    <border>
      <left/>
      <right/>
      <top/>
      <bottom style="medium">
        <color indexed="64"/>
      </bottom>
      <diagonal/>
    </border>
    <border>
      <left/>
      <right/>
      <top style="thin">
        <color indexed="64"/>
      </top>
      <bottom style="medium">
        <color indexed="64"/>
      </bottom>
      <diagonal/>
    </border>
    <border>
      <left/>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thin">
        <color indexed="64"/>
      </top>
      <bottom style="thin">
        <color indexed="64"/>
      </bottom>
      <diagonal/>
    </border>
    <border>
      <left/>
      <right/>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indexed="64"/>
      </right>
      <top style="thin">
        <color indexed="64"/>
      </top>
      <bottom style="double">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style="thin">
        <color indexed="64"/>
      </top>
      <bottom/>
      <diagonal/>
    </border>
    <border>
      <left style="hair">
        <color auto="1"/>
      </left>
      <right style="hair">
        <color auto="1"/>
      </right>
      <top style="hair">
        <color auto="1"/>
      </top>
      <bottom style="hair">
        <color auto="1"/>
      </bottom>
      <diagonal/>
    </border>
    <border>
      <left style="hair">
        <color auto="1"/>
      </left>
      <right style="hair">
        <color auto="1"/>
      </right>
      <top style="hair">
        <color auto="1"/>
      </top>
      <bottom/>
      <diagonal/>
    </border>
    <border>
      <left style="hair">
        <color auto="1"/>
      </left>
      <right style="hair">
        <color auto="1"/>
      </right>
      <top/>
      <bottom/>
      <diagonal/>
    </border>
    <border>
      <left style="hair">
        <color auto="1"/>
      </left>
      <right style="hair">
        <color auto="1"/>
      </right>
      <top style="hair">
        <color auto="1"/>
      </top>
      <bottom style="medium">
        <color indexed="64"/>
      </bottom>
      <diagonal/>
    </border>
    <border>
      <left style="hair">
        <color auto="1"/>
      </left>
      <right style="hair">
        <color auto="1"/>
      </right>
      <top/>
      <bottom style="hair">
        <color auto="1"/>
      </bottom>
      <diagonal/>
    </border>
    <border>
      <left style="hair">
        <color auto="1"/>
      </left>
      <right style="hair">
        <color auto="1"/>
      </right>
      <top style="thin">
        <color indexed="64"/>
      </top>
      <bottom style="thin">
        <color indexed="64"/>
      </bottom>
      <diagonal/>
    </border>
    <border>
      <left style="hair">
        <color auto="1"/>
      </left>
      <right style="hair">
        <color auto="1"/>
      </right>
      <top style="thin">
        <color indexed="64"/>
      </top>
      <bottom style="medium">
        <color auto="1"/>
      </bottom>
      <diagonal/>
    </border>
    <border>
      <left style="hair">
        <color auto="1"/>
      </left>
      <right style="hair">
        <color auto="1"/>
      </right>
      <top style="thin">
        <color auto="1"/>
      </top>
      <bottom style="hair">
        <color auto="1"/>
      </bottom>
      <diagonal/>
    </border>
    <border>
      <left/>
      <right/>
      <top style="thin">
        <color indexed="64"/>
      </top>
      <bottom style="thin">
        <color indexed="64"/>
      </bottom>
      <diagonal/>
    </border>
    <border>
      <left style="hair">
        <color auto="1"/>
      </left>
      <right style="hair">
        <color auto="1"/>
      </right>
      <top style="hair">
        <color auto="1"/>
      </top>
      <bottom style="thin">
        <color indexed="64"/>
      </bottom>
      <diagonal/>
    </border>
    <border>
      <left style="hair">
        <color auto="1"/>
      </left>
      <right/>
      <top style="hair">
        <color auto="1"/>
      </top>
      <bottom style="hair">
        <color auto="1"/>
      </bottom>
      <diagonal/>
    </border>
    <border>
      <left/>
      <right style="hair">
        <color auto="1"/>
      </right>
      <top style="hair">
        <color auto="1"/>
      </top>
      <bottom style="hair">
        <color auto="1"/>
      </bottom>
      <diagonal/>
    </border>
    <border>
      <left style="hair">
        <color auto="1"/>
      </left>
      <right/>
      <top style="hair">
        <color auto="1"/>
      </top>
      <bottom/>
      <diagonal/>
    </border>
    <border>
      <left style="hair">
        <color auto="1"/>
      </left>
      <right/>
      <top style="thin">
        <color indexed="64"/>
      </top>
      <bottom style="thin">
        <color indexed="64"/>
      </bottom>
      <diagonal/>
    </border>
    <border>
      <left style="hair">
        <color auto="1"/>
      </left>
      <right/>
      <top/>
      <bottom style="hair">
        <color auto="1"/>
      </bottom>
      <diagonal/>
    </border>
    <border>
      <left style="hair">
        <color auto="1"/>
      </left>
      <right/>
      <top style="thin">
        <color indexed="64"/>
      </top>
      <bottom style="medium">
        <color auto="1"/>
      </bottom>
      <diagonal/>
    </border>
    <border>
      <left style="hair">
        <color auto="1"/>
      </left>
      <right/>
      <top style="thin">
        <color auto="1"/>
      </top>
      <bottom style="hair">
        <color auto="1"/>
      </bottom>
      <diagonal/>
    </border>
    <border>
      <left/>
      <right/>
      <top style="hair">
        <color auto="1"/>
      </top>
      <bottom style="hair">
        <color auto="1"/>
      </bottom>
      <diagonal/>
    </border>
    <border>
      <left/>
      <right style="hair">
        <color auto="1"/>
      </right>
      <top/>
      <bottom/>
      <diagonal/>
    </border>
    <border>
      <left/>
      <right style="hair">
        <color auto="1"/>
      </right>
      <top/>
      <bottom style="hair">
        <color auto="1"/>
      </bottom>
      <diagonal/>
    </border>
    <border>
      <left style="thin">
        <color indexed="64"/>
      </left>
      <right/>
      <top style="thin">
        <color indexed="64"/>
      </top>
      <bottom style="hair">
        <color auto="1"/>
      </bottom>
      <diagonal/>
    </border>
    <border>
      <left/>
      <right style="thin">
        <color indexed="64"/>
      </right>
      <top style="thin">
        <color indexed="64"/>
      </top>
      <bottom style="hair">
        <color auto="1"/>
      </bottom>
      <diagonal/>
    </border>
    <border>
      <left style="thin">
        <color indexed="64"/>
      </left>
      <right style="hair">
        <color auto="1"/>
      </right>
      <top style="hair">
        <color auto="1"/>
      </top>
      <bottom style="hair">
        <color auto="1"/>
      </bottom>
      <diagonal/>
    </border>
    <border>
      <left style="hair">
        <color auto="1"/>
      </left>
      <right style="thin">
        <color indexed="64"/>
      </right>
      <top style="hair">
        <color auto="1"/>
      </top>
      <bottom style="hair">
        <color auto="1"/>
      </bottom>
      <diagonal/>
    </border>
    <border>
      <left style="thin">
        <color indexed="64"/>
      </left>
      <right style="hair">
        <color auto="1"/>
      </right>
      <top/>
      <bottom style="hair">
        <color auto="1"/>
      </bottom>
      <diagonal/>
    </border>
    <border>
      <left style="hair">
        <color auto="1"/>
      </left>
      <right style="thin">
        <color indexed="64"/>
      </right>
      <top/>
      <bottom style="hair">
        <color auto="1"/>
      </bottom>
      <diagonal/>
    </border>
    <border>
      <left style="thin">
        <color indexed="64"/>
      </left>
      <right style="hair">
        <color auto="1"/>
      </right>
      <top style="hair">
        <color auto="1"/>
      </top>
      <bottom style="thin">
        <color indexed="64"/>
      </bottom>
      <diagonal/>
    </border>
    <border>
      <left style="hair">
        <color auto="1"/>
      </left>
      <right style="thin">
        <color indexed="64"/>
      </right>
      <top style="hair">
        <color auto="1"/>
      </top>
      <bottom style="thin">
        <color indexed="64"/>
      </bottom>
      <diagonal/>
    </border>
    <border>
      <left/>
      <right style="hair">
        <color auto="1"/>
      </right>
      <top style="thin">
        <color indexed="64"/>
      </top>
      <bottom style="thin">
        <color indexed="64"/>
      </bottom>
      <diagonal/>
    </border>
    <border>
      <left/>
      <right style="hair">
        <color auto="1"/>
      </right>
      <top style="thin">
        <color indexed="64"/>
      </top>
      <bottom style="medium">
        <color auto="1"/>
      </bottom>
      <diagonal/>
    </border>
    <border>
      <left/>
      <right style="hair">
        <color auto="1"/>
      </right>
      <top style="thin">
        <color auto="1"/>
      </top>
      <bottom style="hair">
        <color auto="1"/>
      </bottom>
      <diagonal/>
    </border>
    <border>
      <left style="thin">
        <color indexed="64"/>
      </left>
      <right style="hair">
        <color auto="1"/>
      </right>
      <top/>
      <bottom/>
      <diagonal/>
    </border>
    <border>
      <left style="hair">
        <color auto="1"/>
      </left>
      <right style="thin">
        <color indexed="64"/>
      </right>
      <top/>
      <bottom/>
      <diagonal/>
    </border>
    <border>
      <left/>
      <right/>
      <top/>
      <bottom style="hair">
        <color auto="1"/>
      </bottom>
      <diagonal/>
    </border>
    <border>
      <left/>
      <right style="hair">
        <color auto="1"/>
      </right>
      <top style="hair">
        <color auto="1"/>
      </top>
      <bottom/>
      <diagonal/>
    </border>
    <border>
      <left/>
      <right style="hair">
        <color auto="1"/>
      </right>
      <top style="hair">
        <color auto="1"/>
      </top>
      <bottom style="thin">
        <color indexed="64"/>
      </bottom>
      <diagonal/>
    </border>
    <border>
      <left/>
      <right style="hair">
        <color auto="1"/>
      </right>
      <top/>
      <bottom style="thin">
        <color indexed="64"/>
      </bottom>
      <diagonal/>
    </border>
    <border>
      <left/>
      <right style="hair">
        <color auto="1"/>
      </right>
      <top style="medium">
        <color auto="1"/>
      </top>
      <bottom style="hair">
        <color auto="1"/>
      </bottom>
      <diagonal/>
    </border>
    <border>
      <left style="thin">
        <color indexed="64"/>
      </left>
      <right style="hair">
        <color auto="1"/>
      </right>
      <top style="hair">
        <color auto="1"/>
      </top>
      <bottom/>
      <diagonal/>
    </border>
    <border>
      <left style="hair">
        <color auto="1"/>
      </left>
      <right style="thin">
        <color indexed="64"/>
      </right>
      <top style="hair">
        <color auto="1"/>
      </top>
      <bottom/>
      <diagonal/>
    </border>
    <border>
      <left style="hair">
        <color auto="1"/>
      </left>
      <right/>
      <top/>
      <bottom/>
      <diagonal/>
    </border>
    <border>
      <left style="hair">
        <color auto="1"/>
      </left>
      <right/>
      <top style="hair">
        <color auto="1"/>
      </top>
      <bottom style="thin">
        <color indexed="64"/>
      </bottom>
      <diagonal/>
    </border>
    <border>
      <left/>
      <right/>
      <top style="hair">
        <color auto="1"/>
      </top>
      <bottom/>
      <diagonal/>
    </border>
    <border>
      <left/>
      <right/>
      <top style="thin">
        <color indexed="64"/>
      </top>
      <bottom style="hair">
        <color auto="1"/>
      </bottom>
      <diagonal/>
    </border>
    <border>
      <left/>
      <right/>
      <top style="hair">
        <color auto="1"/>
      </top>
      <bottom style="thin">
        <color indexed="64"/>
      </bottom>
      <diagonal/>
    </border>
    <border>
      <left/>
      <right style="thin">
        <color indexed="64"/>
      </right>
      <top style="hair">
        <color auto="1"/>
      </top>
      <bottom style="hair">
        <color auto="1"/>
      </bottom>
      <diagonal/>
    </border>
    <border>
      <left style="thin">
        <color indexed="64"/>
      </left>
      <right/>
      <top style="hair">
        <color auto="1"/>
      </top>
      <bottom style="hair">
        <color auto="1"/>
      </bottom>
      <diagonal/>
    </border>
    <border>
      <left style="thin">
        <color indexed="64"/>
      </left>
      <right/>
      <top/>
      <bottom/>
      <diagonal/>
    </border>
    <border>
      <left/>
      <right style="thin">
        <color indexed="64"/>
      </right>
      <top/>
      <bottom/>
      <diagonal/>
    </border>
    <border>
      <left style="thin">
        <color indexed="64"/>
      </left>
      <right/>
      <top/>
      <bottom style="hair">
        <color auto="1"/>
      </bottom>
      <diagonal/>
    </border>
    <border>
      <left/>
      <right style="thin">
        <color indexed="64"/>
      </right>
      <top/>
      <bottom style="hair">
        <color auto="1"/>
      </bottom>
      <diagonal/>
    </border>
    <border>
      <left style="thin">
        <color indexed="64"/>
      </left>
      <right style="thin">
        <color indexed="64"/>
      </right>
      <top style="hair">
        <color auto="1"/>
      </top>
      <bottom style="hair">
        <color auto="1"/>
      </bottom>
      <diagonal/>
    </border>
    <border>
      <left style="thin">
        <color indexed="64"/>
      </left>
      <right/>
      <top style="hair">
        <color auto="1"/>
      </top>
      <bottom style="thin">
        <color indexed="64"/>
      </bottom>
      <diagonal/>
    </border>
    <border>
      <left/>
      <right style="thin">
        <color indexed="64"/>
      </right>
      <top style="hair">
        <color auto="1"/>
      </top>
      <bottom style="thin">
        <color indexed="64"/>
      </bottom>
      <diagonal/>
    </border>
    <border>
      <left style="thin">
        <color indexed="64"/>
      </left>
      <right/>
      <top style="hair">
        <color auto="1"/>
      </top>
      <bottom/>
      <diagonal/>
    </border>
    <border>
      <left/>
      <right style="thin">
        <color indexed="64"/>
      </right>
      <top style="hair">
        <color auto="1"/>
      </top>
      <bottom/>
      <diagonal/>
    </border>
    <border>
      <left style="thin">
        <color indexed="64"/>
      </left>
      <right style="hair">
        <color auto="1"/>
      </right>
      <top style="thin">
        <color indexed="64"/>
      </top>
      <bottom/>
      <diagonal/>
    </border>
    <border>
      <left style="hair">
        <color auto="1"/>
      </left>
      <right style="thin">
        <color indexed="64"/>
      </right>
      <top style="thin">
        <color indexed="64"/>
      </top>
      <bottom/>
      <diagonal/>
    </border>
    <border>
      <left style="hair">
        <color auto="1"/>
      </left>
      <right style="thin">
        <color indexed="64"/>
      </right>
      <top style="thin">
        <color indexed="64"/>
      </top>
      <bottom style="hair">
        <color auto="1"/>
      </bottom>
      <diagonal/>
    </border>
    <border>
      <left style="thin">
        <color indexed="64"/>
      </left>
      <right style="hair">
        <color auto="1"/>
      </right>
      <top style="thin">
        <color indexed="64"/>
      </top>
      <bottom style="hair">
        <color auto="1"/>
      </bottom>
      <diagonal/>
    </border>
    <border>
      <left style="medium">
        <color indexed="64"/>
      </left>
      <right style="hair">
        <color auto="1"/>
      </right>
      <top style="medium">
        <color indexed="64"/>
      </top>
      <bottom style="hair">
        <color auto="1"/>
      </bottom>
      <diagonal/>
    </border>
    <border>
      <left style="hair">
        <color auto="1"/>
      </left>
      <right style="hair">
        <color auto="1"/>
      </right>
      <top style="medium">
        <color indexed="64"/>
      </top>
      <bottom style="hair">
        <color auto="1"/>
      </bottom>
      <diagonal/>
    </border>
    <border>
      <left style="hair">
        <color auto="1"/>
      </left>
      <right style="medium">
        <color indexed="64"/>
      </right>
      <top style="medium">
        <color indexed="64"/>
      </top>
      <bottom style="hair">
        <color auto="1"/>
      </bottom>
      <diagonal/>
    </border>
    <border>
      <left style="medium">
        <color indexed="64"/>
      </left>
      <right style="hair">
        <color auto="1"/>
      </right>
      <top style="hair">
        <color auto="1"/>
      </top>
      <bottom style="hair">
        <color auto="1"/>
      </bottom>
      <diagonal/>
    </border>
    <border>
      <left style="hair">
        <color auto="1"/>
      </left>
      <right style="medium">
        <color indexed="64"/>
      </right>
      <top style="hair">
        <color auto="1"/>
      </top>
      <bottom style="hair">
        <color auto="1"/>
      </bottom>
      <diagonal/>
    </border>
    <border>
      <left style="medium">
        <color indexed="64"/>
      </left>
      <right style="hair">
        <color auto="1"/>
      </right>
      <top style="hair">
        <color auto="1"/>
      </top>
      <bottom style="medium">
        <color indexed="64"/>
      </bottom>
      <diagonal/>
    </border>
    <border>
      <left style="hair">
        <color auto="1"/>
      </left>
      <right style="medium">
        <color indexed="64"/>
      </right>
      <top style="hair">
        <color auto="1"/>
      </top>
      <bottom/>
      <diagonal/>
    </border>
    <border>
      <left style="hair">
        <color auto="1"/>
      </left>
      <right style="medium">
        <color indexed="64"/>
      </right>
      <top style="thin">
        <color auto="1"/>
      </top>
      <bottom style="hair">
        <color auto="1"/>
      </bottom>
      <diagonal/>
    </border>
    <border>
      <left style="hair">
        <color auto="1"/>
      </left>
      <right style="medium">
        <color indexed="64"/>
      </right>
      <top style="hair">
        <color auto="1"/>
      </top>
      <bottom style="thin">
        <color indexed="64"/>
      </bottom>
      <diagonal/>
    </border>
    <border>
      <left style="hair">
        <color auto="1"/>
      </left>
      <right style="medium">
        <color indexed="64"/>
      </right>
      <top/>
      <bottom style="hair">
        <color auto="1"/>
      </bottom>
      <diagonal/>
    </border>
    <border>
      <left style="medium">
        <color indexed="64"/>
      </left>
      <right style="hair">
        <color auto="1"/>
      </right>
      <top style="hair">
        <color auto="1"/>
      </top>
      <bottom/>
      <diagonal/>
    </border>
    <border>
      <left style="hair">
        <color auto="1"/>
      </left>
      <right style="medium">
        <color indexed="64"/>
      </right>
      <top/>
      <bottom/>
      <diagonal/>
    </border>
    <border>
      <left style="hair">
        <color auto="1"/>
      </left>
      <right style="hair">
        <color auto="1"/>
      </right>
      <top/>
      <bottom style="medium">
        <color indexed="64"/>
      </bottom>
      <diagonal/>
    </border>
    <border>
      <left style="hair">
        <color auto="1"/>
      </left>
      <right style="medium">
        <color indexed="64"/>
      </right>
      <top/>
      <bottom style="medium">
        <color indexed="64"/>
      </bottom>
      <diagonal/>
    </border>
    <border>
      <left style="medium">
        <color indexed="64"/>
      </left>
      <right/>
      <top style="hair">
        <color auto="1"/>
      </top>
      <bottom style="hair">
        <color auto="1"/>
      </bottom>
      <diagonal/>
    </border>
    <border>
      <left style="medium">
        <color indexed="64"/>
      </left>
      <right/>
      <top style="hair">
        <color auto="1"/>
      </top>
      <bottom/>
      <diagonal/>
    </border>
    <border>
      <left style="medium">
        <color indexed="64"/>
      </left>
      <right/>
      <top style="hair">
        <color auto="1"/>
      </top>
      <bottom style="medium">
        <color indexed="64"/>
      </bottom>
      <diagonal/>
    </border>
    <border>
      <left style="medium">
        <color indexed="64"/>
      </left>
      <right style="hair">
        <color auto="1"/>
      </right>
      <top style="thin">
        <color auto="1"/>
      </top>
      <bottom style="hair">
        <color auto="1"/>
      </bottom>
      <diagonal/>
    </border>
    <border>
      <left style="medium">
        <color indexed="64"/>
      </left>
      <right style="hair">
        <color auto="1"/>
      </right>
      <top/>
      <bottom/>
      <diagonal/>
    </border>
    <border>
      <left style="medium">
        <color indexed="64"/>
      </left>
      <right style="hair">
        <color auto="1"/>
      </right>
      <top style="hair">
        <color auto="1"/>
      </top>
      <bottom style="thin">
        <color indexed="64"/>
      </bottom>
      <diagonal/>
    </border>
    <border>
      <left style="medium">
        <color indexed="64"/>
      </left>
      <right style="hair">
        <color auto="1"/>
      </right>
      <top/>
      <bottom style="hair">
        <color auto="1"/>
      </bottom>
      <diagonal/>
    </border>
    <border>
      <left style="medium">
        <color indexed="64"/>
      </left>
      <right style="hair">
        <color auto="1"/>
      </right>
      <top/>
      <bottom style="medium">
        <color indexed="64"/>
      </bottom>
      <diagonal/>
    </border>
    <border>
      <left style="medium">
        <color indexed="64"/>
      </left>
      <right style="medium">
        <color indexed="64"/>
      </right>
      <top style="medium">
        <color indexed="64"/>
      </top>
      <bottom style="hair">
        <color auto="1"/>
      </bottom>
      <diagonal/>
    </border>
    <border>
      <left style="medium">
        <color indexed="64"/>
      </left>
      <right style="medium">
        <color indexed="64"/>
      </right>
      <top style="hair">
        <color auto="1"/>
      </top>
      <bottom style="hair">
        <color auto="1"/>
      </bottom>
      <diagonal/>
    </border>
    <border>
      <left style="medium">
        <color indexed="64"/>
      </left>
      <right style="medium">
        <color indexed="64"/>
      </right>
      <top style="hair">
        <color auto="1"/>
      </top>
      <bottom/>
      <diagonal/>
    </border>
    <border>
      <left style="medium">
        <color indexed="64"/>
      </left>
      <right style="medium">
        <color indexed="64"/>
      </right>
      <top style="thin">
        <color auto="1"/>
      </top>
      <bottom style="hair">
        <color auto="1"/>
      </bottom>
      <diagonal/>
    </border>
    <border>
      <left style="medium">
        <color indexed="64"/>
      </left>
      <right style="medium">
        <color indexed="64"/>
      </right>
      <top style="hair">
        <color auto="1"/>
      </top>
      <bottom style="thin">
        <color indexed="64"/>
      </bottom>
      <diagonal/>
    </border>
    <border>
      <left style="medium">
        <color indexed="64"/>
      </left>
      <right style="medium">
        <color indexed="64"/>
      </right>
      <top/>
      <bottom style="hair">
        <color auto="1"/>
      </bottom>
      <diagonal/>
    </border>
  </borders>
  <cellStyleXfs count="5">
    <xf numFmtId="0" fontId="0" fillId="0" borderId="0"/>
    <xf numFmtId="43" fontId="4" fillId="0" borderId="0" applyFont="0" applyFill="0" applyBorder="0" applyAlignment="0" applyProtection="0"/>
    <xf numFmtId="9" fontId="4" fillId="0" borderId="0" applyFont="0" applyFill="0" applyBorder="0" applyAlignment="0" applyProtection="0"/>
    <xf numFmtId="0" fontId="7" fillId="0" borderId="0" applyNumberFormat="0" applyFill="0" applyBorder="0" applyAlignment="0" applyProtection="0"/>
    <xf numFmtId="0" fontId="24" fillId="0" borderId="0"/>
  </cellStyleXfs>
  <cellXfs count="881">
    <xf numFmtId="0" fontId="0" fillId="0" borderId="0" xfId="0"/>
    <xf numFmtId="0" fontId="1" fillId="0" borderId="0" xfId="0" applyFont="1"/>
    <xf numFmtId="0" fontId="0" fillId="0" borderId="0" xfId="0" applyAlignment="1">
      <alignment horizontal="center"/>
    </xf>
    <xf numFmtId="0" fontId="0" fillId="2" borderId="0" xfId="0" applyFill="1"/>
    <xf numFmtId="0" fontId="2" fillId="0" borderId="0" xfId="0" applyFont="1" applyAlignment="1">
      <alignment horizontal="right"/>
    </xf>
    <xf numFmtId="0" fontId="0" fillId="0" borderId="0" xfId="0" applyFont="1" applyAlignment="1">
      <alignment horizontal="right"/>
    </xf>
    <xf numFmtId="0" fontId="1" fillId="0" borderId="0" xfId="0" applyFont="1" applyAlignment="1">
      <alignment wrapText="1"/>
    </xf>
    <xf numFmtId="0" fontId="0" fillId="0" borderId="0" xfId="0" applyFont="1" applyAlignment="1">
      <alignment wrapText="1"/>
    </xf>
    <xf numFmtId="9" fontId="0" fillId="0" borderId="0" xfId="0" applyNumberFormat="1"/>
    <xf numFmtId="0" fontId="0" fillId="0" borderId="0" xfId="0" applyFont="1"/>
    <xf numFmtId="3" fontId="0" fillId="0" borderId="0" xfId="0" applyNumberFormat="1"/>
    <xf numFmtId="43" fontId="0" fillId="0" borderId="0" xfId="1" applyFont="1"/>
    <xf numFmtId="43" fontId="0" fillId="0" borderId="0" xfId="0" applyNumberFormat="1"/>
    <xf numFmtId="0" fontId="1" fillId="0" borderId="0" xfId="0" applyFont="1" applyAlignment="1">
      <alignment horizontal="center"/>
    </xf>
    <xf numFmtId="43" fontId="0" fillId="2" borderId="0" xfId="1" applyFont="1" applyFill="1"/>
    <xf numFmtId="0" fontId="0" fillId="0" borderId="0" xfId="0" applyAlignment="1">
      <alignment horizontal="right"/>
    </xf>
    <xf numFmtId="0" fontId="1" fillId="0" borderId="0" xfId="0" applyFont="1" applyAlignment="1">
      <alignment horizontal="right"/>
    </xf>
    <xf numFmtId="43" fontId="0" fillId="0" borderId="0" xfId="0" applyNumberFormat="1" applyBorder="1"/>
    <xf numFmtId="43" fontId="0" fillId="0" borderId="1" xfId="1" applyFont="1" applyBorder="1"/>
    <xf numFmtId="3" fontId="0" fillId="0" borderId="2" xfId="0" applyNumberFormat="1" applyBorder="1"/>
    <xf numFmtId="3" fontId="0" fillId="0" borderId="0" xfId="0" applyNumberFormat="1" applyFill="1"/>
    <xf numFmtId="43" fontId="0" fillId="0" borderId="0" xfId="0" applyNumberFormat="1" applyFill="1"/>
    <xf numFmtId="0" fontId="0" fillId="0" borderId="0" xfId="0" applyFont="1" applyAlignment="1">
      <alignment horizontal="left" wrapText="1"/>
    </xf>
    <xf numFmtId="164" fontId="0" fillId="0" borderId="0" xfId="1" applyNumberFormat="1" applyFont="1" applyFill="1"/>
    <xf numFmtId="164" fontId="0" fillId="0" borderId="0" xfId="1" applyNumberFormat="1" applyFont="1"/>
    <xf numFmtId="164" fontId="0" fillId="0" borderId="1" xfId="1" applyNumberFormat="1" applyFont="1" applyBorder="1"/>
    <xf numFmtId="165" fontId="0" fillId="0" borderId="0" xfId="0" applyNumberFormat="1"/>
    <xf numFmtId="3" fontId="0" fillId="2" borderId="0" xfId="0" applyNumberFormat="1" applyFill="1"/>
    <xf numFmtId="43" fontId="0" fillId="2" borderId="2" xfId="0" applyNumberFormat="1" applyFill="1" applyBorder="1"/>
    <xf numFmtId="0" fontId="0" fillId="0" borderId="0" xfId="0" applyAlignment="1">
      <alignment vertical="top"/>
    </xf>
    <xf numFmtId="0" fontId="0" fillId="0" borderId="0" xfId="0" applyAlignment="1">
      <alignment vertical="top" wrapText="1"/>
    </xf>
    <xf numFmtId="0" fontId="5" fillId="0" borderId="0" xfId="0" applyFont="1"/>
    <xf numFmtId="164" fontId="0" fillId="0" borderId="0" xfId="0" applyNumberFormat="1"/>
    <xf numFmtId="43" fontId="0" fillId="0" borderId="3" xfId="0" applyNumberFormat="1" applyBorder="1"/>
    <xf numFmtId="164" fontId="0" fillId="2" borderId="0" xfId="1" applyNumberFormat="1" applyFont="1" applyFill="1"/>
    <xf numFmtId="9" fontId="0" fillId="2" borderId="0" xfId="2" applyFont="1" applyFill="1"/>
    <xf numFmtId="0" fontId="0" fillId="2" borderId="0" xfId="0" applyFill="1" applyAlignment="1">
      <alignment horizontal="right"/>
    </xf>
    <xf numFmtId="0" fontId="2" fillId="0" borderId="0" xfId="0" applyFont="1"/>
    <xf numFmtId="0" fontId="1" fillId="0" borderId="0" xfId="0" applyFont="1" applyAlignment="1">
      <alignment horizontal="center" wrapText="1"/>
    </xf>
    <xf numFmtId="0" fontId="0" fillId="0" borderId="0" xfId="0" applyAlignment="1">
      <alignment horizontal="left" vertical="top" wrapText="1"/>
    </xf>
    <xf numFmtId="10" fontId="0" fillId="0" borderId="0" xfId="2" applyNumberFormat="1" applyFont="1"/>
    <xf numFmtId="14" fontId="0" fillId="0" borderId="0" xfId="0" applyNumberFormat="1"/>
    <xf numFmtId="14" fontId="0" fillId="2" borderId="0" xfId="0" applyNumberFormat="1" applyFill="1"/>
    <xf numFmtId="0" fontId="0" fillId="2" borderId="5" xfId="0" applyFill="1" applyBorder="1"/>
    <xf numFmtId="14" fontId="0" fillId="2" borderId="6" xfId="0" applyNumberFormat="1" applyFill="1" applyBorder="1"/>
    <xf numFmtId="1" fontId="0" fillId="2" borderId="6" xfId="0" applyNumberFormat="1" applyFill="1" applyBorder="1"/>
    <xf numFmtId="10" fontId="0" fillId="2" borderId="6" xfId="0" applyNumberFormat="1" applyFill="1" applyBorder="1"/>
    <xf numFmtId="1" fontId="0" fillId="0" borderId="6" xfId="0" applyNumberFormat="1" applyBorder="1"/>
    <xf numFmtId="0" fontId="0" fillId="2" borderId="8" xfId="0" applyFill="1" applyBorder="1"/>
    <xf numFmtId="0" fontId="0" fillId="2" borderId="0" xfId="0" applyFill="1" applyBorder="1"/>
    <xf numFmtId="14" fontId="0" fillId="2" borderId="0" xfId="0" applyNumberFormat="1" applyFill="1" applyBorder="1"/>
    <xf numFmtId="1" fontId="0" fillId="2" borderId="0" xfId="0" applyNumberFormat="1" applyFill="1" applyBorder="1"/>
    <xf numFmtId="9" fontId="0" fillId="2" borderId="0" xfId="0" applyNumberFormat="1" applyFill="1" applyBorder="1"/>
    <xf numFmtId="1" fontId="0" fillId="0" borderId="0" xfId="0" applyNumberFormat="1" applyBorder="1"/>
    <xf numFmtId="2" fontId="0" fillId="0" borderId="9" xfId="0" applyNumberFormat="1" applyBorder="1"/>
    <xf numFmtId="10" fontId="0" fillId="2" borderId="0" xfId="0" applyNumberFormat="1" applyFill="1" applyBorder="1"/>
    <xf numFmtId="0" fontId="0" fillId="2" borderId="10" xfId="0" applyFill="1" applyBorder="1"/>
    <xf numFmtId="0" fontId="0" fillId="2" borderId="2" xfId="0" applyFill="1" applyBorder="1"/>
    <xf numFmtId="1" fontId="0" fillId="2" borderId="2" xfId="0" applyNumberFormat="1" applyFill="1" applyBorder="1"/>
    <xf numFmtId="10" fontId="0" fillId="2" borderId="2" xfId="0" applyNumberFormat="1" applyFill="1" applyBorder="1"/>
    <xf numFmtId="1" fontId="0" fillId="0" borderId="2" xfId="0" applyNumberFormat="1" applyBorder="1"/>
    <xf numFmtId="2" fontId="0" fillId="0" borderId="11" xfId="0" applyNumberFormat="1"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0" xfId="0" applyBorder="1"/>
    <xf numFmtId="0" fontId="0" fillId="0" borderId="0" xfId="0" applyBorder="1" applyAlignment="1">
      <alignment horizontal="right"/>
    </xf>
    <xf numFmtId="0" fontId="0" fillId="0" borderId="9" xfId="0" applyBorder="1"/>
    <xf numFmtId="166" fontId="0" fillId="0" borderId="0" xfId="0" applyNumberFormat="1" applyBorder="1"/>
    <xf numFmtId="43" fontId="0" fillId="2" borderId="0" xfId="1" applyFont="1" applyFill="1" applyBorder="1"/>
    <xf numFmtId="43" fontId="0" fillId="0" borderId="9" xfId="0" applyNumberFormat="1" applyBorder="1"/>
    <xf numFmtId="0" fontId="0" fillId="0" borderId="10" xfId="0" applyBorder="1"/>
    <xf numFmtId="0" fontId="0" fillId="0" borderId="2" xfId="0" applyBorder="1"/>
    <xf numFmtId="43" fontId="1" fillId="0" borderId="11" xfId="0" applyNumberFormat="1" applyFont="1" applyBorder="1"/>
    <xf numFmtId="0" fontId="1" fillId="0" borderId="5" xfId="0" applyFont="1" applyBorder="1"/>
    <xf numFmtId="9" fontId="0" fillId="2" borderId="12" xfId="0" applyNumberFormat="1" applyFill="1" applyBorder="1"/>
    <xf numFmtId="43" fontId="0" fillId="2" borderId="7" xfId="1" applyFont="1" applyFill="1" applyBorder="1"/>
    <xf numFmtId="43" fontId="0" fillId="2" borderId="9" xfId="1" applyFont="1" applyFill="1" applyBorder="1"/>
    <xf numFmtId="43" fontId="0" fillId="0" borderId="9" xfId="1" applyFont="1" applyBorder="1"/>
    <xf numFmtId="0" fontId="1" fillId="0" borderId="8" xfId="0" applyFont="1" applyBorder="1"/>
    <xf numFmtId="43" fontId="0" fillId="0" borderId="13" xfId="1" applyFont="1" applyBorder="1"/>
    <xf numFmtId="0" fontId="0" fillId="0" borderId="11" xfId="0" applyBorder="1"/>
    <xf numFmtId="43" fontId="0" fillId="0" borderId="9" xfId="1" applyFont="1" applyFill="1" applyBorder="1"/>
    <xf numFmtId="0" fontId="1" fillId="0" borderId="6" xfId="0" applyFont="1" applyBorder="1"/>
    <xf numFmtId="43" fontId="0" fillId="0" borderId="0" xfId="1" applyFont="1" applyBorder="1"/>
    <xf numFmtId="0" fontId="0" fillId="0" borderId="8" xfId="0" applyBorder="1" applyAlignment="1">
      <alignment horizontal="left"/>
    </xf>
    <xf numFmtId="0" fontId="2" fillId="0" borderId="0" xfId="0" applyFont="1" applyBorder="1" applyAlignment="1">
      <alignment horizontal="right"/>
    </xf>
    <xf numFmtId="0" fontId="2" fillId="0" borderId="0" xfId="0" applyFont="1" applyBorder="1"/>
    <xf numFmtId="43" fontId="0" fillId="0" borderId="0" xfId="1" applyFont="1" applyFill="1"/>
    <xf numFmtId="164" fontId="0" fillId="2" borderId="14" xfId="1" applyNumberFormat="1" applyFont="1" applyFill="1" applyBorder="1"/>
    <xf numFmtId="0" fontId="0" fillId="0" borderId="0" xfId="0" applyAlignment="1"/>
    <xf numFmtId="0" fontId="2" fillId="0" borderId="0" xfId="0" applyFont="1" applyAlignment="1"/>
    <xf numFmtId="169" fontId="0" fillId="0" borderId="0" xfId="0" applyNumberFormat="1"/>
    <xf numFmtId="43" fontId="0" fillId="0" borderId="1" xfId="0" applyNumberFormat="1" applyBorder="1"/>
    <xf numFmtId="164" fontId="0" fillId="2" borderId="6" xfId="1" applyNumberFormat="1" applyFont="1" applyFill="1" applyBorder="1"/>
    <xf numFmtId="164" fontId="0" fillId="2" borderId="0" xfId="1" applyNumberFormat="1" applyFont="1" applyFill="1" applyBorder="1"/>
    <xf numFmtId="14" fontId="0" fillId="2" borderId="2" xfId="0" applyNumberFormat="1" applyFill="1" applyBorder="1"/>
    <xf numFmtId="43" fontId="0" fillId="0" borderId="7" xfId="1" applyFont="1" applyBorder="1"/>
    <xf numFmtId="43" fontId="0" fillId="0" borderId="11" xfId="1" applyFont="1" applyBorder="1"/>
    <xf numFmtId="0" fontId="0" fillId="2" borderId="9" xfId="0" applyFill="1" applyBorder="1"/>
    <xf numFmtId="0" fontId="1" fillId="0" borderId="0" xfId="0" applyFont="1" applyBorder="1" applyAlignment="1">
      <alignment horizontal="center"/>
    </xf>
    <xf numFmtId="0" fontId="1" fillId="0" borderId="9" xfId="0" applyFont="1" applyBorder="1" applyAlignment="1">
      <alignment horizontal="center"/>
    </xf>
    <xf numFmtId="164" fontId="0" fillId="2" borderId="0" xfId="0" applyNumberFormat="1" applyFill="1" applyBorder="1"/>
    <xf numFmtId="43" fontId="0" fillId="2" borderId="0" xfId="0" applyNumberFormat="1" applyFill="1" applyBorder="1"/>
    <xf numFmtId="164" fontId="0" fillId="0" borderId="0" xfId="1" applyNumberFormat="1" applyFont="1" applyBorder="1"/>
    <xf numFmtId="164" fontId="0" fillId="0" borderId="0" xfId="0" applyNumberFormat="1" applyBorder="1"/>
    <xf numFmtId="43" fontId="0" fillId="0" borderId="2" xfId="0" applyNumberFormat="1" applyBorder="1"/>
    <xf numFmtId="0" fontId="1" fillId="0" borderId="6" xfId="0" applyFont="1" applyBorder="1" applyAlignment="1">
      <alignment horizontal="center"/>
    </xf>
    <xf numFmtId="0" fontId="1" fillId="0" borderId="7" xfId="0" applyFont="1" applyBorder="1" applyAlignment="1">
      <alignment horizontal="center"/>
    </xf>
    <xf numFmtId="43" fontId="0" fillId="0" borderId="11" xfId="0" applyNumberFormat="1" applyBorder="1"/>
    <xf numFmtId="43" fontId="0" fillId="0" borderId="0" xfId="1" applyFont="1" applyFill="1" applyBorder="1"/>
    <xf numFmtId="0" fontId="0" fillId="0" borderId="9" xfId="0" applyFill="1" applyBorder="1"/>
    <xf numFmtId="0" fontId="1" fillId="3" borderId="5" xfId="0" applyFont="1" applyFill="1" applyBorder="1"/>
    <xf numFmtId="0" fontId="0" fillId="3" borderId="6" xfId="0" applyFill="1" applyBorder="1"/>
    <xf numFmtId="0" fontId="0" fillId="3" borderId="7" xfId="0" applyFill="1" applyBorder="1"/>
    <xf numFmtId="0" fontId="1" fillId="0" borderId="0" xfId="0" applyFont="1" applyFill="1" applyBorder="1"/>
    <xf numFmtId="164" fontId="0" fillId="0" borderId="9" xfId="0" applyNumberFormat="1" applyBorder="1"/>
    <xf numFmtId="3" fontId="0" fillId="0" borderId="8" xfId="0" applyNumberFormat="1" applyBorder="1"/>
    <xf numFmtId="3" fontId="0" fillId="0" borderId="9" xfId="0" applyNumberFormat="1" applyBorder="1"/>
    <xf numFmtId="0" fontId="1" fillId="0" borderId="7" xfId="0" applyFont="1" applyBorder="1"/>
    <xf numFmtId="3" fontId="0" fillId="2" borderId="0" xfId="0" applyNumberFormat="1" applyFill="1" applyBorder="1"/>
    <xf numFmtId="43" fontId="0" fillId="0" borderId="8" xfId="1" applyFont="1" applyBorder="1"/>
    <xf numFmtId="43" fontId="0" fillId="0" borderId="8" xfId="0" applyNumberFormat="1" applyBorder="1"/>
    <xf numFmtId="164" fontId="0" fillId="0" borderId="2" xfId="0" applyNumberFormat="1" applyBorder="1"/>
    <xf numFmtId="164" fontId="0" fillId="0" borderId="11" xfId="1" applyNumberFormat="1" applyFont="1" applyBorder="1"/>
    <xf numFmtId="0" fontId="0" fillId="0" borderId="9" xfId="0" applyBorder="1" applyAlignment="1">
      <alignment horizontal="right"/>
    </xf>
    <xf numFmtId="167" fontId="0" fillId="0" borderId="9" xfId="2" applyNumberFormat="1" applyFont="1" applyBorder="1"/>
    <xf numFmtId="0" fontId="1" fillId="3" borderId="15" xfId="0" applyFont="1" applyFill="1" applyBorder="1"/>
    <xf numFmtId="0" fontId="0" fillId="3" borderId="16" xfId="0" applyFill="1" applyBorder="1"/>
    <xf numFmtId="43" fontId="0" fillId="0" borderId="4" xfId="1" applyFont="1" applyBorder="1"/>
    <xf numFmtId="43" fontId="0" fillId="0" borderId="2" xfId="1" applyFont="1" applyBorder="1"/>
    <xf numFmtId="0" fontId="0" fillId="3" borderId="17" xfId="0" applyFill="1" applyBorder="1"/>
    <xf numFmtId="43" fontId="1" fillId="0" borderId="4" xfId="1" applyFont="1" applyBorder="1"/>
    <xf numFmtId="0" fontId="1" fillId="0" borderId="9" xfId="0" applyFont="1" applyBorder="1"/>
    <xf numFmtId="43" fontId="1" fillId="0" borderId="0" xfId="1" applyFont="1" applyBorder="1" applyAlignment="1">
      <alignment horizontal="center"/>
    </xf>
    <xf numFmtId="0" fontId="6" fillId="0" borderId="8" xfId="0" applyFont="1" applyBorder="1"/>
    <xf numFmtId="0" fontId="6" fillId="0" borderId="0" xfId="0" applyFont="1" applyBorder="1" applyAlignment="1">
      <alignment horizontal="right"/>
    </xf>
    <xf numFmtId="0" fontId="6" fillId="0" borderId="9" xfId="0" applyFont="1" applyBorder="1" applyAlignment="1">
      <alignment horizontal="right"/>
    </xf>
    <xf numFmtId="166" fontId="0" fillId="0" borderId="8" xfId="0" applyNumberFormat="1" applyBorder="1" applyAlignment="1">
      <alignment horizontal="left"/>
    </xf>
    <xf numFmtId="43" fontId="0" fillId="0" borderId="9" xfId="0" applyNumberFormat="1" applyFill="1" applyBorder="1"/>
    <xf numFmtId="166" fontId="0" fillId="2" borderId="0" xfId="0" applyNumberFormat="1" applyFill="1"/>
    <xf numFmtId="0" fontId="1" fillId="0" borderId="0" xfId="0" applyFont="1" applyBorder="1" applyAlignment="1">
      <alignment horizontal="right"/>
    </xf>
    <xf numFmtId="0" fontId="1" fillId="0" borderId="9" xfId="0" applyFont="1" applyBorder="1" applyAlignment="1">
      <alignment horizontal="right"/>
    </xf>
    <xf numFmtId="164" fontId="0" fillId="0" borderId="9" xfId="1" applyNumberFormat="1" applyFont="1" applyBorder="1"/>
    <xf numFmtId="0" fontId="6" fillId="4" borderId="15" xfId="0" applyFont="1" applyFill="1" applyBorder="1"/>
    <xf numFmtId="0" fontId="6" fillId="4" borderId="17" xfId="0" applyFont="1" applyFill="1" applyBorder="1"/>
    <xf numFmtId="0" fontId="6" fillId="4" borderId="16" xfId="0" applyFont="1" applyFill="1" applyBorder="1"/>
    <xf numFmtId="164" fontId="0" fillId="0" borderId="0" xfId="1" applyNumberFormat="1" applyFont="1" applyFill="1" applyBorder="1"/>
    <xf numFmtId="0" fontId="0" fillId="0" borderId="0" xfId="0" applyBorder="1" applyAlignment="1">
      <alignment horizontal="center"/>
    </xf>
    <xf numFmtId="0" fontId="0" fillId="0" borderId="9" xfId="0" applyBorder="1" applyAlignment="1">
      <alignment horizontal="center"/>
    </xf>
    <xf numFmtId="0" fontId="0" fillId="0" borderId="0" xfId="0" applyFill="1" applyBorder="1"/>
    <xf numFmtId="0" fontId="1" fillId="0" borderId="0" xfId="0" applyFont="1" applyBorder="1"/>
    <xf numFmtId="0" fontId="0" fillId="0" borderId="10" xfId="0" applyFill="1" applyBorder="1"/>
    <xf numFmtId="0" fontId="0" fillId="5" borderId="17" xfId="0" applyFill="1" applyBorder="1"/>
    <xf numFmtId="0" fontId="0" fillId="5" borderId="16" xfId="0" applyFill="1" applyBorder="1"/>
    <xf numFmtId="168" fontId="0" fillId="0" borderId="9" xfId="1" applyNumberFormat="1" applyFont="1" applyBorder="1"/>
    <xf numFmtId="0" fontId="1" fillId="5" borderId="15" xfId="0" applyFont="1" applyFill="1" applyBorder="1"/>
    <xf numFmtId="3" fontId="0" fillId="0" borderId="4" xfId="0" applyNumberFormat="1" applyBorder="1"/>
    <xf numFmtId="3" fontId="0" fillId="0" borderId="1" xfId="0" applyNumberFormat="1" applyBorder="1"/>
    <xf numFmtId="2" fontId="0" fillId="0" borderId="9" xfId="0" applyNumberFormat="1" applyFill="1" applyBorder="1"/>
    <xf numFmtId="170" fontId="0" fillId="0" borderId="0" xfId="0" applyNumberFormat="1"/>
    <xf numFmtId="9" fontId="0" fillId="2" borderId="9" xfId="2" applyFont="1" applyFill="1" applyBorder="1"/>
    <xf numFmtId="0" fontId="7" fillId="0" borderId="0" xfId="3"/>
    <xf numFmtId="0" fontId="1" fillId="0" borderId="0" xfId="0" applyFont="1" applyFill="1" applyBorder="1" applyAlignment="1">
      <alignment vertical="top"/>
    </xf>
    <xf numFmtId="14" fontId="0" fillId="0" borderId="8" xfId="0" applyNumberFormat="1" applyBorder="1"/>
    <xf numFmtId="0" fontId="0" fillId="2" borderId="9" xfId="0" applyFill="1" applyBorder="1" applyAlignment="1">
      <alignment horizontal="right"/>
    </xf>
    <xf numFmtId="14" fontId="0" fillId="0" borderId="10" xfId="0" applyNumberFormat="1" applyBorder="1"/>
    <xf numFmtId="3" fontId="0" fillId="0" borderId="0" xfId="0" applyNumberFormat="1" applyFill="1" applyBorder="1"/>
    <xf numFmtId="43" fontId="0" fillId="0" borderId="0" xfId="0" applyNumberFormat="1" applyFill="1" applyBorder="1"/>
    <xf numFmtId="9" fontId="0" fillId="2" borderId="7" xfId="0" applyNumberFormat="1" applyFill="1" applyBorder="1"/>
    <xf numFmtId="14" fontId="0" fillId="0" borderId="8" xfId="0" applyNumberFormat="1" applyBorder="1" applyAlignment="1">
      <alignment horizontal="right"/>
    </xf>
    <xf numFmtId="9" fontId="0" fillId="0" borderId="5" xfId="0" applyNumberFormat="1" applyBorder="1"/>
    <xf numFmtId="0" fontId="1" fillId="5" borderId="17" xfId="0" applyFont="1" applyFill="1" applyBorder="1"/>
    <xf numFmtId="9" fontId="0" fillId="0" borderId="6" xfId="0" applyNumberFormat="1" applyBorder="1"/>
    <xf numFmtId="171" fontId="0" fillId="0" borderId="0" xfId="0" applyNumberFormat="1"/>
    <xf numFmtId="0" fontId="0" fillId="0" borderId="0" xfId="0" applyAlignment="1">
      <alignment horizontal="left"/>
    </xf>
    <xf numFmtId="0" fontId="0" fillId="0" borderId="0" xfId="0" applyAlignment="1">
      <alignment wrapText="1"/>
    </xf>
    <xf numFmtId="0" fontId="0" fillId="0" borderId="8" xfId="0" applyBorder="1" applyAlignment="1">
      <alignment wrapText="1"/>
    </xf>
    <xf numFmtId="0" fontId="1" fillId="0" borderId="10" xfId="0" applyFont="1" applyBorder="1"/>
    <xf numFmtId="0" fontId="1" fillId="0" borderId="2" xfId="0" applyFont="1" applyBorder="1"/>
    <xf numFmtId="10" fontId="0" fillId="0" borderId="9" xfId="2" applyNumberFormat="1" applyFont="1" applyBorder="1"/>
    <xf numFmtId="0" fontId="1" fillId="0" borderId="0" xfId="0" applyFont="1" applyAlignment="1">
      <alignment horizontal="left"/>
    </xf>
    <xf numFmtId="0" fontId="0" fillId="0" borderId="0" xfId="0" applyFill="1"/>
    <xf numFmtId="43" fontId="0" fillId="0" borderId="18" xfId="0" applyNumberFormat="1" applyBorder="1"/>
    <xf numFmtId="0" fontId="0" fillId="0" borderId="8" xfId="0" applyFill="1" applyBorder="1"/>
    <xf numFmtId="43" fontId="0" fillId="0" borderId="19" xfId="0" applyNumberFormat="1" applyBorder="1"/>
    <xf numFmtId="0" fontId="0" fillId="0" borderId="5" xfId="0" applyFont="1" applyBorder="1"/>
    <xf numFmtId="0" fontId="0" fillId="0" borderId="2" xfId="0" applyBorder="1" applyAlignment="1">
      <alignment horizontal="right"/>
    </xf>
    <xf numFmtId="9" fontId="0" fillId="2" borderId="0" xfId="0" applyNumberFormat="1" applyFill="1"/>
    <xf numFmtId="10" fontId="0" fillId="2" borderId="0" xfId="0" applyNumberFormat="1" applyFill="1"/>
    <xf numFmtId="43" fontId="1" fillId="0" borderId="0" xfId="1" applyFont="1"/>
    <xf numFmtId="43" fontId="1" fillId="0" borderId="9" xfId="0" applyNumberFormat="1" applyFont="1" applyBorder="1" applyAlignment="1">
      <alignment horizontal="center"/>
    </xf>
    <xf numFmtId="43" fontId="1" fillId="0" borderId="9" xfId="0" applyNumberFormat="1" applyFont="1" applyBorder="1"/>
    <xf numFmtId="0" fontId="0" fillId="2" borderId="0" xfId="0" applyFill="1" applyAlignment="1">
      <alignment wrapText="1"/>
    </xf>
    <xf numFmtId="43" fontId="0" fillId="0" borderId="4" xfId="0" applyNumberFormat="1" applyBorder="1"/>
    <xf numFmtId="2" fontId="0" fillId="2" borderId="0" xfId="0" applyNumberFormat="1" applyFill="1"/>
    <xf numFmtId="2" fontId="0" fillId="0" borderId="0" xfId="0" applyNumberFormat="1"/>
    <xf numFmtId="0" fontId="0" fillId="0" borderId="20" xfId="0" applyBorder="1"/>
    <xf numFmtId="0" fontId="0" fillId="0" borderId="21" xfId="0" applyBorder="1"/>
    <xf numFmtId="43" fontId="0" fillId="0" borderId="21" xfId="0" applyNumberFormat="1" applyBorder="1"/>
    <xf numFmtId="43" fontId="0" fillId="0" borderId="21" xfId="0" applyNumberFormat="1" applyFont="1" applyBorder="1"/>
    <xf numFmtId="43" fontId="1" fillId="0" borderId="21" xfId="0" applyNumberFormat="1" applyFont="1" applyBorder="1"/>
    <xf numFmtId="43" fontId="1" fillId="0" borderId="22" xfId="0" applyNumberFormat="1" applyFont="1" applyBorder="1"/>
    <xf numFmtId="43" fontId="0" fillId="2" borderId="0" xfId="1" applyFont="1" applyFill="1" applyBorder="1" applyAlignment="1">
      <alignment horizontal="center"/>
    </xf>
    <xf numFmtId="43" fontId="1" fillId="0" borderId="23" xfId="0" applyNumberFormat="1" applyFont="1" applyBorder="1"/>
    <xf numFmtId="43" fontId="1" fillId="0" borderId="18" xfId="0" applyNumberFormat="1" applyFont="1" applyBorder="1"/>
    <xf numFmtId="43" fontId="0" fillId="6" borderId="0" xfId="1" applyFont="1" applyFill="1"/>
    <xf numFmtId="164" fontId="0" fillId="0" borderId="3" xfId="1" applyNumberFormat="1" applyFont="1" applyFill="1" applyBorder="1"/>
    <xf numFmtId="0" fontId="0" fillId="0" borderId="20" xfId="0" applyBorder="1" applyAlignment="1">
      <alignment wrapText="1"/>
    </xf>
    <xf numFmtId="0" fontId="0" fillId="2" borderId="21" xfId="0" applyFill="1" applyBorder="1"/>
    <xf numFmtId="0" fontId="0" fillId="0" borderId="21" xfId="0" applyBorder="1" applyAlignment="1">
      <alignment wrapText="1"/>
    </xf>
    <xf numFmtId="49" fontId="0" fillId="2" borderId="7" xfId="0" applyNumberFormat="1" applyFill="1" applyBorder="1" applyAlignment="1">
      <alignment wrapText="1"/>
    </xf>
    <xf numFmtId="0" fontId="0" fillId="0" borderId="11" xfId="0" applyNumberFormat="1" applyBorder="1"/>
    <xf numFmtId="0" fontId="1" fillId="4" borderId="20" xfId="0" applyFont="1" applyFill="1" applyBorder="1"/>
    <xf numFmtId="0" fontId="0" fillId="0" borderId="22" xfId="0" applyBorder="1"/>
    <xf numFmtId="0" fontId="0" fillId="2" borderId="6" xfId="0" applyFill="1" applyBorder="1"/>
    <xf numFmtId="0" fontId="0" fillId="2" borderId="2" xfId="0" applyFill="1" applyBorder="1" applyAlignment="1">
      <alignment wrapText="1"/>
    </xf>
    <xf numFmtId="43" fontId="0" fillId="2" borderId="0" xfId="1" applyFont="1" applyFill="1" applyAlignment="1">
      <alignment horizontal="right"/>
    </xf>
    <xf numFmtId="9" fontId="0" fillId="2" borderId="0" xfId="0" applyNumberFormat="1" applyFill="1" applyAlignment="1">
      <alignment horizontal="right"/>
    </xf>
    <xf numFmtId="0" fontId="0" fillId="0" borderId="8" xfId="0" applyFill="1" applyBorder="1" applyAlignment="1">
      <alignment horizontal="left" wrapText="1"/>
    </xf>
    <xf numFmtId="43" fontId="1" fillId="0" borderId="0" xfId="0" applyNumberFormat="1" applyFont="1"/>
    <xf numFmtId="4" fontId="0" fillId="0" borderId="0" xfId="0" applyNumberFormat="1"/>
    <xf numFmtId="3" fontId="0" fillId="0" borderId="0" xfId="0" applyNumberFormat="1" applyAlignment="1">
      <alignment horizontal="right"/>
    </xf>
    <xf numFmtId="0" fontId="0" fillId="0" borderId="0" xfId="0" applyAlignment="1">
      <alignment horizontal="left" vertical="center"/>
    </xf>
    <xf numFmtId="10" fontId="0" fillId="2" borderId="0" xfId="0" applyNumberFormat="1" applyFill="1" applyAlignment="1">
      <alignment horizontal="right"/>
    </xf>
    <xf numFmtId="0" fontId="0" fillId="0" borderId="1" xfId="0" applyBorder="1"/>
    <xf numFmtId="0" fontId="8" fillId="7" borderId="24" xfId="0" applyFont="1" applyFill="1" applyBorder="1" applyAlignment="1">
      <alignment vertical="center" wrapText="1"/>
    </xf>
    <xf numFmtId="0" fontId="9" fillId="7" borderId="24" xfId="0" applyFont="1" applyFill="1" applyBorder="1" applyAlignment="1">
      <alignment horizontal="right" vertical="center" wrapText="1"/>
    </xf>
    <xf numFmtId="0" fontId="9" fillId="5" borderId="0" xfId="0" applyFont="1" applyFill="1" applyAlignment="1">
      <alignment vertical="center" wrapText="1"/>
    </xf>
    <xf numFmtId="0" fontId="10" fillId="7" borderId="24" xfId="0" applyFont="1" applyFill="1" applyBorder="1" applyAlignment="1">
      <alignment vertical="center" wrapText="1"/>
    </xf>
    <xf numFmtId="0" fontId="10" fillId="7" borderId="27" xfId="0" applyFont="1" applyFill="1" applyBorder="1" applyAlignment="1">
      <alignment vertical="center" wrapText="1"/>
    </xf>
    <xf numFmtId="0" fontId="10" fillId="7" borderId="24" xfId="0" applyFont="1" applyFill="1" applyBorder="1" applyAlignment="1">
      <alignment horizontal="right" vertical="center" wrapText="1"/>
    </xf>
    <xf numFmtId="0" fontId="9" fillId="7" borderId="24" xfId="0" applyFont="1" applyFill="1" applyBorder="1" applyAlignment="1">
      <alignment vertical="center" wrapText="1"/>
    </xf>
    <xf numFmtId="0" fontId="8" fillId="8" borderId="24" xfId="0" applyFont="1" applyFill="1" applyBorder="1" applyAlignment="1">
      <alignment vertical="center" wrapText="1"/>
    </xf>
    <xf numFmtId="0" fontId="12" fillId="8" borderId="24" xfId="0" applyFont="1" applyFill="1" applyBorder="1" applyAlignment="1">
      <alignment vertical="center" wrapText="1"/>
    </xf>
    <xf numFmtId="41" fontId="9" fillId="7" borderId="24" xfId="0" applyNumberFormat="1" applyFont="1" applyFill="1" applyBorder="1" applyAlignment="1">
      <alignment horizontal="right" vertical="center" wrapText="1"/>
    </xf>
    <xf numFmtId="41" fontId="9" fillId="9" borderId="24" xfId="0" applyNumberFormat="1" applyFont="1" applyFill="1" applyBorder="1" applyAlignment="1">
      <alignment horizontal="right" vertical="center" wrapText="1"/>
    </xf>
    <xf numFmtId="41" fontId="9" fillId="9" borderId="25" xfId="0" applyNumberFormat="1" applyFont="1" applyFill="1" applyBorder="1" applyAlignment="1">
      <alignment horizontal="right" vertical="center" wrapText="1"/>
    </xf>
    <xf numFmtId="41" fontId="9" fillId="10" borderId="29" xfId="0" applyNumberFormat="1" applyFont="1" applyFill="1" applyBorder="1" applyAlignment="1">
      <alignment horizontal="right" vertical="center" wrapText="1"/>
    </xf>
    <xf numFmtId="41" fontId="9" fillId="7" borderId="28" xfId="0" applyNumberFormat="1" applyFont="1" applyFill="1" applyBorder="1" applyAlignment="1">
      <alignment horizontal="right" vertical="center" wrapText="1"/>
    </xf>
    <xf numFmtId="41" fontId="9" fillId="10" borderId="30" xfId="0" applyNumberFormat="1" applyFont="1" applyFill="1" applyBorder="1" applyAlignment="1">
      <alignment horizontal="right" vertical="center" wrapText="1"/>
    </xf>
    <xf numFmtId="41" fontId="9" fillId="10" borderId="31" xfId="0" applyNumberFormat="1" applyFont="1" applyFill="1" applyBorder="1" applyAlignment="1">
      <alignment horizontal="right" vertical="center" wrapText="1"/>
    </xf>
    <xf numFmtId="41" fontId="9" fillId="9" borderId="28" xfId="0" applyNumberFormat="1" applyFont="1" applyFill="1" applyBorder="1" applyAlignment="1">
      <alignment horizontal="right" vertical="center" wrapText="1"/>
    </xf>
    <xf numFmtId="41" fontId="9" fillId="10" borderId="28" xfId="0" applyNumberFormat="1" applyFont="1" applyFill="1" applyBorder="1" applyAlignment="1">
      <alignment horizontal="right" vertical="center" wrapText="1"/>
    </xf>
    <xf numFmtId="41" fontId="13" fillId="9" borderId="24" xfId="0" applyNumberFormat="1" applyFont="1" applyFill="1" applyBorder="1" applyAlignment="1">
      <alignment horizontal="right" vertical="center" wrapText="1"/>
    </xf>
    <xf numFmtId="41" fontId="9" fillId="5" borderId="0" xfId="0" applyNumberFormat="1" applyFont="1" applyFill="1" applyAlignment="1">
      <alignment horizontal="right" vertical="center" wrapText="1"/>
    </xf>
    <xf numFmtId="41" fontId="0" fillId="2" borderId="0" xfId="0" applyNumberFormat="1" applyFill="1"/>
    <xf numFmtId="0" fontId="9" fillId="2" borderId="0" xfId="0" applyFont="1" applyFill="1" applyAlignment="1">
      <alignment vertical="center" wrapText="1"/>
    </xf>
    <xf numFmtId="41" fontId="9" fillId="7" borderId="25" xfId="0" applyNumberFormat="1" applyFont="1" applyFill="1" applyBorder="1" applyAlignment="1">
      <alignment horizontal="right" vertical="center" wrapText="1"/>
    </xf>
    <xf numFmtId="41" fontId="9" fillId="9" borderId="26" xfId="0" applyNumberFormat="1" applyFont="1" applyFill="1" applyBorder="1" applyAlignment="1">
      <alignment horizontal="right" vertical="center" wrapText="1"/>
    </xf>
    <xf numFmtId="41" fontId="9" fillId="7" borderId="33" xfId="0" applyNumberFormat="1" applyFont="1" applyFill="1" applyBorder="1" applyAlignment="1">
      <alignment horizontal="right" vertical="center" wrapText="1"/>
    </xf>
    <xf numFmtId="41" fontId="9" fillId="9" borderId="33" xfId="0" applyNumberFormat="1" applyFont="1" applyFill="1" applyBorder="1" applyAlignment="1">
      <alignment horizontal="right" vertical="center" wrapText="1"/>
    </xf>
    <xf numFmtId="0" fontId="9" fillId="7" borderId="25" xfId="0" applyFont="1" applyFill="1" applyBorder="1" applyAlignment="1">
      <alignment vertical="center" wrapText="1"/>
    </xf>
    <xf numFmtId="0" fontId="10" fillId="7" borderId="25" xfId="0" applyFont="1" applyFill="1" applyBorder="1" applyAlignment="1">
      <alignment vertical="center" wrapText="1"/>
    </xf>
    <xf numFmtId="41" fontId="13" fillId="10" borderId="26" xfId="0" applyNumberFormat="1" applyFont="1" applyFill="1" applyBorder="1" applyAlignment="1">
      <alignment horizontal="right" vertical="center" wrapText="1"/>
    </xf>
    <xf numFmtId="41" fontId="13" fillId="9" borderId="33" xfId="0" applyNumberFormat="1" applyFont="1" applyFill="1" applyBorder="1" applyAlignment="1">
      <alignment horizontal="right" vertical="center" wrapText="1"/>
    </xf>
    <xf numFmtId="41" fontId="13" fillId="10" borderId="33" xfId="0" applyNumberFormat="1" applyFont="1" applyFill="1" applyBorder="1" applyAlignment="1">
      <alignment horizontal="right" vertical="center" wrapText="1"/>
    </xf>
    <xf numFmtId="41" fontId="13" fillId="10" borderId="28" xfId="0" applyNumberFormat="1" applyFont="1" applyFill="1" applyBorder="1" applyAlignment="1">
      <alignment horizontal="right" vertical="center" wrapText="1"/>
    </xf>
    <xf numFmtId="41" fontId="13" fillId="7" borderId="24" xfId="0" applyNumberFormat="1" applyFont="1" applyFill="1" applyBorder="1" applyAlignment="1">
      <alignment horizontal="right" vertical="center" wrapText="1"/>
    </xf>
    <xf numFmtId="0" fontId="12" fillId="8" borderId="25" xfId="0" applyFont="1" applyFill="1" applyBorder="1" applyAlignment="1">
      <alignment vertical="center" wrapText="1"/>
    </xf>
    <xf numFmtId="41" fontId="13" fillId="10" borderId="30" xfId="0" applyNumberFormat="1" applyFont="1" applyFill="1" applyBorder="1" applyAlignment="1">
      <alignment horizontal="right" vertical="center" wrapText="1"/>
    </xf>
    <xf numFmtId="0" fontId="9" fillId="7" borderId="25" xfId="0" applyFont="1" applyFill="1" applyBorder="1" applyAlignment="1">
      <alignment horizontal="left" vertical="center" wrapText="1"/>
    </xf>
    <xf numFmtId="0" fontId="9" fillId="7" borderId="24" xfId="0" applyFont="1" applyFill="1" applyBorder="1" applyAlignment="1">
      <alignment horizontal="left" vertical="center" wrapText="1"/>
    </xf>
    <xf numFmtId="9" fontId="9" fillId="2" borderId="0" xfId="0" applyNumberFormat="1" applyFont="1" applyFill="1" applyAlignment="1">
      <alignment vertical="center" wrapText="1"/>
    </xf>
    <xf numFmtId="43" fontId="0" fillId="0" borderId="32" xfId="1" applyFont="1" applyBorder="1"/>
    <xf numFmtId="43" fontId="1" fillId="0" borderId="32" xfId="1" applyFont="1" applyBorder="1"/>
    <xf numFmtId="43" fontId="9" fillId="2" borderId="0" xfId="1" applyFont="1" applyFill="1" applyAlignment="1">
      <alignment vertical="center" wrapText="1"/>
    </xf>
    <xf numFmtId="0" fontId="9" fillId="7" borderId="0" xfId="0" applyFont="1" applyFill="1" applyAlignment="1">
      <alignment vertical="center" wrapText="1"/>
    </xf>
    <xf numFmtId="0" fontId="10" fillId="7" borderId="0" xfId="0" applyFont="1" applyFill="1" applyAlignment="1">
      <alignment vertical="center" wrapText="1"/>
    </xf>
    <xf numFmtId="0" fontId="10" fillId="7" borderId="0" xfId="0" applyFont="1" applyFill="1" applyAlignment="1">
      <alignment horizontal="right" vertical="center" wrapText="1"/>
    </xf>
    <xf numFmtId="0" fontId="10" fillId="7" borderId="12" xfId="0" applyFont="1" applyFill="1" applyBorder="1" applyAlignment="1">
      <alignment horizontal="center" vertical="center" wrapText="1"/>
    </xf>
    <xf numFmtId="41" fontId="9" fillId="7" borderId="0" xfId="0" applyNumberFormat="1" applyFont="1" applyFill="1" applyAlignment="1">
      <alignment vertical="center" wrapText="1"/>
    </xf>
    <xf numFmtId="0" fontId="1" fillId="7" borderId="0" xfId="0" applyFont="1" applyFill="1"/>
    <xf numFmtId="0" fontId="0" fillId="7" borderId="0" xfId="0" applyFill="1"/>
    <xf numFmtId="43" fontId="9" fillId="7" borderId="0" xfId="0" applyNumberFormat="1" applyFont="1" applyFill="1" applyAlignment="1">
      <alignment vertical="center" wrapText="1"/>
    </xf>
    <xf numFmtId="43" fontId="9" fillId="7" borderId="0" xfId="1" applyFont="1" applyFill="1" applyAlignment="1">
      <alignment vertical="center" wrapText="1"/>
    </xf>
    <xf numFmtId="0" fontId="10" fillId="7" borderId="12" xfId="0" applyFont="1" applyFill="1" applyBorder="1" applyAlignment="1">
      <alignment vertical="center" wrapText="1"/>
    </xf>
    <xf numFmtId="0" fontId="0" fillId="7" borderId="0" xfId="0" applyFill="1" applyAlignment="1">
      <alignment horizontal="right"/>
    </xf>
    <xf numFmtId="43" fontId="0" fillId="7" borderId="0" xfId="1" applyFont="1" applyFill="1"/>
    <xf numFmtId="0" fontId="9" fillId="7" borderId="0" xfId="0" applyFont="1" applyFill="1" applyAlignment="1">
      <alignment vertical="center"/>
    </xf>
    <xf numFmtId="0" fontId="9" fillId="7" borderId="1" xfId="0" applyFont="1" applyFill="1" applyBorder="1" applyAlignment="1">
      <alignment vertical="center" wrapText="1"/>
    </xf>
    <xf numFmtId="43" fontId="9" fillId="7" borderId="1" xfId="1" applyFont="1" applyFill="1" applyBorder="1" applyAlignment="1">
      <alignment vertical="center" wrapText="1"/>
    </xf>
    <xf numFmtId="0" fontId="9" fillId="7" borderId="34" xfId="0" applyFont="1" applyFill="1" applyBorder="1" applyAlignment="1">
      <alignment horizontal="right" vertical="center" wrapText="1"/>
    </xf>
    <xf numFmtId="0" fontId="10" fillId="7" borderId="34" xfId="0" applyFont="1" applyFill="1" applyBorder="1" applyAlignment="1">
      <alignment horizontal="right" vertical="center" wrapText="1"/>
    </xf>
    <xf numFmtId="41" fontId="9" fillId="7" borderId="34" xfId="0" applyNumberFormat="1" applyFont="1" applyFill="1" applyBorder="1" applyAlignment="1">
      <alignment horizontal="right" vertical="center" wrapText="1"/>
    </xf>
    <xf numFmtId="41" fontId="9" fillId="10" borderId="34" xfId="0" applyNumberFormat="1" applyFont="1" applyFill="1" applyBorder="1" applyAlignment="1">
      <alignment horizontal="right" vertical="center" wrapText="1"/>
    </xf>
    <xf numFmtId="41" fontId="9" fillId="10" borderId="36" xfId="0" applyNumberFormat="1" applyFont="1" applyFill="1" applyBorder="1" applyAlignment="1">
      <alignment horizontal="right" vertical="center" wrapText="1"/>
    </xf>
    <xf numFmtId="41" fontId="9" fillId="10" borderId="37" xfId="0" applyNumberFormat="1" applyFont="1" applyFill="1" applyBorder="1" applyAlignment="1">
      <alignment horizontal="right" vertical="center" wrapText="1"/>
    </xf>
    <xf numFmtId="41" fontId="9" fillId="7" borderId="38" xfId="0" applyNumberFormat="1" applyFont="1" applyFill="1" applyBorder="1" applyAlignment="1">
      <alignment horizontal="right" vertical="center" wrapText="1"/>
    </xf>
    <xf numFmtId="41" fontId="9" fillId="10" borderId="39" xfId="0" applyNumberFormat="1" applyFont="1" applyFill="1" applyBorder="1" applyAlignment="1">
      <alignment horizontal="right" vertical="center" wrapText="1"/>
    </xf>
    <xf numFmtId="41" fontId="9" fillId="10" borderId="40" xfId="0" applyNumberFormat="1" applyFont="1" applyFill="1" applyBorder="1" applyAlignment="1">
      <alignment horizontal="right" vertical="center" wrapText="1"/>
    </xf>
    <xf numFmtId="41" fontId="9" fillId="10" borderId="38" xfId="0" applyNumberFormat="1" applyFont="1" applyFill="1" applyBorder="1" applyAlignment="1">
      <alignment horizontal="right" vertical="center" wrapText="1"/>
    </xf>
    <xf numFmtId="41" fontId="13" fillId="10" borderId="34" xfId="0" applyNumberFormat="1" applyFont="1" applyFill="1" applyBorder="1" applyAlignment="1">
      <alignment horizontal="right" vertical="center" wrapText="1"/>
    </xf>
    <xf numFmtId="0" fontId="10" fillId="7" borderId="35" xfId="0" applyFont="1" applyFill="1" applyBorder="1" applyAlignment="1">
      <alignment horizontal="right" vertical="center" wrapText="1"/>
    </xf>
    <xf numFmtId="41" fontId="9" fillId="7" borderId="35" xfId="0" applyNumberFormat="1" applyFont="1" applyFill="1" applyBorder="1" applyAlignment="1">
      <alignment horizontal="right" vertical="center" wrapText="1"/>
    </xf>
    <xf numFmtId="41" fontId="9" fillId="9" borderId="35" xfId="0" applyNumberFormat="1" applyFont="1" applyFill="1" applyBorder="1" applyAlignment="1">
      <alignment horizontal="right" vertical="center" wrapText="1"/>
    </xf>
    <xf numFmtId="41" fontId="9" fillId="7" borderId="42" xfId="0" applyNumberFormat="1" applyFont="1" applyFill="1" applyBorder="1" applyAlignment="1">
      <alignment horizontal="right" vertical="center" wrapText="1"/>
    </xf>
    <xf numFmtId="41" fontId="9" fillId="7" borderId="43" xfId="0" applyNumberFormat="1" applyFont="1" applyFill="1" applyBorder="1" applyAlignment="1">
      <alignment horizontal="right" vertical="center" wrapText="1"/>
    </xf>
    <xf numFmtId="41" fontId="9" fillId="9" borderId="43" xfId="0" applyNumberFormat="1" applyFont="1" applyFill="1" applyBorder="1" applyAlignment="1">
      <alignment horizontal="right" vertical="center" wrapText="1"/>
    </xf>
    <xf numFmtId="0" fontId="9" fillId="7" borderId="25" xfId="0" applyFont="1" applyFill="1" applyBorder="1" applyAlignment="1">
      <alignment horizontal="right" vertical="center" wrapText="1"/>
    </xf>
    <xf numFmtId="0" fontId="10" fillId="7" borderId="46" xfId="0" applyFont="1" applyFill="1" applyBorder="1" applyAlignment="1">
      <alignment horizontal="right" vertical="center" wrapText="1"/>
    </xf>
    <xf numFmtId="0" fontId="10" fillId="7" borderId="47" xfId="0" applyFont="1" applyFill="1" applyBorder="1" applyAlignment="1">
      <alignment horizontal="right" vertical="center" wrapText="1"/>
    </xf>
    <xf numFmtId="41" fontId="9" fillId="7" borderId="46" xfId="0" applyNumberFormat="1" applyFont="1" applyFill="1" applyBorder="1" applyAlignment="1">
      <alignment horizontal="right" vertical="center" wrapText="1"/>
    </xf>
    <xf numFmtId="41" fontId="9" fillId="7" borderId="47" xfId="0" applyNumberFormat="1" applyFont="1" applyFill="1" applyBorder="1" applyAlignment="1">
      <alignment horizontal="right" vertical="center" wrapText="1"/>
    </xf>
    <xf numFmtId="41" fontId="9" fillId="9" borderId="46" xfId="0" applyNumberFormat="1" applyFont="1" applyFill="1" applyBorder="1" applyAlignment="1">
      <alignment horizontal="right" vertical="center" wrapText="1"/>
    </xf>
    <xf numFmtId="41" fontId="9" fillId="9" borderId="47" xfId="0" applyNumberFormat="1" applyFont="1" applyFill="1" applyBorder="1" applyAlignment="1">
      <alignment horizontal="right" vertical="center" wrapText="1"/>
    </xf>
    <xf numFmtId="41" fontId="9" fillId="7" borderId="48" xfId="0" applyNumberFormat="1" applyFont="1" applyFill="1" applyBorder="1" applyAlignment="1">
      <alignment horizontal="right" vertical="center" wrapText="1"/>
    </xf>
    <xf numFmtId="41" fontId="9" fillId="7" borderId="49" xfId="0" applyNumberFormat="1" applyFont="1" applyFill="1" applyBorder="1" applyAlignment="1">
      <alignment horizontal="right" vertical="center" wrapText="1"/>
    </xf>
    <xf numFmtId="41" fontId="9" fillId="7" borderId="50" xfId="0" applyNumberFormat="1" applyFont="1" applyFill="1" applyBorder="1" applyAlignment="1">
      <alignment horizontal="right" vertical="center" wrapText="1"/>
    </xf>
    <xf numFmtId="41" fontId="9" fillId="7" borderId="51" xfId="0" applyNumberFormat="1" applyFont="1" applyFill="1" applyBorder="1" applyAlignment="1">
      <alignment horizontal="right" vertical="center" wrapText="1"/>
    </xf>
    <xf numFmtId="0" fontId="9" fillId="7" borderId="35" xfId="0" applyFont="1" applyFill="1" applyBorder="1" applyAlignment="1">
      <alignment horizontal="right" vertical="center" wrapText="1"/>
    </xf>
    <xf numFmtId="41" fontId="9" fillId="10" borderId="35" xfId="0" applyNumberFormat="1" applyFont="1" applyFill="1" applyBorder="1" applyAlignment="1">
      <alignment horizontal="right" vertical="center" wrapText="1"/>
    </xf>
    <xf numFmtId="41" fontId="9" fillId="10" borderId="52" xfId="0" applyNumberFormat="1" applyFont="1" applyFill="1" applyBorder="1" applyAlignment="1">
      <alignment horizontal="right" vertical="center" wrapText="1"/>
    </xf>
    <xf numFmtId="41" fontId="9" fillId="10" borderId="53" xfId="0" applyNumberFormat="1" applyFont="1" applyFill="1" applyBorder="1" applyAlignment="1">
      <alignment horizontal="right" vertical="center" wrapText="1"/>
    </xf>
    <xf numFmtId="41" fontId="9" fillId="10" borderId="54" xfId="0" applyNumberFormat="1" applyFont="1" applyFill="1" applyBorder="1" applyAlignment="1">
      <alignment horizontal="right" vertical="center" wrapText="1"/>
    </xf>
    <xf numFmtId="41" fontId="9" fillId="10" borderId="43" xfId="0" applyNumberFormat="1" applyFont="1" applyFill="1" applyBorder="1" applyAlignment="1">
      <alignment horizontal="right" vertical="center" wrapText="1"/>
    </xf>
    <xf numFmtId="41" fontId="13" fillId="10" borderId="35" xfId="0" applyNumberFormat="1" applyFont="1" applyFill="1" applyBorder="1" applyAlignment="1">
      <alignment horizontal="right" vertical="center" wrapText="1"/>
    </xf>
    <xf numFmtId="41" fontId="9" fillId="7" borderId="55" xfId="0" applyNumberFormat="1" applyFont="1" applyFill="1" applyBorder="1" applyAlignment="1">
      <alignment horizontal="right" vertical="center" wrapText="1"/>
    </xf>
    <xf numFmtId="41" fontId="9" fillId="7" borderId="56" xfId="0" applyNumberFormat="1" applyFont="1" applyFill="1" applyBorder="1" applyAlignment="1">
      <alignment horizontal="right" vertical="center" wrapText="1"/>
    </xf>
    <xf numFmtId="41" fontId="9" fillId="9" borderId="48" xfId="0" applyNumberFormat="1" applyFont="1" applyFill="1" applyBorder="1" applyAlignment="1">
      <alignment horizontal="right" vertical="center" wrapText="1"/>
    </xf>
    <xf numFmtId="41" fontId="9" fillId="7" borderId="41" xfId="0" applyNumberFormat="1" applyFont="1" applyFill="1" applyBorder="1" applyAlignment="1">
      <alignment horizontal="right" vertical="center" wrapText="1"/>
    </xf>
    <xf numFmtId="41" fontId="9" fillId="9" borderId="41" xfId="0" applyNumberFormat="1" applyFont="1" applyFill="1" applyBorder="1" applyAlignment="1">
      <alignment horizontal="right" vertical="center" wrapText="1"/>
    </xf>
    <xf numFmtId="41" fontId="9" fillId="7" borderId="0" xfId="0" applyNumberFormat="1" applyFont="1" applyFill="1" applyBorder="1" applyAlignment="1">
      <alignment horizontal="right" vertical="center" wrapText="1"/>
    </xf>
    <xf numFmtId="41" fontId="9" fillId="7" borderId="57" xfId="0" applyNumberFormat="1" applyFont="1" applyFill="1" applyBorder="1" applyAlignment="1">
      <alignment horizontal="right" vertical="center" wrapText="1"/>
    </xf>
    <xf numFmtId="9" fontId="9" fillId="2" borderId="24" xfId="0" applyNumberFormat="1" applyFont="1" applyFill="1" applyBorder="1" applyAlignment="1">
      <alignment horizontal="right" vertical="center" wrapText="1"/>
    </xf>
    <xf numFmtId="41" fontId="9" fillId="9" borderId="34" xfId="0" applyNumberFormat="1" applyFont="1" applyFill="1" applyBorder="1" applyAlignment="1">
      <alignment horizontal="right" vertical="center" wrapText="1"/>
    </xf>
    <xf numFmtId="41" fontId="9" fillId="9" borderId="36" xfId="0" applyNumberFormat="1" applyFont="1" applyFill="1" applyBorder="1" applyAlignment="1">
      <alignment horizontal="right" vertical="center" wrapText="1"/>
    </xf>
    <xf numFmtId="41" fontId="13" fillId="7" borderId="36" xfId="0" applyNumberFormat="1" applyFont="1" applyFill="1" applyBorder="1" applyAlignment="1">
      <alignment horizontal="right" vertical="center" wrapText="1"/>
    </xf>
    <xf numFmtId="41" fontId="13" fillId="9" borderId="34" xfId="0" applyNumberFormat="1" applyFont="1" applyFill="1" applyBorder="1" applyAlignment="1">
      <alignment horizontal="right" vertical="center" wrapText="1"/>
    </xf>
    <xf numFmtId="41" fontId="13" fillId="7" borderId="34" xfId="0" applyNumberFormat="1" applyFont="1" applyFill="1" applyBorder="1" applyAlignment="1">
      <alignment horizontal="right" vertical="center" wrapText="1"/>
    </xf>
    <xf numFmtId="41" fontId="9" fillId="7" borderId="36" xfId="0" applyNumberFormat="1" applyFont="1" applyFill="1" applyBorder="1" applyAlignment="1">
      <alignment horizontal="right" vertical="center" wrapText="1"/>
    </xf>
    <xf numFmtId="41" fontId="9" fillId="9" borderId="38" xfId="0" applyNumberFormat="1" applyFont="1" applyFill="1" applyBorder="1" applyAlignment="1">
      <alignment horizontal="right" vertical="center" wrapText="1"/>
    </xf>
    <xf numFmtId="41" fontId="9" fillId="7" borderId="58" xfId="0" applyNumberFormat="1" applyFont="1" applyFill="1" applyBorder="1" applyAlignment="1">
      <alignment horizontal="right" vertical="center" wrapText="1"/>
    </xf>
    <xf numFmtId="41" fontId="9" fillId="7" borderId="59" xfId="0" applyNumberFormat="1" applyFont="1" applyFill="1" applyBorder="1" applyAlignment="1">
      <alignment horizontal="right" vertical="center" wrapText="1"/>
    </xf>
    <xf numFmtId="41" fontId="9" fillId="10" borderId="59" xfId="0" applyNumberFormat="1" applyFont="1" applyFill="1" applyBorder="1" applyAlignment="1">
      <alignment horizontal="right" vertical="center" wrapText="1"/>
    </xf>
    <xf numFmtId="41" fontId="13" fillId="10" borderId="59" xfId="0" applyNumberFormat="1" applyFont="1" applyFill="1" applyBorder="1" applyAlignment="1">
      <alignment horizontal="right" vertical="center" wrapText="1"/>
    </xf>
    <xf numFmtId="41" fontId="13" fillId="10" borderId="43" xfId="0" applyNumberFormat="1" applyFont="1" applyFill="1" applyBorder="1" applyAlignment="1">
      <alignment horizontal="right" vertical="center" wrapText="1"/>
    </xf>
    <xf numFmtId="41" fontId="13" fillId="7" borderId="35" xfId="0" applyNumberFormat="1" applyFont="1" applyFill="1" applyBorder="1" applyAlignment="1">
      <alignment horizontal="right" vertical="center" wrapText="1"/>
    </xf>
    <xf numFmtId="41" fontId="13" fillId="10" borderId="53" xfId="0" applyNumberFormat="1" applyFont="1" applyFill="1" applyBorder="1" applyAlignment="1">
      <alignment horizontal="right" vertical="center" wrapText="1"/>
    </xf>
    <xf numFmtId="41" fontId="9" fillId="10" borderId="60" xfId="0" applyNumberFormat="1" applyFont="1" applyFill="1" applyBorder="1" applyAlignment="1">
      <alignment horizontal="right" vertical="center" wrapText="1"/>
    </xf>
    <xf numFmtId="41" fontId="9" fillId="7" borderId="61" xfId="0" applyNumberFormat="1" applyFont="1" applyFill="1" applyBorder="1" applyAlignment="1">
      <alignment horizontal="right" vertical="center" wrapText="1"/>
    </xf>
    <xf numFmtId="172" fontId="9" fillId="9" borderId="59" xfId="0" applyNumberFormat="1" applyFont="1" applyFill="1" applyBorder="1" applyAlignment="1">
      <alignment horizontal="right" vertical="center" wrapText="1"/>
    </xf>
    <xf numFmtId="172" fontId="9" fillId="9" borderId="60" xfId="0" applyNumberFormat="1" applyFont="1" applyFill="1" applyBorder="1" applyAlignment="1">
      <alignment horizontal="right" vertical="center" wrapText="1"/>
    </xf>
    <xf numFmtId="41" fontId="9" fillId="9" borderId="62" xfId="0" applyNumberFormat="1" applyFont="1" applyFill="1" applyBorder="1" applyAlignment="1">
      <alignment horizontal="right" vertical="center" wrapText="1"/>
    </xf>
    <xf numFmtId="41" fontId="9" fillId="9" borderId="63" xfId="0" applyNumberFormat="1" applyFont="1" applyFill="1" applyBorder="1" applyAlignment="1">
      <alignment horizontal="right" vertical="center" wrapText="1"/>
    </xf>
    <xf numFmtId="41" fontId="13" fillId="7" borderId="62" xfId="0" applyNumberFormat="1" applyFont="1" applyFill="1" applyBorder="1" applyAlignment="1">
      <alignment horizontal="right" vertical="center" wrapText="1"/>
    </xf>
    <xf numFmtId="41" fontId="13" fillId="7" borderId="63" xfId="0" applyNumberFormat="1" applyFont="1" applyFill="1" applyBorder="1" applyAlignment="1">
      <alignment horizontal="right" vertical="center" wrapText="1"/>
    </xf>
    <xf numFmtId="41" fontId="13" fillId="9" borderId="46" xfId="0" applyNumberFormat="1" applyFont="1" applyFill="1" applyBorder="1" applyAlignment="1">
      <alignment horizontal="right" vertical="center" wrapText="1"/>
    </xf>
    <xf numFmtId="41" fontId="13" fillId="9" borderId="47" xfId="0" applyNumberFormat="1" applyFont="1" applyFill="1" applyBorder="1" applyAlignment="1">
      <alignment horizontal="right" vertical="center" wrapText="1"/>
    </xf>
    <xf numFmtId="41" fontId="13" fillId="7" borderId="46" xfId="0" applyNumberFormat="1" applyFont="1" applyFill="1" applyBorder="1" applyAlignment="1">
      <alignment horizontal="right" vertical="center" wrapText="1"/>
    </xf>
    <xf numFmtId="41" fontId="13" fillId="7" borderId="47" xfId="0" applyNumberFormat="1" applyFont="1" applyFill="1" applyBorder="1" applyAlignment="1">
      <alignment horizontal="right" vertical="center" wrapText="1"/>
    </xf>
    <xf numFmtId="41" fontId="9" fillId="7" borderId="62" xfId="0" applyNumberFormat="1" applyFont="1" applyFill="1" applyBorder="1" applyAlignment="1">
      <alignment horizontal="right" vertical="center" wrapText="1"/>
    </xf>
    <xf numFmtId="41" fontId="9" fillId="7" borderId="63" xfId="0" applyNumberFormat="1" applyFont="1" applyFill="1" applyBorder="1" applyAlignment="1">
      <alignment horizontal="right" vertical="center" wrapText="1"/>
    </xf>
    <xf numFmtId="41" fontId="9" fillId="10" borderId="64" xfId="0" applyNumberFormat="1" applyFont="1" applyFill="1" applyBorder="1" applyAlignment="1">
      <alignment horizontal="right" vertical="center" wrapText="1"/>
    </xf>
    <xf numFmtId="41" fontId="9" fillId="7" borderId="65" xfId="0" applyNumberFormat="1" applyFont="1" applyFill="1" applyBorder="1" applyAlignment="1">
      <alignment horizontal="right" vertical="center" wrapText="1"/>
    </xf>
    <xf numFmtId="41" fontId="9" fillId="10" borderId="65" xfId="0" applyNumberFormat="1" applyFont="1" applyFill="1" applyBorder="1" applyAlignment="1">
      <alignment horizontal="right" vertical="center" wrapText="1"/>
    </xf>
    <xf numFmtId="41" fontId="13" fillId="10" borderId="64" xfId="0" applyNumberFormat="1" applyFont="1" applyFill="1" applyBorder="1" applyAlignment="1">
      <alignment horizontal="right" vertical="center" wrapText="1"/>
    </xf>
    <xf numFmtId="41" fontId="13" fillId="10" borderId="65" xfId="0" applyNumberFormat="1" applyFont="1" applyFill="1" applyBorder="1" applyAlignment="1">
      <alignment horizontal="right" vertical="center" wrapText="1"/>
    </xf>
    <xf numFmtId="41" fontId="13" fillId="10" borderId="38" xfId="0" applyNumberFormat="1" applyFont="1" applyFill="1" applyBorder="1" applyAlignment="1">
      <alignment horizontal="right" vertical="center" wrapText="1"/>
    </xf>
    <xf numFmtId="41" fontId="13" fillId="10" borderId="39" xfId="0" applyNumberFormat="1" applyFont="1" applyFill="1" applyBorder="1" applyAlignment="1">
      <alignment horizontal="right" vertical="center" wrapText="1"/>
    </xf>
    <xf numFmtId="41" fontId="9" fillId="9" borderId="58" xfId="0" applyNumberFormat="1" applyFont="1" applyFill="1" applyBorder="1" applyAlignment="1">
      <alignment horizontal="right" vertical="center" wrapText="1"/>
    </xf>
    <xf numFmtId="41" fontId="13" fillId="7" borderId="58" xfId="0" applyNumberFormat="1" applyFont="1" applyFill="1" applyBorder="1" applyAlignment="1">
      <alignment horizontal="right" vertical="center" wrapText="1"/>
    </xf>
    <xf numFmtId="41" fontId="13" fillId="9" borderId="35" xfId="0" applyNumberFormat="1" applyFont="1" applyFill="1" applyBorder="1" applyAlignment="1">
      <alignment horizontal="right" vertical="center" wrapText="1"/>
    </xf>
    <xf numFmtId="43" fontId="9" fillId="7" borderId="32" xfId="0" applyNumberFormat="1" applyFont="1" applyFill="1" applyBorder="1" applyAlignment="1">
      <alignment vertical="center" wrapText="1"/>
    </xf>
    <xf numFmtId="43" fontId="10" fillId="7" borderId="32" xfId="0" applyNumberFormat="1" applyFont="1" applyFill="1" applyBorder="1" applyAlignment="1">
      <alignment vertical="center" wrapText="1"/>
    </xf>
    <xf numFmtId="41" fontId="15" fillId="9" borderId="0" xfId="0" applyNumberFormat="1" applyFont="1" applyFill="1" applyAlignment="1">
      <alignment vertical="center" wrapText="1"/>
    </xf>
    <xf numFmtId="43" fontId="0" fillId="7" borderId="1" xfId="0" applyNumberFormat="1" applyFill="1" applyBorder="1"/>
    <xf numFmtId="43" fontId="0" fillId="2" borderId="0" xfId="0" applyNumberFormat="1" applyFill="1"/>
    <xf numFmtId="41" fontId="9" fillId="9" borderId="66" xfId="0" applyNumberFormat="1" applyFont="1" applyFill="1" applyBorder="1" applyAlignment="1">
      <alignment horizontal="right" vertical="center" wrapText="1"/>
    </xf>
    <xf numFmtId="41" fontId="13" fillId="7" borderId="66" xfId="0" applyNumberFormat="1" applyFont="1" applyFill="1" applyBorder="1" applyAlignment="1">
      <alignment horizontal="right" vertical="center" wrapText="1"/>
    </xf>
    <xf numFmtId="41" fontId="13" fillId="7" borderId="41" xfId="0" applyNumberFormat="1" applyFont="1" applyFill="1" applyBorder="1" applyAlignment="1">
      <alignment horizontal="right" vertical="center" wrapText="1"/>
    </xf>
    <xf numFmtId="41" fontId="13" fillId="9" borderId="41" xfId="0" applyNumberFormat="1" applyFont="1" applyFill="1" applyBorder="1" applyAlignment="1">
      <alignment horizontal="right" vertical="center" wrapText="1"/>
    </xf>
    <xf numFmtId="41" fontId="9" fillId="7" borderId="66" xfId="0" applyNumberFormat="1" applyFont="1" applyFill="1" applyBorder="1" applyAlignment="1">
      <alignment horizontal="right" vertical="center" wrapText="1"/>
    </xf>
    <xf numFmtId="0" fontId="9" fillId="7" borderId="0" xfId="0" applyFont="1" applyFill="1" applyAlignment="1">
      <alignment horizontal="left" vertical="center"/>
    </xf>
    <xf numFmtId="3" fontId="9" fillId="7" borderId="0" xfId="0" applyNumberFormat="1" applyFont="1" applyFill="1" applyAlignment="1">
      <alignment vertical="center" wrapText="1"/>
    </xf>
    <xf numFmtId="3" fontId="9" fillId="2" borderId="0" xfId="0" applyNumberFormat="1" applyFont="1" applyFill="1" applyAlignment="1">
      <alignment vertical="center" wrapText="1"/>
    </xf>
    <xf numFmtId="43" fontId="9" fillId="7" borderId="32" xfId="1" applyFont="1" applyFill="1" applyBorder="1" applyAlignment="1">
      <alignment vertical="center" wrapText="1"/>
    </xf>
    <xf numFmtId="43" fontId="9" fillId="7" borderId="1" xfId="0" applyNumberFormat="1" applyFont="1" applyFill="1" applyBorder="1" applyAlignment="1">
      <alignment vertical="center" wrapText="1"/>
    </xf>
    <xf numFmtId="41" fontId="9" fillId="7" borderId="68" xfId="0" applyNumberFormat="1" applyFont="1" applyFill="1" applyBorder="1" applyAlignment="1">
      <alignment horizontal="right" vertical="center" wrapText="1"/>
    </xf>
    <xf numFmtId="41" fontId="9" fillId="9" borderId="69" xfId="0" applyNumberFormat="1" applyFont="1" applyFill="1" applyBorder="1" applyAlignment="1">
      <alignment horizontal="right" vertical="center" wrapText="1"/>
    </xf>
    <xf numFmtId="0" fontId="10" fillId="7" borderId="70" xfId="0" applyFont="1" applyFill="1" applyBorder="1" applyAlignment="1">
      <alignment horizontal="right" vertical="center" wrapText="1"/>
    </xf>
    <xf numFmtId="0" fontId="10" fillId="7" borderId="69" xfId="0" applyFont="1" applyFill="1" applyBorder="1" applyAlignment="1">
      <alignment horizontal="right" vertical="center" wrapText="1"/>
    </xf>
    <xf numFmtId="41" fontId="9" fillId="7" borderId="70" xfId="0" applyNumberFormat="1" applyFont="1" applyFill="1" applyBorder="1" applyAlignment="1">
      <alignment horizontal="right" vertical="center" wrapText="1"/>
    </xf>
    <xf numFmtId="41" fontId="9" fillId="7" borderId="69" xfId="0" applyNumberFormat="1" applyFont="1" applyFill="1" applyBorder="1" applyAlignment="1">
      <alignment horizontal="right" vertical="center" wrapText="1"/>
    </xf>
    <xf numFmtId="41" fontId="9" fillId="9" borderId="70" xfId="0" applyNumberFormat="1" applyFont="1" applyFill="1" applyBorder="1" applyAlignment="1">
      <alignment horizontal="right" vertical="center" wrapText="1"/>
    </xf>
    <xf numFmtId="41" fontId="9" fillId="7" borderId="71" xfId="0" applyNumberFormat="1" applyFont="1" applyFill="1" applyBorder="1" applyAlignment="1">
      <alignment horizontal="right" vertical="center" wrapText="1"/>
    </xf>
    <xf numFmtId="41" fontId="9" fillId="7" borderId="72" xfId="0" applyNumberFormat="1" applyFont="1" applyFill="1" applyBorder="1" applyAlignment="1">
      <alignment horizontal="right" vertical="center" wrapText="1"/>
    </xf>
    <xf numFmtId="41" fontId="9" fillId="7" borderId="73" xfId="0" applyNumberFormat="1" applyFont="1" applyFill="1" applyBorder="1" applyAlignment="1">
      <alignment horizontal="right" vertical="center" wrapText="1"/>
    </xf>
    <xf numFmtId="41" fontId="9" fillId="7" borderId="74" xfId="0" applyNumberFormat="1" applyFont="1" applyFill="1" applyBorder="1" applyAlignment="1">
      <alignment horizontal="right" vertical="center" wrapText="1"/>
    </xf>
    <xf numFmtId="41" fontId="9" fillId="9" borderId="75" xfId="0" applyNumberFormat="1" applyFont="1" applyFill="1" applyBorder="1" applyAlignment="1">
      <alignment horizontal="right" vertical="center" wrapText="1"/>
    </xf>
    <xf numFmtId="41" fontId="9" fillId="7" borderId="76" xfId="0" applyNumberFormat="1" applyFont="1" applyFill="1" applyBorder="1" applyAlignment="1">
      <alignment horizontal="right" vertical="center" wrapText="1"/>
    </xf>
    <xf numFmtId="41" fontId="9" fillId="7" borderId="77" xfId="0" applyNumberFormat="1" applyFont="1" applyFill="1" applyBorder="1" applyAlignment="1">
      <alignment horizontal="right" vertical="center" wrapText="1"/>
    </xf>
    <xf numFmtId="0" fontId="9" fillId="7" borderId="58" xfId="0" applyFont="1" applyFill="1" applyBorder="1" applyAlignment="1">
      <alignment horizontal="right" vertical="center" wrapText="1"/>
    </xf>
    <xf numFmtId="41" fontId="9" fillId="5" borderId="71" xfId="0" applyNumberFormat="1" applyFont="1" applyFill="1" applyBorder="1" applyAlignment="1">
      <alignment horizontal="right" vertical="center" wrapText="1"/>
    </xf>
    <xf numFmtId="41" fontId="9" fillId="5" borderId="72" xfId="0" applyNumberFormat="1" applyFont="1" applyFill="1" applyBorder="1" applyAlignment="1">
      <alignment horizontal="right" vertical="center" wrapText="1"/>
    </xf>
    <xf numFmtId="0" fontId="9" fillId="7" borderId="62" xfId="0" applyFont="1" applyFill="1" applyBorder="1" applyAlignment="1">
      <alignment horizontal="right" vertical="center" wrapText="1"/>
    </xf>
    <xf numFmtId="0" fontId="9" fillId="7" borderId="63" xfId="0" applyFont="1" applyFill="1" applyBorder="1" applyAlignment="1">
      <alignment horizontal="right" vertical="center" wrapText="1"/>
    </xf>
    <xf numFmtId="41" fontId="9" fillId="5" borderId="0" xfId="0" applyNumberFormat="1" applyFont="1" applyFill="1" applyBorder="1" applyAlignment="1">
      <alignment horizontal="right" vertical="center" wrapText="1"/>
    </xf>
    <xf numFmtId="0" fontId="9" fillId="7" borderId="36" xfId="0" applyFont="1" applyFill="1" applyBorder="1" applyAlignment="1">
      <alignment horizontal="right" vertical="center" wrapText="1"/>
    </xf>
    <xf numFmtId="41" fontId="9" fillId="7" borderId="75" xfId="0" applyNumberFormat="1" applyFont="1" applyFill="1" applyBorder="1" applyAlignment="1">
      <alignment horizontal="right" vertical="center" wrapText="1"/>
    </xf>
    <xf numFmtId="0" fontId="15" fillId="7" borderId="0" xfId="0" applyFont="1" applyFill="1" applyAlignment="1">
      <alignment vertical="center" wrapText="1"/>
    </xf>
    <xf numFmtId="0" fontId="15" fillId="7" borderId="0" xfId="0" applyFont="1" applyFill="1" applyAlignment="1">
      <alignment vertical="center"/>
    </xf>
    <xf numFmtId="0" fontId="10" fillId="2" borderId="0" xfId="0" applyFont="1" applyFill="1" applyAlignment="1">
      <alignment vertical="center" wrapText="1"/>
    </xf>
    <xf numFmtId="41" fontId="9" fillId="7" borderId="64" xfId="0" applyNumberFormat="1" applyFont="1" applyFill="1" applyBorder="1" applyAlignment="1">
      <alignment horizontal="right" vertical="center" wrapText="1"/>
    </xf>
    <xf numFmtId="41" fontId="9" fillId="9" borderId="78" xfId="0" applyNumberFormat="1" applyFont="1" applyFill="1" applyBorder="1" applyAlignment="1">
      <alignment horizontal="right" vertical="center" wrapText="1"/>
    </xf>
    <xf numFmtId="41" fontId="9" fillId="9" borderId="79" xfId="0" applyNumberFormat="1" applyFont="1" applyFill="1" applyBorder="1" applyAlignment="1">
      <alignment horizontal="right" vertical="center" wrapText="1"/>
    </xf>
    <xf numFmtId="41" fontId="13" fillId="7" borderId="78" xfId="0" applyNumberFormat="1" applyFont="1" applyFill="1" applyBorder="1" applyAlignment="1">
      <alignment horizontal="right" vertical="center" wrapText="1"/>
    </xf>
    <xf numFmtId="41" fontId="13" fillId="7" borderId="79" xfId="0" applyNumberFormat="1" applyFont="1" applyFill="1" applyBorder="1" applyAlignment="1">
      <alignment horizontal="right" vertical="center" wrapText="1"/>
    </xf>
    <xf numFmtId="41" fontId="13" fillId="9" borderId="70" xfId="0" applyNumberFormat="1" applyFont="1" applyFill="1" applyBorder="1" applyAlignment="1">
      <alignment horizontal="right" vertical="center" wrapText="1"/>
    </xf>
    <xf numFmtId="41" fontId="13" fillId="9" borderId="69" xfId="0" applyNumberFormat="1" applyFont="1" applyFill="1" applyBorder="1" applyAlignment="1">
      <alignment horizontal="right" vertical="center" wrapText="1"/>
    </xf>
    <xf numFmtId="41" fontId="13" fillId="7" borderId="70" xfId="0" applyNumberFormat="1" applyFont="1" applyFill="1" applyBorder="1" applyAlignment="1">
      <alignment horizontal="right" vertical="center" wrapText="1"/>
    </xf>
    <xf numFmtId="41" fontId="13" fillId="7" borderId="69" xfId="0" applyNumberFormat="1" applyFont="1" applyFill="1" applyBorder="1" applyAlignment="1">
      <alignment horizontal="right" vertical="center" wrapText="1"/>
    </xf>
    <xf numFmtId="41" fontId="9" fillId="7" borderId="78" xfId="0" applyNumberFormat="1" applyFont="1" applyFill="1" applyBorder="1" applyAlignment="1">
      <alignment horizontal="right" vertical="center" wrapText="1"/>
    </xf>
    <xf numFmtId="41" fontId="9" fillId="7" borderId="79" xfId="0" applyNumberFormat="1" applyFont="1" applyFill="1" applyBorder="1" applyAlignment="1">
      <alignment horizontal="right" vertical="center" wrapText="1"/>
    </xf>
    <xf numFmtId="9" fontId="9" fillId="7" borderId="4" xfId="0" applyNumberFormat="1" applyFont="1" applyFill="1" applyBorder="1" applyAlignment="1">
      <alignment vertical="center" wrapText="1"/>
    </xf>
    <xf numFmtId="43" fontId="9" fillId="7" borderId="4" xfId="0" applyNumberFormat="1" applyFont="1" applyFill="1" applyBorder="1" applyAlignment="1">
      <alignment vertical="center" wrapText="1"/>
    </xf>
    <xf numFmtId="0" fontId="9" fillId="7" borderId="4" xfId="0" applyFont="1" applyFill="1" applyBorder="1" applyAlignment="1">
      <alignment vertical="center" wrapText="1"/>
    </xf>
    <xf numFmtId="0" fontId="9" fillId="7" borderId="80" xfId="0" applyFont="1" applyFill="1" applyBorder="1" applyAlignment="1">
      <alignment horizontal="right" vertical="center" wrapText="1"/>
    </xf>
    <xf numFmtId="0" fontId="9" fillId="7" borderId="81" xfId="0" applyFont="1" applyFill="1" applyBorder="1" applyAlignment="1">
      <alignment horizontal="right" vertical="center" wrapText="1"/>
    </xf>
    <xf numFmtId="0" fontId="9" fillId="7" borderId="78" xfId="0" applyFont="1" applyFill="1" applyBorder="1" applyAlignment="1">
      <alignment horizontal="right" vertical="center" wrapText="1"/>
    </xf>
    <xf numFmtId="0" fontId="9" fillId="7" borderId="79" xfId="0" applyFont="1" applyFill="1" applyBorder="1" applyAlignment="1">
      <alignment horizontal="right" vertical="center" wrapText="1"/>
    </xf>
    <xf numFmtId="0" fontId="16" fillId="0" borderId="0" xfId="0" applyFont="1"/>
    <xf numFmtId="165" fontId="9" fillId="7" borderId="0" xfId="0" applyNumberFormat="1" applyFont="1" applyFill="1" applyAlignment="1">
      <alignment vertical="center" wrapText="1"/>
    </xf>
    <xf numFmtId="43" fontId="9" fillId="0" borderId="0" xfId="1" applyFont="1" applyFill="1" applyAlignment="1">
      <alignment vertical="center" wrapText="1"/>
    </xf>
    <xf numFmtId="0" fontId="9" fillId="2" borderId="0" xfId="0" applyFont="1" applyFill="1" applyBorder="1" applyAlignment="1">
      <alignment vertical="center" wrapText="1"/>
    </xf>
    <xf numFmtId="0" fontId="9" fillId="7" borderId="5" xfId="0" applyFont="1" applyFill="1" applyBorder="1" applyAlignment="1">
      <alignment vertical="center" wrapText="1"/>
    </xf>
    <xf numFmtId="0" fontId="9" fillId="7" borderId="6" xfId="0" applyFont="1" applyFill="1" applyBorder="1" applyAlignment="1">
      <alignment vertical="center" wrapText="1"/>
    </xf>
    <xf numFmtId="0" fontId="9" fillId="7" borderId="6" xfId="0" applyFont="1" applyFill="1" applyBorder="1" applyAlignment="1">
      <alignment horizontal="right" vertical="center" wrapText="1"/>
    </xf>
    <xf numFmtId="0" fontId="9" fillId="7" borderId="7" xfId="0" applyFont="1" applyFill="1" applyBorder="1" applyAlignment="1">
      <alignment vertical="center" wrapText="1"/>
    </xf>
    <xf numFmtId="15" fontId="9" fillId="2" borderId="8" xfId="0" applyNumberFormat="1" applyFont="1" applyFill="1" applyBorder="1" applyAlignment="1">
      <alignment horizontal="left" vertical="center" wrapText="1"/>
    </xf>
    <xf numFmtId="9" fontId="9" fillId="7" borderId="9" xfId="2" applyFont="1" applyFill="1" applyBorder="1" applyAlignment="1">
      <alignment vertical="center" wrapText="1"/>
    </xf>
    <xf numFmtId="15" fontId="9" fillId="2" borderId="10" xfId="0" applyNumberFormat="1" applyFont="1" applyFill="1" applyBorder="1" applyAlignment="1">
      <alignment horizontal="left" vertical="center" wrapText="1"/>
    </xf>
    <xf numFmtId="0" fontId="9" fillId="2" borderId="2" xfId="0" applyFont="1" applyFill="1" applyBorder="1" applyAlignment="1">
      <alignment vertical="center" wrapText="1"/>
    </xf>
    <xf numFmtId="9" fontId="9" fillId="7" borderId="11" xfId="2" applyFont="1" applyFill="1" applyBorder="1" applyAlignment="1">
      <alignment vertical="center" wrapText="1"/>
    </xf>
    <xf numFmtId="0" fontId="1" fillId="7" borderId="5" xfId="0" applyFont="1" applyFill="1" applyBorder="1"/>
    <xf numFmtId="0" fontId="0" fillId="7" borderId="6" xfId="0" applyFill="1" applyBorder="1"/>
    <xf numFmtId="0" fontId="0" fillId="7" borderId="6" xfId="0" applyFill="1" applyBorder="1" applyAlignment="1">
      <alignment horizontal="right"/>
    </xf>
    <xf numFmtId="9" fontId="0" fillId="2" borderId="6" xfId="0" applyNumberFormat="1" applyFill="1" applyBorder="1"/>
    <xf numFmtId="0" fontId="0" fillId="7" borderId="8" xfId="0" applyFill="1" applyBorder="1"/>
    <xf numFmtId="0" fontId="0" fillId="7" borderId="0" xfId="0" applyFill="1" applyBorder="1"/>
    <xf numFmtId="0" fontId="9" fillId="7" borderId="9" xfId="0" applyFont="1" applyFill="1" applyBorder="1" applyAlignment="1">
      <alignment vertical="center" wrapText="1"/>
    </xf>
    <xf numFmtId="41" fontId="0" fillId="2" borderId="0" xfId="0" applyNumberFormat="1" applyFill="1" applyBorder="1"/>
    <xf numFmtId="43" fontId="0" fillId="7" borderId="0" xfId="1" applyFont="1" applyFill="1" applyBorder="1"/>
    <xf numFmtId="0" fontId="9" fillId="7" borderId="0" xfId="0" applyFont="1" applyFill="1" applyBorder="1" applyAlignment="1">
      <alignment vertical="center" wrapText="1"/>
    </xf>
    <xf numFmtId="43" fontId="9" fillId="7" borderId="0" xfId="1" applyFont="1" applyFill="1" applyBorder="1" applyAlignment="1">
      <alignment vertical="center" wrapText="1"/>
    </xf>
    <xf numFmtId="0" fontId="9" fillId="7" borderId="8" xfId="0" applyFont="1" applyFill="1" applyBorder="1" applyAlignment="1">
      <alignment vertical="center" wrapText="1"/>
    </xf>
    <xf numFmtId="0" fontId="1" fillId="7" borderId="10" xfId="0" applyFont="1" applyFill="1" applyBorder="1"/>
    <xf numFmtId="0" fontId="0" fillId="7" borderId="2" xfId="0" applyFill="1" applyBorder="1"/>
    <xf numFmtId="43" fontId="1" fillId="0" borderId="3" xfId="1" applyFont="1" applyBorder="1"/>
    <xf numFmtId="0" fontId="9" fillId="7" borderId="11" xfId="0" applyFont="1" applyFill="1" applyBorder="1" applyAlignment="1">
      <alignment vertical="center" wrapText="1"/>
    </xf>
    <xf numFmtId="0" fontId="10" fillId="7" borderId="5" xfId="0" applyFont="1" applyFill="1" applyBorder="1" applyAlignment="1">
      <alignment vertical="center" wrapText="1"/>
    </xf>
    <xf numFmtId="9" fontId="9" fillId="2" borderId="0" xfId="0" applyNumberFormat="1" applyFont="1" applyFill="1" applyBorder="1" applyAlignment="1">
      <alignment vertical="center" wrapText="1"/>
    </xf>
    <xf numFmtId="9" fontId="9" fillId="2" borderId="0" xfId="2" applyFont="1" applyFill="1" applyBorder="1" applyAlignment="1">
      <alignment vertical="center" wrapText="1"/>
    </xf>
    <xf numFmtId="43" fontId="9" fillId="2" borderId="0" xfId="1" applyFont="1" applyFill="1" applyBorder="1" applyAlignment="1">
      <alignment vertical="center" wrapText="1"/>
    </xf>
    <xf numFmtId="43" fontId="9" fillId="7" borderId="0" xfId="0" applyNumberFormat="1" applyFont="1" applyFill="1" applyBorder="1" applyAlignment="1">
      <alignment vertical="center" wrapText="1"/>
    </xf>
    <xf numFmtId="0" fontId="10" fillId="7" borderId="8" xfId="0" applyFont="1" applyFill="1" applyBorder="1" applyAlignment="1">
      <alignment vertical="center" wrapText="1"/>
    </xf>
    <xf numFmtId="0" fontId="9" fillId="7" borderId="10" xfId="0" applyFont="1" applyFill="1" applyBorder="1" applyAlignment="1">
      <alignment vertical="center" wrapText="1"/>
    </xf>
    <xf numFmtId="0" fontId="9" fillId="7" borderId="2" xfId="0" applyFont="1" applyFill="1" applyBorder="1" applyAlignment="1">
      <alignment vertical="center" wrapText="1"/>
    </xf>
    <xf numFmtId="43" fontId="9" fillId="7" borderId="6" xfId="1" applyFont="1" applyFill="1" applyBorder="1" applyAlignment="1">
      <alignment vertical="center" wrapText="1"/>
    </xf>
    <xf numFmtId="43" fontId="9" fillId="7" borderId="2" xfId="1" applyFont="1" applyFill="1" applyBorder="1" applyAlignment="1">
      <alignment vertical="center" wrapText="1"/>
    </xf>
    <xf numFmtId="43" fontId="9" fillId="2" borderId="2" xfId="1" applyFont="1" applyFill="1" applyBorder="1" applyAlignment="1">
      <alignment vertical="center" wrapText="1"/>
    </xf>
    <xf numFmtId="43" fontId="9" fillId="0" borderId="0" xfId="1" applyFont="1" applyFill="1" applyBorder="1" applyAlignment="1">
      <alignment vertical="center" wrapText="1"/>
    </xf>
    <xf numFmtId="3" fontId="9" fillId="2" borderId="0" xfId="0" applyNumberFormat="1" applyFont="1" applyFill="1" applyBorder="1" applyAlignment="1">
      <alignment vertical="center" wrapText="1"/>
    </xf>
    <xf numFmtId="0" fontId="10" fillId="2" borderId="8" xfId="0" applyFont="1" applyFill="1" applyBorder="1" applyAlignment="1">
      <alignment vertical="center" wrapText="1"/>
    </xf>
    <xf numFmtId="43" fontId="9" fillId="7" borderId="2" xfId="0" applyNumberFormat="1" applyFont="1" applyFill="1" applyBorder="1" applyAlignment="1">
      <alignment vertical="center" wrapText="1"/>
    </xf>
    <xf numFmtId="0" fontId="15" fillId="7" borderId="9" xfId="0" applyFont="1" applyFill="1" applyBorder="1" applyAlignment="1">
      <alignment vertical="center" wrapText="1"/>
    </xf>
    <xf numFmtId="0" fontId="9" fillId="7" borderId="5" xfId="0" applyFont="1" applyFill="1" applyBorder="1" applyAlignment="1">
      <alignment horizontal="left" vertical="center"/>
    </xf>
    <xf numFmtId="9" fontId="9" fillId="2" borderId="7" xfId="0" applyNumberFormat="1" applyFont="1" applyFill="1" applyBorder="1" applyAlignment="1">
      <alignment vertical="center" wrapText="1"/>
    </xf>
    <xf numFmtId="0" fontId="9" fillId="7" borderId="8" xfId="0" applyFont="1" applyFill="1" applyBorder="1" applyAlignment="1">
      <alignment vertical="center"/>
    </xf>
    <xf numFmtId="43" fontId="9" fillId="2" borderId="9" xfId="1" applyFont="1" applyFill="1" applyBorder="1" applyAlignment="1">
      <alignment vertical="center" wrapText="1"/>
    </xf>
    <xf numFmtId="43" fontId="9" fillId="7" borderId="9" xfId="1" applyFont="1" applyFill="1" applyBorder="1" applyAlignment="1">
      <alignment vertical="center" wrapText="1"/>
    </xf>
    <xf numFmtId="43" fontId="10" fillId="7" borderId="13" xfId="0" applyNumberFormat="1" applyFont="1" applyFill="1" applyBorder="1" applyAlignment="1">
      <alignment vertical="center" wrapText="1"/>
    </xf>
    <xf numFmtId="41" fontId="13" fillId="10" borderId="36" xfId="0" applyNumberFormat="1" applyFont="1" applyFill="1" applyBorder="1" applyAlignment="1">
      <alignment horizontal="right" vertical="center" wrapText="1"/>
    </xf>
    <xf numFmtId="41" fontId="13" fillId="10" borderId="82" xfId="0" applyNumberFormat="1" applyFont="1" applyFill="1" applyBorder="1" applyAlignment="1">
      <alignment horizontal="right" vertical="center" wrapText="1"/>
    </xf>
    <xf numFmtId="0" fontId="10" fillId="7" borderId="83" xfId="0" applyFont="1" applyFill="1" applyBorder="1" applyAlignment="1">
      <alignment horizontal="right" vertical="center" wrapText="1"/>
    </xf>
    <xf numFmtId="0" fontId="10" fillId="7" borderId="82" xfId="0" applyFont="1" applyFill="1" applyBorder="1" applyAlignment="1">
      <alignment horizontal="right" vertical="center" wrapText="1"/>
    </xf>
    <xf numFmtId="43" fontId="0" fillId="7" borderId="32" xfId="0" applyNumberFormat="1" applyFill="1" applyBorder="1"/>
    <xf numFmtId="0" fontId="0" fillId="7" borderId="9" xfId="0" applyFill="1" applyBorder="1"/>
    <xf numFmtId="43" fontId="0" fillId="7" borderId="0" xfId="0" applyNumberFormat="1" applyFill="1" applyBorder="1"/>
    <xf numFmtId="43" fontId="0" fillId="7" borderId="2" xfId="1" applyFont="1" applyFill="1" applyBorder="1"/>
    <xf numFmtId="43" fontId="1" fillId="7" borderId="3" xfId="1" applyFont="1" applyFill="1" applyBorder="1"/>
    <xf numFmtId="0" fontId="1" fillId="7" borderId="0" xfId="0" applyFont="1" applyFill="1" applyBorder="1" applyAlignment="1">
      <alignment horizontal="right"/>
    </xf>
    <xf numFmtId="0" fontId="10" fillId="7" borderId="41" xfId="0" applyFont="1" applyFill="1" applyBorder="1" applyAlignment="1">
      <alignment horizontal="right" vertical="center" wrapText="1"/>
    </xf>
    <xf numFmtId="0" fontId="14" fillId="2" borderId="8" xfId="0" applyFont="1" applyFill="1" applyBorder="1" applyAlignment="1">
      <alignment vertical="center" wrapText="1"/>
    </xf>
    <xf numFmtId="0" fontId="9" fillId="0" borderId="0" xfId="0" applyFont="1" applyFill="1" applyAlignment="1">
      <alignment vertical="center" wrapText="1"/>
    </xf>
    <xf numFmtId="0" fontId="10" fillId="0" borderId="0" xfId="0" applyFont="1" applyFill="1" applyAlignment="1">
      <alignment vertical="center" wrapText="1"/>
    </xf>
    <xf numFmtId="43" fontId="9" fillId="0" borderId="0" xfId="0" applyNumberFormat="1" applyFont="1" applyFill="1" applyAlignment="1">
      <alignment vertical="center" wrapText="1"/>
    </xf>
    <xf numFmtId="41" fontId="9" fillId="9" borderId="49" xfId="0" applyNumberFormat="1" applyFont="1" applyFill="1" applyBorder="1" applyAlignment="1">
      <alignment horizontal="right" vertical="center" wrapText="1"/>
    </xf>
    <xf numFmtId="0" fontId="1" fillId="0" borderId="12" xfId="0" applyFont="1" applyBorder="1"/>
    <xf numFmtId="41" fontId="9" fillId="10" borderId="58" xfId="0" applyNumberFormat="1" applyFont="1" applyFill="1" applyBorder="1" applyAlignment="1">
      <alignment horizontal="right" vertical="center" wrapText="1"/>
    </xf>
    <xf numFmtId="41" fontId="13" fillId="10" borderId="83" xfId="0" applyNumberFormat="1" applyFont="1" applyFill="1" applyBorder="1" applyAlignment="1">
      <alignment horizontal="right" vertical="center" wrapText="1"/>
    </xf>
    <xf numFmtId="0" fontId="1" fillId="0" borderId="12" xfId="0" applyFont="1" applyFill="1" applyBorder="1"/>
    <xf numFmtId="173" fontId="9" fillId="7" borderId="0" xfId="0" applyNumberFormat="1" applyFont="1" applyFill="1" applyAlignment="1">
      <alignment vertical="center" wrapText="1"/>
    </xf>
    <xf numFmtId="9" fontId="9" fillId="7" borderId="0" xfId="2" applyFont="1" applyFill="1" applyAlignment="1">
      <alignment vertical="center"/>
    </xf>
    <xf numFmtId="0" fontId="16" fillId="0" borderId="0" xfId="0" quotePrefix="1" applyFont="1"/>
    <xf numFmtId="15" fontId="0" fillId="2" borderId="8" xfId="0" applyNumberFormat="1" applyFill="1" applyBorder="1"/>
    <xf numFmtId="0" fontId="16" fillId="0" borderId="0" xfId="0" applyFont="1" applyFill="1"/>
    <xf numFmtId="0" fontId="0" fillId="2" borderId="22" xfId="0" applyFill="1" applyBorder="1"/>
    <xf numFmtId="0" fontId="17" fillId="0" borderId="0" xfId="0" applyFont="1"/>
    <xf numFmtId="0" fontId="16" fillId="0" borderId="8" xfId="0" applyFont="1" applyBorder="1"/>
    <xf numFmtId="0" fontId="17" fillId="0" borderId="5" xfId="0" applyFont="1" applyBorder="1"/>
    <xf numFmtId="0" fontId="16" fillId="0" borderId="8" xfId="0" applyFont="1" applyBorder="1" applyAlignment="1">
      <alignment horizontal="left" wrapText="1"/>
    </xf>
    <xf numFmtId="0" fontId="16" fillId="0" borderId="0" xfId="0" applyFont="1" applyBorder="1" applyAlignment="1">
      <alignment horizontal="left" wrapText="1"/>
    </xf>
    <xf numFmtId="0" fontId="16" fillId="0" borderId="9" xfId="0" applyFont="1" applyBorder="1" applyAlignment="1">
      <alignment horizontal="left" wrapText="1"/>
    </xf>
    <xf numFmtId="0" fontId="18" fillId="0" borderId="8" xfId="0" applyFont="1" applyBorder="1"/>
    <xf numFmtId="0" fontId="17" fillId="0" borderId="8" xfId="0" applyFont="1" applyBorder="1"/>
    <xf numFmtId="0" fontId="9" fillId="7" borderId="5" xfId="0" applyFont="1" applyFill="1" applyBorder="1" applyAlignment="1">
      <alignment vertical="center"/>
    </xf>
    <xf numFmtId="165" fontId="9" fillId="7" borderId="0" xfId="0" applyNumberFormat="1" applyFont="1" applyFill="1" applyBorder="1" applyAlignment="1">
      <alignment vertical="center" wrapText="1"/>
    </xf>
    <xf numFmtId="165" fontId="9" fillId="7" borderId="2" xfId="0" applyNumberFormat="1" applyFont="1" applyFill="1" applyBorder="1" applyAlignment="1">
      <alignment vertical="center" wrapText="1"/>
    </xf>
    <xf numFmtId="0" fontId="9" fillId="0" borderId="0" xfId="0" applyFont="1" applyFill="1" applyBorder="1" applyAlignment="1">
      <alignment vertical="center"/>
    </xf>
    <xf numFmtId="0" fontId="10" fillId="0" borderId="0" xfId="0" applyFont="1" applyFill="1" applyBorder="1" applyAlignment="1">
      <alignment vertical="center"/>
    </xf>
    <xf numFmtId="0" fontId="9" fillId="0" borderId="0" xfId="0" applyFont="1"/>
    <xf numFmtId="0" fontId="15" fillId="0" borderId="0" xfId="0" applyFont="1"/>
    <xf numFmtId="0" fontId="9" fillId="0" borderId="0" xfId="0" applyFont="1" applyFill="1"/>
    <xf numFmtId="43" fontId="9" fillId="0" borderId="0" xfId="0" applyNumberFormat="1" applyFont="1" applyFill="1"/>
    <xf numFmtId="43" fontId="9" fillId="2" borderId="0" xfId="1" applyFont="1" applyFill="1"/>
    <xf numFmtId="0" fontId="10" fillId="0" borderId="0" xfId="0" applyFont="1" applyFill="1"/>
    <xf numFmtId="43" fontId="9" fillId="0" borderId="0" xfId="0" applyNumberFormat="1" applyFont="1"/>
    <xf numFmtId="0" fontId="9" fillId="2" borderId="0" xfId="0" applyFont="1" applyFill="1"/>
    <xf numFmtId="3" fontId="9" fillId="2" borderId="0" xfId="0" applyNumberFormat="1" applyFont="1" applyFill="1"/>
    <xf numFmtId="0" fontId="10" fillId="0" borderId="0" xfId="0" applyFont="1"/>
    <xf numFmtId="43" fontId="9" fillId="0" borderId="0" xfId="1" applyFont="1"/>
    <xf numFmtId="43" fontId="9" fillId="0" borderId="1" xfId="0" applyNumberFormat="1" applyFont="1" applyBorder="1"/>
    <xf numFmtId="43" fontId="9" fillId="0" borderId="4" xfId="1" applyFont="1" applyBorder="1"/>
    <xf numFmtId="43" fontId="9" fillId="0" borderId="0" xfId="1" applyFont="1" applyFill="1"/>
    <xf numFmtId="0" fontId="19" fillId="0" borderId="0" xfId="0" applyFont="1"/>
    <xf numFmtId="0" fontId="20" fillId="0" borderId="0" xfId="0" applyFont="1"/>
    <xf numFmtId="43" fontId="10" fillId="0" borderId="1" xfId="0" applyNumberFormat="1" applyFont="1" applyBorder="1"/>
    <xf numFmtId="43" fontId="9" fillId="2" borderId="0" xfId="0" applyNumberFormat="1" applyFont="1" applyFill="1"/>
    <xf numFmtId="0" fontId="9" fillId="0" borderId="0" xfId="0" applyFont="1" applyBorder="1"/>
    <xf numFmtId="43" fontId="9" fillId="0" borderId="0" xfId="0" applyNumberFormat="1" applyFont="1" applyBorder="1"/>
    <xf numFmtId="0" fontId="20" fillId="7" borderId="0" xfId="0" applyFont="1" applyFill="1" applyBorder="1" applyAlignment="1">
      <alignment vertical="center" wrapText="1"/>
    </xf>
    <xf numFmtId="9" fontId="9" fillId="2" borderId="0" xfId="0" applyNumberFormat="1" applyFont="1" applyFill="1"/>
    <xf numFmtId="43" fontId="9" fillId="0" borderId="32" xfId="1" applyFont="1" applyFill="1" applyBorder="1"/>
    <xf numFmtId="43" fontId="10" fillId="7" borderId="11" xfId="1" applyFont="1" applyFill="1" applyBorder="1" applyAlignment="1">
      <alignment vertical="center" wrapText="1"/>
    </xf>
    <xf numFmtId="10" fontId="9" fillId="2" borderId="0" xfId="0" applyNumberFormat="1" applyFont="1" applyFill="1"/>
    <xf numFmtId="0" fontId="15" fillId="7" borderId="25" xfId="0" applyFont="1" applyFill="1" applyBorder="1" applyAlignment="1">
      <alignment horizontal="left" vertical="center"/>
    </xf>
    <xf numFmtId="43" fontId="0" fillId="0" borderId="32" xfId="0" applyNumberFormat="1" applyBorder="1"/>
    <xf numFmtId="0" fontId="10" fillId="0" borderId="0" xfId="0" applyFont="1" applyAlignment="1">
      <alignment horizontal="right"/>
    </xf>
    <xf numFmtId="2" fontId="9" fillId="7" borderId="0" xfId="0" applyNumberFormat="1" applyFont="1" applyFill="1" applyAlignment="1">
      <alignment vertical="center" wrapText="1"/>
    </xf>
    <xf numFmtId="9" fontId="9" fillId="7" borderId="0" xfId="0" applyNumberFormat="1" applyFont="1" applyFill="1" applyBorder="1" applyAlignment="1">
      <alignment vertical="center" wrapText="1"/>
    </xf>
    <xf numFmtId="2" fontId="9" fillId="7" borderId="0" xfId="0" applyNumberFormat="1" applyFont="1" applyFill="1" applyBorder="1" applyAlignment="1">
      <alignment vertical="center" wrapText="1"/>
    </xf>
    <xf numFmtId="0" fontId="21" fillId="7" borderId="0" xfId="0" applyFont="1" applyFill="1" applyBorder="1" applyAlignment="1">
      <alignment vertical="center" wrapText="1"/>
    </xf>
    <xf numFmtId="41" fontId="15" fillId="5" borderId="0" xfId="0" applyNumberFormat="1" applyFont="1" applyFill="1" applyAlignment="1">
      <alignment horizontal="right" vertical="center" wrapText="1"/>
    </xf>
    <xf numFmtId="41" fontId="22" fillId="5" borderId="0" xfId="0" applyNumberFormat="1" applyFont="1" applyFill="1" applyAlignment="1">
      <alignment horizontal="right" vertical="center" wrapText="1"/>
    </xf>
    <xf numFmtId="167" fontId="9" fillId="2" borderId="0" xfId="0" applyNumberFormat="1" applyFont="1" applyFill="1"/>
    <xf numFmtId="41" fontId="15" fillId="9" borderId="34" xfId="0" applyNumberFormat="1" applyFont="1" applyFill="1" applyBorder="1" applyAlignment="1">
      <alignment horizontal="right" vertical="center" wrapText="1"/>
    </xf>
    <xf numFmtId="41" fontId="15" fillId="9" borderId="46" xfId="0" applyNumberFormat="1" applyFont="1" applyFill="1" applyBorder="1" applyAlignment="1">
      <alignment horizontal="right" vertical="center" wrapText="1"/>
    </xf>
    <xf numFmtId="0" fontId="15" fillId="5" borderId="0" xfId="0" applyFont="1" applyFill="1" applyAlignment="1">
      <alignment vertical="center"/>
    </xf>
    <xf numFmtId="0" fontId="0" fillId="0" borderId="6" xfId="0" applyBorder="1" applyAlignment="1">
      <alignment horizontal="center"/>
    </xf>
    <xf numFmtId="0" fontId="0" fillId="0" borderId="7" xfId="0" applyBorder="1" applyAlignment="1">
      <alignment horizontal="center"/>
    </xf>
    <xf numFmtId="167" fontId="0" fillId="2" borderId="0" xfId="0" applyNumberFormat="1" applyFill="1"/>
    <xf numFmtId="10" fontId="0" fillId="2" borderId="9" xfId="0" applyNumberFormat="1" applyFill="1" applyBorder="1"/>
    <xf numFmtId="10" fontId="0" fillId="0" borderId="0" xfId="0" applyNumberFormat="1"/>
    <xf numFmtId="49" fontId="0" fillId="0" borderId="0" xfId="0" applyNumberFormat="1"/>
    <xf numFmtId="2" fontId="0" fillId="0" borderId="0" xfId="2" applyNumberFormat="1" applyFont="1" applyFill="1"/>
    <xf numFmtId="2" fontId="16" fillId="0" borderId="0" xfId="0" applyNumberFormat="1" applyFont="1"/>
    <xf numFmtId="49" fontId="0" fillId="0" borderId="0" xfId="1" applyNumberFormat="1" applyFont="1" applyFill="1" applyAlignment="1">
      <alignment horizontal="left"/>
    </xf>
    <xf numFmtId="2" fontId="0" fillId="0" borderId="0" xfId="1" applyNumberFormat="1" applyFont="1" applyFill="1"/>
    <xf numFmtId="49" fontId="0" fillId="0" borderId="0" xfId="1" applyNumberFormat="1" applyFont="1" applyFill="1"/>
    <xf numFmtId="0" fontId="16" fillId="0" borderId="2" xfId="0" applyFont="1" applyBorder="1"/>
    <xf numFmtId="43" fontId="0" fillId="0" borderId="11" xfId="1" applyFont="1" applyFill="1" applyBorder="1"/>
    <xf numFmtId="49" fontId="0" fillId="0" borderId="0" xfId="0" applyNumberFormat="1" applyAlignment="1">
      <alignment horizontal="left"/>
    </xf>
    <xf numFmtId="43" fontId="16" fillId="0" borderId="0" xfId="1" applyFont="1" applyFill="1"/>
    <xf numFmtId="43" fontId="1" fillId="0" borderId="1" xfId="0" applyNumberFormat="1" applyFont="1" applyBorder="1"/>
    <xf numFmtId="49" fontId="1" fillId="0" borderId="0" xfId="1" applyNumberFormat="1" applyFont="1"/>
    <xf numFmtId="49" fontId="4" fillId="0" borderId="0" xfId="1" applyNumberFormat="1" applyFont="1"/>
    <xf numFmtId="14" fontId="23" fillId="2" borderId="0" xfId="0" applyNumberFormat="1" applyFont="1" applyFill="1"/>
    <xf numFmtId="1" fontId="0" fillId="0" borderId="0" xfId="0" applyNumberFormat="1"/>
    <xf numFmtId="41" fontId="13" fillId="9" borderId="65" xfId="0" applyNumberFormat="1" applyFont="1" applyFill="1" applyBorder="1" applyAlignment="1">
      <alignment horizontal="right" vertical="center" wrapText="1"/>
    </xf>
    <xf numFmtId="41" fontId="13" fillId="7" borderId="38" xfId="0" applyNumberFormat="1" applyFont="1" applyFill="1" applyBorder="1" applyAlignment="1">
      <alignment horizontal="right" vertical="center" wrapText="1"/>
    </xf>
    <xf numFmtId="41" fontId="13" fillId="9" borderId="59" xfId="0" applyNumberFormat="1" applyFont="1" applyFill="1" applyBorder="1" applyAlignment="1">
      <alignment horizontal="right" vertical="center" wrapText="1"/>
    </xf>
    <xf numFmtId="41" fontId="13" fillId="7" borderId="43" xfId="0" applyNumberFormat="1" applyFont="1" applyFill="1" applyBorder="1" applyAlignment="1">
      <alignment horizontal="right" vertical="center" wrapText="1"/>
    </xf>
    <xf numFmtId="0" fontId="9" fillId="7" borderId="28" xfId="0" applyFont="1" applyFill="1" applyBorder="1" applyAlignment="1">
      <alignment vertical="center" wrapText="1"/>
    </xf>
    <xf numFmtId="41" fontId="13" fillId="7" borderId="28" xfId="0" applyNumberFormat="1" applyFont="1" applyFill="1" applyBorder="1" applyAlignment="1">
      <alignment horizontal="right" vertical="center" wrapText="1"/>
    </xf>
    <xf numFmtId="0" fontId="8" fillId="2" borderId="84" xfId="0" applyFont="1" applyFill="1" applyBorder="1" applyAlignment="1">
      <alignment vertical="center" wrapText="1"/>
    </xf>
    <xf numFmtId="0" fontId="10" fillId="7" borderId="85" xfId="0" applyFont="1" applyFill="1" applyBorder="1" applyAlignment="1">
      <alignment horizontal="right" vertical="center" wrapText="1"/>
    </xf>
    <xf numFmtId="0" fontId="9" fillId="7" borderId="86" xfId="0" applyFont="1" applyFill="1" applyBorder="1" applyAlignment="1">
      <alignment horizontal="right" vertical="center" wrapText="1"/>
    </xf>
    <xf numFmtId="0" fontId="10" fillId="7" borderId="87" xfId="0" applyFont="1" applyFill="1" applyBorder="1" applyAlignment="1">
      <alignment vertical="center" wrapText="1"/>
    </xf>
    <xf numFmtId="0" fontId="9" fillId="7" borderId="88" xfId="0" applyFont="1" applyFill="1" applyBorder="1" applyAlignment="1">
      <alignment horizontal="right" vertical="center" wrapText="1"/>
    </xf>
    <xf numFmtId="0" fontId="10" fillId="7" borderId="89" xfId="0" applyFont="1" applyFill="1" applyBorder="1" applyAlignment="1">
      <alignment vertical="center" wrapText="1"/>
    </xf>
    <xf numFmtId="41" fontId="13" fillId="10" borderId="96" xfId="0" applyNumberFormat="1" applyFont="1" applyFill="1" applyBorder="1" applyAlignment="1">
      <alignment horizontal="right" vertical="center" wrapText="1"/>
    </xf>
    <xf numFmtId="43" fontId="0" fillId="7" borderId="32" xfId="1" applyFont="1" applyFill="1" applyBorder="1"/>
    <xf numFmtId="0" fontId="16" fillId="0" borderId="0" xfId="0" applyFont="1" applyFill="1" applyBorder="1"/>
    <xf numFmtId="43" fontId="16" fillId="0" borderId="0" xfId="0" applyNumberFormat="1" applyFont="1"/>
    <xf numFmtId="6" fontId="0" fillId="0" borderId="0" xfId="0" applyNumberFormat="1"/>
    <xf numFmtId="174" fontId="0" fillId="0" borderId="0" xfId="0" applyNumberFormat="1"/>
    <xf numFmtId="6" fontId="0" fillId="2" borderId="0" xfId="0" applyNumberFormat="1" applyFill="1"/>
    <xf numFmtId="174" fontId="0" fillId="2" borderId="0" xfId="0" applyNumberFormat="1" applyFill="1"/>
    <xf numFmtId="174" fontId="0" fillId="0" borderId="0" xfId="0" applyNumberFormat="1" applyFill="1"/>
    <xf numFmtId="174" fontId="0" fillId="0" borderId="1" xfId="0" applyNumberFormat="1" applyBorder="1"/>
    <xf numFmtId="174" fontId="0" fillId="0" borderId="1" xfId="0" applyNumberFormat="1" applyFill="1" applyBorder="1"/>
    <xf numFmtId="44" fontId="0" fillId="0" borderId="0" xfId="0" applyNumberFormat="1"/>
    <xf numFmtId="44" fontId="0" fillId="2" borderId="14" xfId="0" applyNumberFormat="1" applyFill="1" applyBorder="1"/>
    <xf numFmtId="44" fontId="0" fillId="2" borderId="0" xfId="1" applyNumberFormat="1" applyFont="1" applyFill="1"/>
    <xf numFmtId="44" fontId="0" fillId="2" borderId="0" xfId="0" applyNumberFormat="1" applyFill="1"/>
    <xf numFmtId="0" fontId="9" fillId="5" borderId="0" xfId="4" applyFont="1" applyFill="1" applyAlignment="1">
      <alignment vertical="center" wrapText="1"/>
    </xf>
    <xf numFmtId="0" fontId="12" fillId="8" borderId="24" xfId="4" applyFont="1" applyFill="1" applyBorder="1" applyAlignment="1">
      <alignment vertical="center" wrapText="1"/>
    </xf>
    <xf numFmtId="0" fontId="8" fillId="7" borderId="24" xfId="4" applyFont="1" applyFill="1" applyBorder="1" applyAlignment="1">
      <alignment vertical="center" wrapText="1"/>
    </xf>
    <xf numFmtId="0" fontId="10" fillId="7" borderId="24" xfId="4" applyFont="1" applyFill="1" applyBorder="1" applyAlignment="1">
      <alignment vertical="center" wrapText="1"/>
    </xf>
    <xf numFmtId="0" fontId="10" fillId="7" borderId="27" xfId="4" applyFont="1" applyFill="1" applyBorder="1" applyAlignment="1">
      <alignment vertical="center" wrapText="1"/>
    </xf>
    <xf numFmtId="0" fontId="9" fillId="7" borderId="24" xfId="4" applyFont="1" applyFill="1" applyBorder="1" applyAlignment="1">
      <alignment vertical="center" wrapText="1"/>
    </xf>
    <xf numFmtId="0" fontId="9" fillId="0" borderId="24" xfId="4" applyFont="1" applyBorder="1" applyAlignment="1">
      <alignment horizontal="right" vertical="center" wrapText="1"/>
    </xf>
    <xf numFmtId="0" fontId="8" fillId="8" borderId="24" xfId="4" applyFont="1" applyFill="1" applyBorder="1" applyAlignment="1">
      <alignment vertical="center" wrapText="1"/>
    </xf>
    <xf numFmtId="0" fontId="10" fillId="0" borderId="24" xfId="4" applyFont="1" applyBorder="1" applyAlignment="1">
      <alignment horizontal="right" vertical="center" wrapText="1"/>
    </xf>
    <xf numFmtId="41" fontId="9" fillId="7" borderId="24" xfId="4" applyNumberFormat="1" applyFont="1" applyFill="1" applyBorder="1" applyAlignment="1">
      <alignment horizontal="right" vertical="center" wrapText="1"/>
    </xf>
    <xf numFmtId="41" fontId="9" fillId="9" borderId="24" xfId="4" applyNumberFormat="1" applyFont="1" applyFill="1" applyBorder="1" applyAlignment="1">
      <alignment horizontal="right" vertical="center" wrapText="1"/>
    </xf>
    <xf numFmtId="41" fontId="9" fillId="9" borderId="33" xfId="4" applyNumberFormat="1" applyFont="1" applyFill="1" applyBorder="1" applyAlignment="1">
      <alignment horizontal="right" vertical="center" wrapText="1"/>
    </xf>
    <xf numFmtId="41" fontId="9" fillId="10" borderId="28" xfId="4" applyNumberFormat="1" applyFont="1" applyFill="1" applyBorder="1" applyAlignment="1">
      <alignment horizontal="right" vertical="center" wrapText="1"/>
    </xf>
    <xf numFmtId="0" fontId="20" fillId="7" borderId="24" xfId="4" applyFont="1" applyFill="1" applyBorder="1" applyAlignment="1">
      <alignment vertical="center" wrapText="1"/>
    </xf>
    <xf numFmtId="41" fontId="9" fillId="7" borderId="28" xfId="4" applyNumberFormat="1" applyFont="1" applyFill="1" applyBorder="1" applyAlignment="1">
      <alignment horizontal="right" vertical="center" wrapText="1"/>
    </xf>
    <xf numFmtId="41" fontId="9" fillId="10" borderId="24" xfId="4" applyNumberFormat="1" applyFont="1" applyFill="1" applyBorder="1" applyAlignment="1">
      <alignment horizontal="right" vertical="center" wrapText="1"/>
    </xf>
    <xf numFmtId="41" fontId="9" fillId="10" borderId="33" xfId="4" applyNumberFormat="1" applyFont="1" applyFill="1" applyBorder="1" applyAlignment="1">
      <alignment horizontal="right" vertical="center" wrapText="1"/>
    </xf>
    <xf numFmtId="0" fontId="10" fillId="7" borderId="25" xfId="4" applyFont="1" applyFill="1" applyBorder="1" applyAlignment="1">
      <alignment vertical="center" wrapText="1"/>
    </xf>
    <xf numFmtId="41" fontId="9" fillId="9" borderId="30" xfId="4" applyNumberFormat="1" applyFont="1" applyFill="1" applyBorder="1" applyAlignment="1">
      <alignment horizontal="right" vertical="center" wrapText="1"/>
    </xf>
    <xf numFmtId="0" fontId="12" fillId="5" borderId="0" xfId="4" applyFont="1" applyFill="1" applyAlignment="1">
      <alignment vertical="center" wrapText="1"/>
    </xf>
    <xf numFmtId="41" fontId="13" fillId="5" borderId="0" xfId="4" applyNumberFormat="1" applyFont="1" applyFill="1" applyAlignment="1">
      <alignment horizontal="right" vertical="center" wrapText="1"/>
    </xf>
    <xf numFmtId="41" fontId="9" fillId="5" borderId="0" xfId="4" applyNumberFormat="1" applyFont="1" applyFill="1" applyAlignment="1">
      <alignment horizontal="right" vertical="center" wrapText="1"/>
    </xf>
    <xf numFmtId="41" fontId="9" fillId="7" borderId="25" xfId="4" applyNumberFormat="1" applyFont="1" applyFill="1" applyBorder="1" applyAlignment="1">
      <alignment horizontal="right" vertical="center" wrapText="1"/>
    </xf>
    <xf numFmtId="0" fontId="9" fillId="7" borderId="24" xfId="4" applyFont="1" applyFill="1" applyBorder="1" applyAlignment="1">
      <alignment horizontal="left" vertical="center" wrapText="1"/>
    </xf>
    <xf numFmtId="41" fontId="9" fillId="9" borderId="25" xfId="4" applyNumberFormat="1" applyFont="1" applyFill="1" applyBorder="1" applyAlignment="1">
      <alignment horizontal="right" vertical="center" wrapText="1"/>
    </xf>
    <xf numFmtId="41" fontId="9" fillId="10" borderId="26" xfId="4" applyNumberFormat="1" applyFont="1" applyFill="1" applyBorder="1" applyAlignment="1">
      <alignment horizontal="right" vertical="center" wrapText="1"/>
    </xf>
    <xf numFmtId="0" fontId="1" fillId="5" borderId="0" xfId="0" applyFont="1" applyFill="1"/>
    <xf numFmtId="0" fontId="0" fillId="5" borderId="0" xfId="0" applyFill="1"/>
    <xf numFmtId="0" fontId="16" fillId="5" borderId="0" xfId="0" applyFont="1" applyFill="1"/>
    <xf numFmtId="0" fontId="9" fillId="0" borderId="0" xfId="4" applyFont="1" applyFill="1" applyAlignment="1">
      <alignment vertical="center" wrapText="1"/>
    </xf>
    <xf numFmtId="0" fontId="9" fillId="2" borderId="0" xfId="4" applyFont="1" applyFill="1" applyAlignment="1">
      <alignment vertical="center" wrapText="1"/>
    </xf>
    <xf numFmtId="3" fontId="0" fillId="0" borderId="0" xfId="0" applyNumberFormat="1" applyBorder="1"/>
    <xf numFmtId="0" fontId="16" fillId="0" borderId="0" xfId="0" applyFont="1" applyAlignment="1">
      <alignment wrapText="1"/>
    </xf>
    <xf numFmtId="0" fontId="16" fillId="0" borderId="0" xfId="0" applyFont="1" applyAlignment="1"/>
    <xf numFmtId="0" fontId="16" fillId="0" borderId="0" xfId="0" applyFont="1" applyAlignment="1">
      <alignment vertical="center"/>
    </xf>
    <xf numFmtId="0" fontId="23" fillId="0" borderId="0" xfId="0" applyFont="1"/>
    <xf numFmtId="0" fontId="26" fillId="0" borderId="5" xfId="0" applyFont="1" applyBorder="1"/>
    <xf numFmtId="0" fontId="23" fillId="0" borderId="8" xfId="0" applyFont="1" applyBorder="1"/>
    <xf numFmtId="0" fontId="23" fillId="0" borderId="10" xfId="0" applyFont="1" applyBorder="1"/>
    <xf numFmtId="0" fontId="16" fillId="0" borderId="8" xfId="0" applyFont="1" applyFill="1" applyBorder="1"/>
    <xf numFmtId="0" fontId="16" fillId="0" borderId="0" xfId="0" applyFont="1" applyAlignment="1">
      <alignment horizontal="left"/>
    </xf>
    <xf numFmtId="43" fontId="0" fillId="0" borderId="13" xfId="0" applyNumberFormat="1" applyBorder="1"/>
    <xf numFmtId="43" fontId="0" fillId="0" borderId="13" xfId="1" applyNumberFormat="1" applyFont="1" applyBorder="1"/>
    <xf numFmtId="2" fontId="0" fillId="2" borderId="0" xfId="0" applyNumberFormat="1" applyFill="1" applyBorder="1"/>
    <xf numFmtId="43" fontId="9" fillId="7" borderId="9" xfId="0" applyNumberFormat="1" applyFont="1" applyFill="1" applyBorder="1" applyAlignment="1">
      <alignment vertical="center" wrapText="1"/>
    </xf>
    <xf numFmtId="0" fontId="10" fillId="7" borderId="5" xfId="0" applyFont="1" applyFill="1" applyBorder="1" applyAlignment="1">
      <alignment vertical="center"/>
    </xf>
    <xf numFmtId="0" fontId="9" fillId="7" borderId="10" xfId="0" applyFont="1" applyFill="1" applyBorder="1" applyAlignment="1">
      <alignment vertical="center"/>
    </xf>
    <xf numFmtId="14" fontId="0" fillId="2" borderId="9" xfId="0" applyNumberFormat="1" applyFill="1" applyBorder="1"/>
    <xf numFmtId="170" fontId="0" fillId="2" borderId="9" xfId="0" applyNumberFormat="1" applyFill="1" applyBorder="1"/>
    <xf numFmtId="0" fontId="9" fillId="0" borderId="32" xfId="4" applyFont="1" applyFill="1" applyBorder="1" applyAlignment="1">
      <alignment vertical="center" wrapText="1"/>
    </xf>
    <xf numFmtId="0" fontId="9" fillId="0" borderId="1" xfId="4" applyFont="1" applyFill="1" applyBorder="1" applyAlignment="1">
      <alignment vertical="center" wrapText="1"/>
    </xf>
    <xf numFmtId="0" fontId="10" fillId="0" borderId="0" xfId="4" applyFont="1" applyFill="1" applyAlignment="1">
      <alignment vertical="center" wrapText="1"/>
    </xf>
    <xf numFmtId="41" fontId="9" fillId="2" borderId="24" xfId="4" applyNumberFormat="1" applyFont="1" applyFill="1" applyBorder="1" applyAlignment="1">
      <alignment horizontal="right" vertical="center" wrapText="1"/>
    </xf>
    <xf numFmtId="8" fontId="0" fillId="2" borderId="0" xfId="0" applyNumberFormat="1" applyFill="1"/>
    <xf numFmtId="8" fontId="0" fillId="0" borderId="0" xfId="0" applyNumberFormat="1"/>
    <xf numFmtId="0" fontId="0" fillId="0" borderId="5" xfId="0" applyBorder="1" applyAlignment="1">
      <alignment horizontal="right"/>
    </xf>
    <xf numFmtId="0" fontId="0" fillId="0" borderId="6" xfId="0" applyBorder="1" applyAlignment="1">
      <alignment horizontal="right"/>
    </xf>
    <xf numFmtId="0" fontId="0" fillId="0" borderId="7" xfId="0" applyBorder="1" applyAlignment="1">
      <alignment horizontal="right"/>
    </xf>
    <xf numFmtId="0" fontId="0" fillId="0" borderId="2" xfId="0" applyFill="1" applyBorder="1"/>
    <xf numFmtId="9" fontId="0" fillId="0" borderId="0" xfId="2" applyFont="1" applyFill="1"/>
    <xf numFmtId="0" fontId="1" fillId="0" borderId="0" xfId="0" applyFont="1" applyBorder="1" applyAlignment="1">
      <alignment horizontal="center" vertical="center"/>
    </xf>
    <xf numFmtId="0" fontId="0" fillId="0" borderId="6" xfId="0" applyFill="1" applyBorder="1"/>
    <xf numFmtId="0" fontId="27" fillId="0" borderId="14" xfId="0" applyFont="1" applyBorder="1"/>
    <xf numFmtId="0" fontId="16" fillId="0" borderId="14" xfId="0" applyFont="1" applyBorder="1"/>
    <xf numFmtId="0" fontId="0" fillId="0" borderId="14" xfId="0" applyBorder="1"/>
    <xf numFmtId="164" fontId="0" fillId="0" borderId="0" xfId="1" applyNumberFormat="1" applyFont="1" applyAlignment="1">
      <alignment horizontal="right"/>
    </xf>
    <xf numFmtId="43" fontId="0" fillId="0" borderId="0" xfId="1" applyFont="1" applyAlignment="1">
      <alignment horizontal="center"/>
    </xf>
    <xf numFmtId="0" fontId="1" fillId="2" borderId="0" xfId="0" applyFont="1" applyFill="1"/>
    <xf numFmtId="15" fontId="0" fillId="2" borderId="0" xfId="0" applyNumberFormat="1" applyFill="1"/>
    <xf numFmtId="0" fontId="16" fillId="0" borderId="0" xfId="0" applyFont="1" applyBorder="1"/>
    <xf numFmtId="0" fontId="16" fillId="2" borderId="0" xfId="0" applyFont="1" applyFill="1" applyBorder="1"/>
    <xf numFmtId="0" fontId="9" fillId="0" borderId="4" xfId="4" applyFont="1" applyFill="1" applyBorder="1" applyAlignment="1">
      <alignment vertical="center" wrapText="1"/>
    </xf>
    <xf numFmtId="0" fontId="15" fillId="5" borderId="0" xfId="4" applyFont="1" applyFill="1" applyAlignment="1">
      <alignment vertical="center"/>
    </xf>
    <xf numFmtId="0" fontId="0" fillId="2" borderId="0" xfId="0" applyFill="1" applyAlignment="1">
      <alignment horizontal="left"/>
    </xf>
    <xf numFmtId="0" fontId="0" fillId="2" borderId="0" xfId="0" applyFill="1" applyBorder="1" applyAlignment="1">
      <alignment horizontal="right"/>
    </xf>
    <xf numFmtId="0" fontId="15" fillId="0" borderId="0" xfId="0" applyFont="1" applyFill="1"/>
    <xf numFmtId="9" fontId="19" fillId="7" borderId="0" xfId="0" applyNumberFormat="1" applyFont="1" applyFill="1" applyAlignment="1">
      <alignment vertical="center" wrapText="1"/>
    </xf>
    <xf numFmtId="0" fontId="18" fillId="0" borderId="0" xfId="0" applyFont="1"/>
    <xf numFmtId="0" fontId="0" fillId="2" borderId="0" xfId="0" applyFont="1" applyFill="1"/>
    <xf numFmtId="3" fontId="0" fillId="2" borderId="11" xfId="0" applyNumberFormat="1" applyFill="1" applyBorder="1"/>
    <xf numFmtId="0" fontId="0" fillId="2" borderId="11" xfId="0" applyFill="1" applyBorder="1"/>
    <xf numFmtId="0" fontId="0" fillId="0" borderId="8" xfId="0" applyBorder="1" applyAlignment="1">
      <alignment horizontal="right"/>
    </xf>
    <xf numFmtId="0" fontId="0" fillId="0" borderId="8" xfId="0" applyFont="1" applyBorder="1"/>
    <xf numFmtId="43" fontId="9" fillId="0" borderId="4" xfId="1" applyFont="1" applyFill="1" applyBorder="1" applyAlignment="1">
      <alignment vertical="center" wrapText="1"/>
    </xf>
    <xf numFmtId="43" fontId="9" fillId="0" borderId="1" xfId="1" applyFont="1" applyFill="1" applyBorder="1" applyAlignment="1">
      <alignment vertical="center" wrapText="1"/>
    </xf>
    <xf numFmtId="43" fontId="16" fillId="0" borderId="0" xfId="1" applyFont="1"/>
    <xf numFmtId="0" fontId="18" fillId="0" borderId="0" xfId="0" applyFont="1" applyAlignment="1">
      <alignment horizontal="left"/>
    </xf>
    <xf numFmtId="43" fontId="0" fillId="0" borderId="0" xfId="0" applyNumberFormat="1" applyFont="1" applyBorder="1"/>
    <xf numFmtId="43" fontId="1" fillId="0" borderId="0" xfId="1" applyFont="1" applyBorder="1"/>
    <xf numFmtId="0" fontId="28" fillId="0" borderId="14" xfId="0" applyFont="1" applyBorder="1"/>
    <xf numFmtId="0" fontId="0" fillId="0" borderId="0" xfId="0" applyFill="1" applyBorder="1" applyAlignment="1">
      <alignment horizontal="right"/>
    </xf>
    <xf numFmtId="9" fontId="9" fillId="7" borderId="0" xfId="0" applyNumberFormat="1" applyFont="1" applyFill="1" applyAlignment="1">
      <alignment vertical="center" wrapText="1"/>
    </xf>
    <xf numFmtId="0" fontId="9" fillId="7" borderId="0" xfId="0" applyFont="1" applyFill="1" applyAlignment="1">
      <alignment horizontal="right" vertical="center" wrapText="1"/>
    </xf>
    <xf numFmtId="41" fontId="13" fillId="7" borderId="24" xfId="4" applyNumberFormat="1" applyFont="1" applyFill="1" applyBorder="1" applyAlignment="1">
      <alignment horizontal="right" vertical="center" wrapText="1"/>
    </xf>
    <xf numFmtId="0" fontId="24" fillId="0" borderId="24" xfId="4" applyBorder="1" applyAlignment="1">
      <alignment horizontal="right" vertical="center" wrapText="1"/>
    </xf>
    <xf numFmtId="0" fontId="27" fillId="0" borderId="0" xfId="0" applyFont="1" applyBorder="1"/>
    <xf numFmtId="0" fontId="9" fillId="5" borderId="0" xfId="4" applyFont="1" applyFill="1" applyAlignment="1">
      <alignment vertical="center"/>
    </xf>
    <xf numFmtId="43" fontId="2" fillId="0" borderId="0" xfId="1" applyFont="1" applyFill="1"/>
    <xf numFmtId="0" fontId="18" fillId="0" borderId="0" xfId="0" applyFont="1" applyAlignment="1">
      <alignment horizontal="right"/>
    </xf>
    <xf numFmtId="14" fontId="0" fillId="2" borderId="8" xfId="0" applyNumberFormat="1" applyFill="1" applyBorder="1"/>
    <xf numFmtId="14" fontId="0" fillId="2" borderId="10" xfId="0" applyNumberFormat="1" applyFill="1" applyBorder="1"/>
    <xf numFmtId="0" fontId="23" fillId="2" borderId="0" xfId="0" applyFont="1" applyFill="1" applyAlignment="1">
      <alignment wrapText="1"/>
    </xf>
    <xf numFmtId="41" fontId="9" fillId="10" borderId="0" xfId="0" applyNumberFormat="1" applyFont="1" applyFill="1" applyBorder="1" applyAlignment="1">
      <alignment horizontal="right" vertical="center" wrapText="1"/>
    </xf>
    <xf numFmtId="0" fontId="9" fillId="7" borderId="98" xfId="0" applyFont="1" applyFill="1" applyBorder="1" applyAlignment="1">
      <alignment vertical="center" wrapText="1"/>
    </xf>
    <xf numFmtId="0" fontId="10" fillId="7" borderId="98" xfId="0" applyFont="1" applyFill="1" applyBorder="1" applyAlignment="1">
      <alignment vertical="center" wrapText="1"/>
    </xf>
    <xf numFmtId="0" fontId="9" fillId="7" borderId="99" xfId="0" applyFont="1" applyFill="1" applyBorder="1" applyAlignment="1">
      <alignment vertical="center" wrapText="1"/>
    </xf>
    <xf numFmtId="0" fontId="10" fillId="7" borderId="99" xfId="0" applyFont="1" applyFill="1" applyBorder="1" applyAlignment="1">
      <alignment vertical="center" wrapText="1"/>
    </xf>
    <xf numFmtId="0" fontId="10" fillId="7" borderId="100" xfId="0" applyFont="1" applyFill="1" applyBorder="1" applyAlignment="1">
      <alignment vertical="center" wrapText="1"/>
    </xf>
    <xf numFmtId="0" fontId="10" fillId="7" borderId="25" xfId="0" applyFont="1" applyFill="1" applyBorder="1" applyAlignment="1">
      <alignment horizontal="right" vertical="center" wrapText="1"/>
    </xf>
    <xf numFmtId="0" fontId="10" fillId="7" borderId="84" xfId="0" applyFont="1" applyFill="1" applyBorder="1" applyAlignment="1">
      <alignment horizontal="right" vertical="center" wrapText="1"/>
    </xf>
    <xf numFmtId="0" fontId="10" fillId="7" borderId="86" xfId="0" applyFont="1" applyFill="1" applyBorder="1" applyAlignment="1">
      <alignment horizontal="right" vertical="center" wrapText="1"/>
    </xf>
    <xf numFmtId="41" fontId="9" fillId="9" borderId="88" xfId="0" applyNumberFormat="1" applyFont="1" applyFill="1" applyBorder="1" applyAlignment="1">
      <alignment horizontal="right" vertical="center" wrapText="1"/>
    </xf>
    <xf numFmtId="41" fontId="9" fillId="7" borderId="94" xfId="0" applyNumberFormat="1" applyFont="1" applyFill="1" applyBorder="1" applyAlignment="1">
      <alignment horizontal="right" vertical="center" wrapText="1"/>
    </xf>
    <xf numFmtId="41" fontId="9" fillId="7" borderId="90" xfId="0" applyNumberFormat="1" applyFont="1" applyFill="1" applyBorder="1" applyAlignment="1">
      <alignment horizontal="right" vertical="center" wrapText="1"/>
    </xf>
    <xf numFmtId="41" fontId="9" fillId="9" borderId="90" xfId="0" applyNumberFormat="1" applyFont="1" applyFill="1" applyBorder="1" applyAlignment="1">
      <alignment horizontal="right" vertical="center" wrapText="1"/>
    </xf>
    <xf numFmtId="41" fontId="9" fillId="7" borderId="87" xfId="0" applyNumberFormat="1" applyFont="1" applyFill="1" applyBorder="1" applyAlignment="1">
      <alignment horizontal="right" vertical="center" wrapText="1"/>
    </xf>
    <xf numFmtId="41" fontId="9" fillId="7" borderId="88" xfId="0" applyNumberFormat="1" applyFont="1" applyFill="1" applyBorder="1" applyAlignment="1">
      <alignment horizontal="right" vertical="center" wrapText="1"/>
    </xf>
    <xf numFmtId="41" fontId="9" fillId="10" borderId="101" xfId="0" applyNumberFormat="1" applyFont="1" applyFill="1" applyBorder="1" applyAlignment="1">
      <alignment horizontal="right" vertical="center" wrapText="1"/>
    </xf>
    <xf numFmtId="41" fontId="9" fillId="10" borderId="91" xfId="0" applyNumberFormat="1" applyFont="1" applyFill="1" applyBorder="1" applyAlignment="1">
      <alignment horizontal="right" vertical="center" wrapText="1"/>
    </xf>
    <xf numFmtId="41" fontId="9" fillId="9" borderId="102" xfId="0" applyNumberFormat="1" applyFont="1" applyFill="1" applyBorder="1" applyAlignment="1">
      <alignment horizontal="right" vertical="center" wrapText="1"/>
    </xf>
    <xf numFmtId="41" fontId="9" fillId="9" borderId="95" xfId="0" applyNumberFormat="1" applyFont="1" applyFill="1" applyBorder="1" applyAlignment="1">
      <alignment horizontal="right" vertical="center" wrapText="1"/>
    </xf>
    <xf numFmtId="41" fontId="9" fillId="7" borderId="93" xfId="0" applyNumberFormat="1" applyFont="1" applyFill="1" applyBorder="1" applyAlignment="1">
      <alignment horizontal="right" vertical="center" wrapText="1"/>
    </xf>
    <xf numFmtId="41" fontId="9" fillId="7" borderId="103" xfId="0" applyNumberFormat="1" applyFont="1" applyFill="1" applyBorder="1" applyAlignment="1">
      <alignment horizontal="right" vertical="center" wrapText="1"/>
    </xf>
    <xf numFmtId="41" fontId="9" fillId="7" borderId="92" xfId="0" applyNumberFormat="1" applyFont="1" applyFill="1" applyBorder="1" applyAlignment="1">
      <alignment horizontal="right" vertical="center" wrapText="1"/>
    </xf>
    <xf numFmtId="41" fontId="9" fillId="10" borderId="104" xfId="0" applyNumberFormat="1" applyFont="1" applyFill="1" applyBorder="1" applyAlignment="1">
      <alignment horizontal="right" vertical="center" wrapText="1"/>
    </xf>
    <xf numFmtId="41" fontId="9" fillId="10" borderId="93" xfId="0" applyNumberFormat="1" applyFont="1" applyFill="1" applyBorder="1" applyAlignment="1">
      <alignment horizontal="right" vertical="center" wrapText="1"/>
    </xf>
    <xf numFmtId="41" fontId="9" fillId="9" borderId="92" xfId="0" applyNumberFormat="1" applyFont="1" applyFill="1" applyBorder="1" applyAlignment="1">
      <alignment horizontal="right" vertical="center" wrapText="1"/>
    </xf>
    <xf numFmtId="41" fontId="9" fillId="7" borderId="104" xfId="0" applyNumberFormat="1" applyFont="1" applyFill="1" applyBorder="1" applyAlignment="1">
      <alignment horizontal="right" vertical="center" wrapText="1"/>
    </xf>
    <xf numFmtId="41" fontId="13" fillId="10" borderId="102" xfId="0" applyNumberFormat="1" applyFont="1" applyFill="1" applyBorder="1" applyAlignment="1">
      <alignment horizontal="right" vertical="center" wrapText="1"/>
    </xf>
    <xf numFmtId="41" fontId="13" fillId="10" borderId="95" xfId="0" applyNumberFormat="1" applyFont="1" applyFill="1" applyBorder="1" applyAlignment="1">
      <alignment horizontal="right" vertical="center" wrapText="1"/>
    </xf>
    <xf numFmtId="41" fontId="13" fillId="9" borderId="103" xfId="0" applyNumberFormat="1" applyFont="1" applyFill="1" applyBorder="1" applyAlignment="1">
      <alignment horizontal="right" vertical="center" wrapText="1"/>
    </xf>
    <xf numFmtId="41" fontId="13" fillId="10" borderId="105" xfId="0" applyNumberFormat="1" applyFont="1" applyFill="1" applyBorder="1" applyAlignment="1">
      <alignment horizontal="right" vertical="center" wrapText="1"/>
    </xf>
    <xf numFmtId="41" fontId="13" fillId="10" borderId="97" xfId="0" applyNumberFormat="1" applyFont="1" applyFill="1" applyBorder="1" applyAlignment="1">
      <alignment horizontal="right" vertical="center" wrapText="1"/>
    </xf>
    <xf numFmtId="0" fontId="10" fillId="7" borderId="90" xfId="0" applyFont="1" applyFill="1" applyBorder="1" applyAlignment="1">
      <alignment horizontal="right" vertical="center" wrapText="1"/>
    </xf>
    <xf numFmtId="0" fontId="10" fillId="7" borderId="106" xfId="0" applyFont="1" applyFill="1" applyBorder="1" applyAlignment="1">
      <alignment horizontal="right" vertical="center" wrapText="1"/>
    </xf>
    <xf numFmtId="41" fontId="10" fillId="10" borderId="107" xfId="0" applyNumberFormat="1" applyFont="1" applyFill="1" applyBorder="1" applyAlignment="1">
      <alignment horizontal="right" vertical="center" wrapText="1"/>
    </xf>
    <xf numFmtId="41" fontId="10" fillId="7" borderId="108" xfId="0" applyNumberFormat="1" applyFont="1" applyFill="1" applyBorder="1" applyAlignment="1">
      <alignment horizontal="right" vertical="center" wrapText="1"/>
    </xf>
    <xf numFmtId="41" fontId="10" fillId="7" borderId="107" xfId="0" applyNumberFormat="1" applyFont="1" applyFill="1" applyBorder="1" applyAlignment="1">
      <alignment horizontal="right" vertical="center" wrapText="1"/>
    </xf>
    <xf numFmtId="41" fontId="10" fillId="10" borderId="109" xfId="0" applyNumberFormat="1" applyFont="1" applyFill="1" applyBorder="1" applyAlignment="1">
      <alignment horizontal="right" vertical="center" wrapText="1"/>
    </xf>
    <xf numFmtId="41" fontId="10" fillId="7" borderId="110" xfId="0" applyNumberFormat="1" applyFont="1" applyFill="1" applyBorder="1" applyAlignment="1">
      <alignment horizontal="right" vertical="center" wrapText="1"/>
    </xf>
    <xf numFmtId="41" fontId="10" fillId="10" borderId="111" xfId="0" applyNumberFormat="1" applyFont="1" applyFill="1" applyBorder="1" applyAlignment="1">
      <alignment horizontal="right" vertical="center" wrapText="1"/>
    </xf>
    <xf numFmtId="41" fontId="10" fillId="10" borderId="110" xfId="0" applyNumberFormat="1" applyFont="1" applyFill="1" applyBorder="1" applyAlignment="1">
      <alignment horizontal="right" vertical="center" wrapText="1"/>
    </xf>
    <xf numFmtId="41" fontId="10" fillId="7" borderId="111" xfId="0" applyNumberFormat="1" applyFont="1" applyFill="1" applyBorder="1" applyAlignment="1">
      <alignment horizontal="right" vertical="center" wrapText="1"/>
    </xf>
    <xf numFmtId="41" fontId="14" fillId="10" borderId="21" xfId="0" applyNumberFormat="1" applyFont="1" applyFill="1" applyBorder="1" applyAlignment="1">
      <alignment horizontal="right" vertical="center" wrapText="1"/>
    </xf>
    <xf numFmtId="43" fontId="1" fillId="0" borderId="0" xfId="0" applyNumberFormat="1" applyFont="1" applyBorder="1"/>
    <xf numFmtId="0" fontId="0" fillId="2" borderId="0" xfId="0" applyFill="1" applyAlignment="1"/>
    <xf numFmtId="0" fontId="9" fillId="2" borderId="0" xfId="0" applyFont="1" applyFill="1" applyAlignment="1">
      <alignment horizontal="right"/>
    </xf>
    <xf numFmtId="43" fontId="0" fillId="0" borderId="0" xfId="0" applyNumberFormat="1" applyAlignment="1">
      <alignment horizontal="left"/>
    </xf>
    <xf numFmtId="9" fontId="0" fillId="0" borderId="11" xfId="2" applyFont="1" applyBorder="1"/>
    <xf numFmtId="0" fontId="23" fillId="2" borderId="0" xfId="3" applyFont="1" applyFill="1" applyAlignment="1">
      <alignment horizontal="right"/>
    </xf>
    <xf numFmtId="0" fontId="9" fillId="0" borderId="0" xfId="0" applyFont="1" applyAlignment="1">
      <alignment horizontal="left"/>
    </xf>
    <xf numFmtId="16" fontId="0" fillId="0" borderId="0" xfId="0" applyNumberFormat="1"/>
    <xf numFmtId="43" fontId="23" fillId="0" borderId="1" xfId="0" applyNumberFormat="1" applyFont="1" applyBorder="1" applyAlignment="1">
      <alignment horizontal="right"/>
    </xf>
    <xf numFmtId="0" fontId="16" fillId="2" borderId="0" xfId="0" applyFont="1" applyFill="1"/>
    <xf numFmtId="0" fontId="9" fillId="2" borderId="0" xfId="4" applyFont="1" applyFill="1" applyAlignment="1">
      <alignment vertical="center"/>
    </xf>
    <xf numFmtId="0" fontId="9" fillId="0" borderId="0" xfId="4" applyFont="1" applyFill="1" applyAlignment="1">
      <alignment vertical="center"/>
    </xf>
    <xf numFmtId="0" fontId="10" fillId="7" borderId="0" xfId="4" applyFont="1" applyFill="1" applyAlignment="1">
      <alignment vertical="center"/>
    </xf>
    <xf numFmtId="0" fontId="9" fillId="7" borderId="0" xfId="4" applyFont="1" applyFill="1" applyAlignment="1">
      <alignment vertical="center"/>
    </xf>
    <xf numFmtId="0" fontId="9" fillId="7" borderId="0" xfId="4" applyFont="1" applyFill="1" applyAlignment="1">
      <alignment vertical="center" wrapText="1"/>
    </xf>
    <xf numFmtId="0" fontId="15" fillId="5" borderId="0" xfId="4" applyFont="1" applyFill="1" applyAlignment="1">
      <alignment vertical="center" wrapText="1"/>
    </xf>
    <xf numFmtId="0" fontId="1" fillId="7" borderId="0" xfId="0" applyFont="1" applyFill="1" applyAlignment="1">
      <alignment horizontal="center"/>
    </xf>
    <xf numFmtId="0" fontId="0" fillId="7" borderId="0" xfId="0" applyFill="1" applyAlignment="1">
      <alignment horizontal="center"/>
    </xf>
    <xf numFmtId="0" fontId="0" fillId="7" borderId="1" xfId="0" applyFill="1" applyBorder="1"/>
    <xf numFmtId="43" fontId="1" fillId="7" borderId="0" xfId="0" applyNumberFormat="1" applyFont="1" applyFill="1"/>
    <xf numFmtId="43" fontId="0" fillId="7" borderId="1" xfId="1" applyFont="1" applyFill="1" applyBorder="1"/>
    <xf numFmtId="43" fontId="23" fillId="0" borderId="0" xfId="0" applyNumberFormat="1" applyFont="1" applyFill="1"/>
    <xf numFmtId="41" fontId="9" fillId="2" borderId="25" xfId="4" applyNumberFormat="1" applyFont="1" applyFill="1" applyBorder="1" applyAlignment="1">
      <alignment horizontal="right" vertical="center" wrapText="1"/>
    </xf>
    <xf numFmtId="41" fontId="9" fillId="2" borderId="33" xfId="4" applyNumberFormat="1" applyFont="1" applyFill="1" applyBorder="1" applyAlignment="1">
      <alignment horizontal="right" vertical="center" wrapText="1"/>
    </xf>
    <xf numFmtId="0" fontId="16" fillId="0" borderId="5" xfId="0" applyFont="1" applyBorder="1"/>
    <xf numFmtId="0" fontId="0" fillId="5" borderId="0" xfId="0" applyFill="1" applyBorder="1"/>
    <xf numFmtId="0" fontId="16" fillId="5" borderId="0" xfId="0" applyFont="1" applyFill="1" applyBorder="1"/>
    <xf numFmtId="0" fontId="16" fillId="0" borderId="0" xfId="0" applyFont="1" applyFill="1" applyBorder="1" applyAlignment="1">
      <alignment vertical="top"/>
    </xf>
    <xf numFmtId="9" fontId="0" fillId="2" borderId="8" xfId="0" applyNumberFormat="1" applyFill="1" applyBorder="1"/>
    <xf numFmtId="9" fontId="0" fillId="2" borderId="10" xfId="0" applyNumberFormat="1" applyFill="1" applyBorder="1"/>
    <xf numFmtId="43" fontId="0" fillId="2" borderId="2" xfId="1" applyFont="1" applyFill="1" applyBorder="1"/>
    <xf numFmtId="43" fontId="18" fillId="0" borderId="0" xfId="0" applyNumberFormat="1" applyFont="1"/>
    <xf numFmtId="0" fontId="16" fillId="0" borderId="0" xfId="1" applyNumberFormat="1" applyFont="1" applyAlignment="1"/>
    <xf numFmtId="41" fontId="9" fillId="2" borderId="103" xfId="0" applyNumberFormat="1" applyFont="1" applyFill="1" applyBorder="1" applyAlignment="1">
      <alignment horizontal="right" vertical="center" wrapText="1"/>
    </xf>
    <xf numFmtId="41" fontId="9" fillId="2" borderId="65" xfId="0" applyNumberFormat="1" applyFont="1" applyFill="1" applyBorder="1" applyAlignment="1">
      <alignment horizontal="right" vertical="center" wrapText="1"/>
    </xf>
    <xf numFmtId="41" fontId="9" fillId="2" borderId="87" xfId="0" applyNumberFormat="1" applyFont="1" applyFill="1" applyBorder="1" applyAlignment="1">
      <alignment horizontal="right" vertical="center" wrapText="1"/>
    </xf>
    <xf numFmtId="41" fontId="9" fillId="2" borderId="34" xfId="0" applyNumberFormat="1" applyFont="1" applyFill="1" applyBorder="1" applyAlignment="1">
      <alignment horizontal="right" vertical="center" wrapText="1"/>
    </xf>
    <xf numFmtId="41" fontId="9" fillId="2" borderId="94" xfId="0" applyNumberFormat="1" applyFont="1" applyFill="1" applyBorder="1" applyAlignment="1">
      <alignment horizontal="right" vertical="center" wrapText="1"/>
    </xf>
    <xf numFmtId="41" fontId="9" fillId="2" borderId="36" xfId="0" applyNumberFormat="1" applyFont="1" applyFill="1" applyBorder="1" applyAlignment="1">
      <alignment horizontal="right" vertical="center" wrapText="1"/>
    </xf>
    <xf numFmtId="41" fontId="9" fillId="2" borderId="102" xfId="0" applyNumberFormat="1" applyFont="1" applyFill="1" applyBorder="1" applyAlignment="1">
      <alignment horizontal="right" vertical="center" wrapText="1"/>
    </xf>
    <xf numFmtId="41" fontId="9" fillId="2" borderId="64" xfId="0" applyNumberFormat="1" applyFont="1" applyFill="1" applyBorder="1" applyAlignment="1">
      <alignment horizontal="right" vertical="center" wrapText="1"/>
    </xf>
    <xf numFmtId="0" fontId="10" fillId="7" borderId="8" xfId="0" applyFont="1" applyFill="1" applyBorder="1" applyAlignment="1">
      <alignment vertical="center"/>
    </xf>
    <xf numFmtId="43" fontId="23" fillId="2" borderId="0" xfId="1" applyFont="1" applyFill="1"/>
    <xf numFmtId="0" fontId="1" fillId="0" borderId="0" xfId="0" applyFont="1" applyFill="1"/>
    <xf numFmtId="0" fontId="1" fillId="0" borderId="0" xfId="0" applyFont="1" applyFill="1" applyAlignment="1">
      <alignment horizontal="right"/>
    </xf>
    <xf numFmtId="0" fontId="16" fillId="0" borderId="0" xfId="0" applyFont="1" applyAlignment="1">
      <alignment vertical="top" wrapText="1"/>
    </xf>
    <xf numFmtId="0" fontId="29" fillId="0" borderId="0" xfId="0" applyFont="1"/>
    <xf numFmtId="3" fontId="0" fillId="2" borderId="0" xfId="1" applyNumberFormat="1" applyFont="1" applyFill="1"/>
    <xf numFmtId="0" fontId="29" fillId="2" borderId="0" xfId="0" applyFont="1" applyFill="1"/>
    <xf numFmtId="0" fontId="0" fillId="2" borderId="8" xfId="0" applyFont="1" applyFill="1" applyBorder="1" applyAlignment="1">
      <alignment wrapText="1"/>
    </xf>
    <xf numFmtId="0" fontId="0" fillId="2" borderId="0" xfId="0" applyFont="1" applyFill="1" applyBorder="1" applyAlignment="1">
      <alignment wrapText="1"/>
    </xf>
    <xf numFmtId="0" fontId="0" fillId="2" borderId="9" xfId="0" applyFont="1" applyFill="1" applyBorder="1" applyAlignment="1">
      <alignment wrapText="1"/>
    </xf>
    <xf numFmtId="0" fontId="0" fillId="2" borderId="8" xfId="0" applyFill="1" applyBorder="1" applyAlignment="1">
      <alignment vertical="top" wrapText="1"/>
    </xf>
    <xf numFmtId="0" fontId="0" fillId="2" borderId="0" xfId="0" applyFill="1" applyBorder="1" applyAlignment="1">
      <alignment vertical="top" wrapText="1"/>
    </xf>
    <xf numFmtId="0" fontId="0" fillId="2" borderId="9" xfId="0" applyFill="1" applyBorder="1" applyAlignment="1">
      <alignment vertical="top" wrapText="1"/>
    </xf>
    <xf numFmtId="0" fontId="0" fillId="0" borderId="0" xfId="0" applyAlignment="1">
      <alignment horizontal="left" vertical="top" wrapText="1"/>
    </xf>
    <xf numFmtId="0" fontId="10" fillId="7" borderId="44" xfId="0" applyFont="1" applyFill="1" applyBorder="1" applyAlignment="1">
      <alignment horizontal="center" vertical="center" wrapText="1"/>
    </xf>
    <xf numFmtId="0" fontId="10" fillId="7" borderId="45" xfId="0" applyFont="1" applyFill="1" applyBorder="1" applyAlignment="1">
      <alignment horizontal="center" vertical="center" wrapText="1"/>
    </xf>
    <xf numFmtId="0" fontId="15" fillId="7" borderId="0" xfId="0" applyFont="1" applyFill="1" applyAlignment="1">
      <alignment horizontal="left" vertical="center" wrapText="1"/>
    </xf>
    <xf numFmtId="0" fontId="8" fillId="8" borderId="25" xfId="0" applyFont="1" applyFill="1" applyBorder="1" applyAlignment="1">
      <alignment horizontal="center" vertical="center" wrapText="1"/>
    </xf>
    <xf numFmtId="0" fontId="8" fillId="8" borderId="26" xfId="0" applyFont="1" applyFill="1" applyBorder="1" applyAlignment="1">
      <alignment horizontal="center" vertical="center" wrapText="1"/>
    </xf>
    <xf numFmtId="0" fontId="8" fillId="8" borderId="28" xfId="0" applyFont="1" applyFill="1" applyBorder="1" applyAlignment="1">
      <alignment horizontal="center" vertical="center" wrapText="1"/>
    </xf>
    <xf numFmtId="0" fontId="10" fillId="7" borderId="67" xfId="0" applyFont="1" applyFill="1" applyBorder="1" applyAlignment="1">
      <alignment horizontal="center" vertical="center" wrapText="1"/>
    </xf>
    <xf numFmtId="0" fontId="9" fillId="7" borderId="0" xfId="0" applyFont="1" applyFill="1" applyAlignment="1">
      <alignment horizontal="left" vertical="center" wrapText="1"/>
    </xf>
    <xf numFmtId="0" fontId="11" fillId="0" borderId="26" xfId="0" applyFont="1" applyBorder="1" applyAlignment="1">
      <alignment horizontal="center" vertical="center" wrapText="1"/>
    </xf>
    <xf numFmtId="0" fontId="11" fillId="0" borderId="28" xfId="0" applyFont="1" applyBorder="1" applyAlignment="1">
      <alignment horizontal="center" vertical="center" wrapText="1"/>
    </xf>
    <xf numFmtId="0" fontId="1" fillId="0" borderId="0" xfId="0" applyFont="1" applyAlignment="1">
      <alignment horizontal="center" wrapText="1"/>
    </xf>
    <xf numFmtId="0" fontId="10" fillId="7" borderId="4" xfId="0" applyFont="1" applyFill="1" applyBorder="1" applyAlignment="1">
      <alignment horizontal="center" vertical="center" wrapText="1"/>
    </xf>
    <xf numFmtId="0" fontId="15" fillId="0" borderId="0" xfId="0" applyFont="1" applyFill="1" applyBorder="1" applyAlignment="1">
      <alignment horizontal="left" vertical="top" wrapText="1"/>
    </xf>
    <xf numFmtId="0" fontId="17" fillId="0" borderId="5" xfId="0" applyFont="1" applyBorder="1" applyAlignment="1">
      <alignment horizontal="left" wrapText="1"/>
    </xf>
    <xf numFmtId="0" fontId="17" fillId="0" borderId="6" xfId="0" applyFont="1" applyBorder="1" applyAlignment="1">
      <alignment horizontal="left" wrapText="1"/>
    </xf>
    <xf numFmtId="0" fontId="17" fillId="0" borderId="8" xfId="0" applyFont="1" applyBorder="1" applyAlignment="1">
      <alignment horizontal="left" wrapText="1"/>
    </xf>
    <xf numFmtId="0" fontId="17" fillId="0" borderId="0" xfId="0" applyFont="1" applyBorder="1" applyAlignment="1">
      <alignment horizontal="left" wrapText="1"/>
    </xf>
    <xf numFmtId="0" fontId="16" fillId="0" borderId="5" xfId="0" applyFont="1" applyBorder="1" applyAlignment="1">
      <alignment horizontal="left" vertical="top" wrapText="1"/>
    </xf>
    <xf numFmtId="0" fontId="16" fillId="0" borderId="6" xfId="0" applyFont="1" applyBorder="1" applyAlignment="1">
      <alignment horizontal="left" vertical="top" wrapText="1"/>
    </xf>
    <xf numFmtId="0" fontId="16" fillId="0" borderId="7" xfId="0" applyFont="1" applyBorder="1" applyAlignment="1">
      <alignment horizontal="left" vertical="top" wrapText="1"/>
    </xf>
    <xf numFmtId="0" fontId="16" fillId="0" borderId="8" xfId="0" applyFont="1" applyBorder="1" applyAlignment="1">
      <alignment horizontal="left" vertical="top" wrapText="1"/>
    </xf>
    <xf numFmtId="0" fontId="16" fillId="0" borderId="0" xfId="0" applyFont="1" applyBorder="1" applyAlignment="1">
      <alignment horizontal="left" vertical="top" wrapText="1"/>
    </xf>
    <xf numFmtId="0" fontId="16" fillId="0" borderId="9" xfId="0" applyFont="1" applyBorder="1" applyAlignment="1">
      <alignment horizontal="left" vertical="top" wrapText="1"/>
    </xf>
    <xf numFmtId="0" fontId="16" fillId="0" borderId="10" xfId="0" applyFont="1" applyBorder="1" applyAlignment="1">
      <alignment horizontal="left" vertical="top" wrapText="1"/>
    </xf>
    <xf numFmtId="0" fontId="16" fillId="0" borderId="2" xfId="0" applyFont="1" applyBorder="1" applyAlignment="1">
      <alignment horizontal="left" vertical="top" wrapText="1"/>
    </xf>
    <xf numFmtId="0" fontId="16" fillId="0" borderId="11" xfId="0" applyFont="1" applyBorder="1" applyAlignment="1">
      <alignment horizontal="left" vertical="top" wrapText="1"/>
    </xf>
    <xf numFmtId="0" fontId="16" fillId="0" borderId="0" xfId="0" applyFont="1" applyAlignment="1">
      <alignment horizontal="left" vertical="top" wrapText="1"/>
    </xf>
    <xf numFmtId="0" fontId="16" fillId="0" borderId="0" xfId="0" applyFont="1" applyAlignment="1">
      <alignment horizontal="left" wrapText="1"/>
    </xf>
    <xf numFmtId="0" fontId="0" fillId="2" borderId="5" xfId="0" applyFill="1" applyBorder="1" applyAlignment="1">
      <alignment horizontal="left" vertical="top" wrapText="1"/>
    </xf>
    <xf numFmtId="0" fontId="0" fillId="2" borderId="7" xfId="0" applyFill="1" applyBorder="1" applyAlignment="1">
      <alignment horizontal="left" vertical="top"/>
    </xf>
    <xf numFmtId="0" fontId="0" fillId="2" borderId="8" xfId="0" applyFill="1" applyBorder="1" applyAlignment="1">
      <alignment horizontal="left" vertical="top"/>
    </xf>
    <xf numFmtId="0" fontId="0" fillId="2" borderId="9" xfId="0" applyFill="1" applyBorder="1" applyAlignment="1">
      <alignment horizontal="left" vertical="top"/>
    </xf>
    <xf numFmtId="0" fontId="0" fillId="2" borderId="10" xfId="0" applyFill="1" applyBorder="1" applyAlignment="1">
      <alignment horizontal="left" vertical="top"/>
    </xf>
    <xf numFmtId="0" fontId="0" fillId="2" borderId="11" xfId="0" applyFill="1" applyBorder="1" applyAlignment="1">
      <alignment horizontal="left" vertical="top"/>
    </xf>
    <xf numFmtId="0" fontId="1" fillId="0" borderId="5" xfId="0" applyFont="1" applyBorder="1" applyAlignment="1">
      <alignment horizontal="left" wrapText="1"/>
    </xf>
    <xf numFmtId="0" fontId="1" fillId="0" borderId="6" xfId="0" applyFont="1" applyBorder="1" applyAlignment="1">
      <alignment horizontal="left" wrapText="1"/>
    </xf>
    <xf numFmtId="0" fontId="1" fillId="0" borderId="8" xfId="0" applyFont="1" applyBorder="1" applyAlignment="1">
      <alignment horizontal="left" wrapText="1"/>
    </xf>
    <xf numFmtId="0" fontId="1" fillId="0" borderId="0" xfId="0" applyFont="1" applyBorder="1" applyAlignment="1">
      <alignment horizontal="left" wrapText="1"/>
    </xf>
    <xf numFmtId="0" fontId="1" fillId="0" borderId="5" xfId="0" applyFont="1" applyFill="1" applyBorder="1" applyAlignment="1">
      <alignment horizontal="left" vertical="top" wrapText="1"/>
    </xf>
    <xf numFmtId="0" fontId="1" fillId="0" borderId="6" xfId="0" applyFont="1" applyFill="1" applyBorder="1" applyAlignment="1">
      <alignment horizontal="left" vertical="top" wrapText="1"/>
    </xf>
    <xf numFmtId="0" fontId="1" fillId="0" borderId="7" xfId="0" applyFont="1" applyFill="1" applyBorder="1" applyAlignment="1">
      <alignment horizontal="left" vertical="top" wrapText="1"/>
    </xf>
    <xf numFmtId="0" fontId="0" fillId="0" borderId="8" xfId="0" applyFont="1" applyFill="1" applyBorder="1" applyAlignment="1">
      <alignment horizontal="left" vertical="top" wrapText="1"/>
    </xf>
    <xf numFmtId="0" fontId="0" fillId="0" borderId="0" xfId="0" applyFont="1" applyFill="1" applyBorder="1" applyAlignment="1">
      <alignment horizontal="left" vertical="top" wrapText="1"/>
    </xf>
    <xf numFmtId="0" fontId="0" fillId="0" borderId="9" xfId="0" applyFont="1" applyFill="1" applyBorder="1" applyAlignment="1">
      <alignment horizontal="left" vertical="top" wrapText="1"/>
    </xf>
    <xf numFmtId="0" fontId="1" fillId="0" borderId="8" xfId="0" applyFont="1" applyFill="1" applyBorder="1" applyAlignment="1">
      <alignment horizontal="left" vertical="top" wrapText="1"/>
    </xf>
    <xf numFmtId="0" fontId="1" fillId="0" borderId="0" xfId="0" applyFont="1" applyFill="1" applyBorder="1" applyAlignment="1">
      <alignment horizontal="left" vertical="top" wrapText="1"/>
    </xf>
    <xf numFmtId="0" fontId="1" fillId="0" borderId="9" xfId="0" applyFont="1" applyFill="1" applyBorder="1" applyAlignment="1">
      <alignment horizontal="left" vertical="top" wrapText="1"/>
    </xf>
    <xf numFmtId="0" fontId="0" fillId="0" borderId="8" xfId="0" applyFont="1" applyFill="1" applyBorder="1" applyAlignment="1">
      <alignment horizontal="left" vertical="top"/>
    </xf>
    <xf numFmtId="0" fontId="0" fillId="0" borderId="0" xfId="0" applyFont="1" applyFill="1" applyBorder="1" applyAlignment="1">
      <alignment horizontal="left" vertical="top"/>
    </xf>
    <xf numFmtId="0" fontId="0" fillId="0" borderId="9" xfId="0" applyFont="1" applyFill="1" applyBorder="1" applyAlignment="1">
      <alignment horizontal="left" vertical="top"/>
    </xf>
    <xf numFmtId="0" fontId="16" fillId="0" borderId="8" xfId="0" applyFont="1" applyBorder="1" applyAlignment="1">
      <alignment horizontal="left" wrapText="1"/>
    </xf>
    <xf numFmtId="0" fontId="16" fillId="0" borderId="8" xfId="0" applyFont="1" applyBorder="1" applyAlignment="1">
      <alignment horizontal="left" vertical="center" wrapText="1"/>
    </xf>
    <xf numFmtId="0" fontId="16" fillId="0" borderId="0" xfId="0" applyFont="1" applyAlignment="1">
      <alignment horizontal="left" vertical="center" wrapText="1"/>
    </xf>
    <xf numFmtId="0" fontId="1" fillId="0" borderId="8" xfId="0" applyFont="1" applyFill="1" applyBorder="1" applyAlignment="1">
      <alignment horizontal="left" vertical="top"/>
    </xf>
    <xf numFmtId="0" fontId="1" fillId="0" borderId="0" xfId="0" applyFont="1" applyFill="1" applyBorder="1" applyAlignment="1">
      <alignment horizontal="left" vertical="top"/>
    </xf>
    <xf numFmtId="0" fontId="1" fillId="0" borderId="9" xfId="0" applyFont="1" applyFill="1" applyBorder="1" applyAlignment="1">
      <alignment horizontal="left" vertical="top"/>
    </xf>
    <xf numFmtId="0" fontId="0" fillId="0" borderId="8" xfId="0" applyFill="1" applyBorder="1" applyAlignment="1">
      <alignment horizontal="left" vertical="top" wrapText="1"/>
    </xf>
    <xf numFmtId="0" fontId="0" fillId="0" borderId="0" xfId="0" applyFill="1" applyBorder="1" applyAlignment="1">
      <alignment horizontal="left" vertical="top" wrapText="1"/>
    </xf>
    <xf numFmtId="0" fontId="0" fillId="0" borderId="9" xfId="0" applyFill="1" applyBorder="1" applyAlignment="1">
      <alignment horizontal="left" vertical="top" wrapText="1"/>
    </xf>
    <xf numFmtId="0" fontId="0" fillId="0" borderId="10" xfId="0" applyFill="1" applyBorder="1" applyAlignment="1">
      <alignment horizontal="left" vertical="top" wrapText="1"/>
    </xf>
    <xf numFmtId="0" fontId="0" fillId="0" borderId="2" xfId="0" applyFill="1" applyBorder="1" applyAlignment="1">
      <alignment horizontal="left" vertical="top" wrapText="1"/>
    </xf>
    <xf numFmtId="0" fontId="0" fillId="0" borderId="11" xfId="0" applyFill="1" applyBorder="1" applyAlignment="1">
      <alignment horizontal="left" vertical="top" wrapText="1"/>
    </xf>
    <xf numFmtId="0" fontId="0" fillId="0" borderId="10" xfId="0" applyFont="1" applyFill="1" applyBorder="1" applyAlignment="1">
      <alignment horizontal="left" vertical="top"/>
    </xf>
    <xf numFmtId="0" fontId="0" fillId="0" borderId="2" xfId="0" applyFont="1" applyFill="1" applyBorder="1" applyAlignment="1">
      <alignment horizontal="left" vertical="top"/>
    </xf>
    <xf numFmtId="0" fontId="0" fillId="0" borderId="11" xfId="0" applyFont="1" applyFill="1" applyBorder="1" applyAlignment="1">
      <alignment horizontal="left" vertical="top"/>
    </xf>
    <xf numFmtId="0" fontId="0" fillId="0" borderId="0" xfId="0" applyAlignment="1">
      <alignment horizontal="left" vertical="top"/>
    </xf>
    <xf numFmtId="0" fontId="1" fillId="4" borderId="5" xfId="0" applyFont="1" applyFill="1" applyBorder="1" applyAlignment="1">
      <alignment horizontal="left"/>
    </xf>
    <xf numFmtId="0" fontId="1" fillId="4" borderId="7" xfId="0" applyFont="1" applyFill="1" applyBorder="1" applyAlignment="1">
      <alignment horizontal="left"/>
    </xf>
    <xf numFmtId="0" fontId="0" fillId="4" borderId="15" xfId="0" applyFill="1" applyBorder="1" applyAlignment="1">
      <alignment horizontal="left"/>
    </xf>
    <xf numFmtId="0" fontId="0" fillId="4" borderId="17" xfId="0" applyFill="1" applyBorder="1" applyAlignment="1">
      <alignment horizontal="left"/>
    </xf>
    <xf numFmtId="0" fontId="0" fillId="4" borderId="16" xfId="0" applyFill="1" applyBorder="1" applyAlignment="1">
      <alignment horizontal="left"/>
    </xf>
    <xf numFmtId="0" fontId="16" fillId="0" borderId="0" xfId="0" applyFont="1" applyBorder="1" applyAlignment="1">
      <alignment horizontal="left" wrapText="1"/>
    </xf>
    <xf numFmtId="0" fontId="16" fillId="0" borderId="9" xfId="0" applyFont="1" applyBorder="1" applyAlignment="1">
      <alignment horizontal="left" wrapText="1"/>
    </xf>
    <xf numFmtId="0" fontId="16" fillId="0" borderId="10" xfId="0" applyFont="1" applyBorder="1" applyAlignment="1">
      <alignment horizontal="left" wrapText="1"/>
    </xf>
    <xf numFmtId="0" fontId="16" fillId="0" borderId="2" xfId="0" applyFont="1" applyBorder="1" applyAlignment="1">
      <alignment horizontal="left" wrapText="1"/>
    </xf>
    <xf numFmtId="0" fontId="16" fillId="0" borderId="11" xfId="0" applyFont="1" applyBorder="1" applyAlignment="1">
      <alignment horizontal="left" wrapText="1"/>
    </xf>
    <xf numFmtId="0" fontId="1" fillId="0" borderId="0" xfId="0" applyFont="1" applyAlignment="1">
      <alignment horizontal="center"/>
    </xf>
    <xf numFmtId="0" fontId="8" fillId="8" borderId="25" xfId="4" applyFont="1" applyFill="1" applyBorder="1" applyAlignment="1">
      <alignment horizontal="center" vertical="center" wrapText="1"/>
    </xf>
    <xf numFmtId="0" fontId="11" fillId="0" borderId="26" xfId="4" applyFont="1" applyBorder="1" applyAlignment="1">
      <alignment horizontal="center" vertical="center" wrapText="1"/>
    </xf>
    <xf numFmtId="0" fontId="11" fillId="0" borderId="28" xfId="4" applyFont="1" applyBorder="1" applyAlignment="1">
      <alignment horizontal="center" vertical="center" wrapText="1"/>
    </xf>
    <xf numFmtId="41" fontId="13" fillId="7" borderId="24" xfId="4" applyNumberFormat="1" applyFont="1" applyFill="1" applyBorder="1" applyAlignment="1">
      <alignment horizontal="right" vertical="center" wrapText="1"/>
    </xf>
    <xf numFmtId="0" fontId="24" fillId="0" borderId="24" xfId="4" applyBorder="1" applyAlignment="1">
      <alignment horizontal="right" vertical="center" wrapText="1"/>
    </xf>
    <xf numFmtId="0" fontId="1" fillId="0" borderId="8" xfId="0" applyFont="1" applyBorder="1" applyAlignment="1">
      <alignment horizontal="center" vertical="center"/>
    </xf>
    <xf numFmtId="0" fontId="1" fillId="0" borderId="10" xfId="0" applyFont="1" applyBorder="1" applyAlignment="1">
      <alignment horizontal="center" vertical="center"/>
    </xf>
  </cellXfs>
  <cellStyles count="5">
    <cellStyle name="Comma" xfId="1" builtinId="3"/>
    <cellStyle name="Hyperlink" xfId="3" builtinId="8"/>
    <cellStyle name="Normal" xfId="0" builtinId="0"/>
    <cellStyle name="Normal 2" xfId="4" xr:uid="{BA63B85B-8C8A-480D-A6D9-9B7200E56EB9}"/>
    <cellStyle name="Percent" xfId="2" builtinId="5"/>
  </cellStyles>
  <dxfs count="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sheetMetadata" Target="metadata.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2.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6.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3.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4.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1.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19</xdr:col>
      <xdr:colOff>0</xdr:colOff>
      <xdr:row>13</xdr:row>
      <xdr:rowOff>0</xdr:rowOff>
    </xdr:from>
    <xdr:to>
      <xdr:col>24</xdr:col>
      <xdr:colOff>271106</xdr:colOff>
      <xdr:row>37</xdr:row>
      <xdr:rowOff>12923</xdr:rowOff>
    </xdr:to>
    <xdr:pic>
      <xdr:nvPicPr>
        <xdr:cNvPr id="2" name="Picture 1">
          <a:extLst>
            <a:ext uri="{FF2B5EF4-FFF2-40B4-BE49-F238E27FC236}">
              <a16:creationId xmlns:a16="http://schemas.microsoft.com/office/drawing/2014/main" id="{D3B59E46-4292-4060-9354-9282E9046FF3}"/>
            </a:ext>
          </a:extLst>
        </xdr:cNvPr>
        <xdr:cNvPicPr>
          <a:picLocks noChangeAspect="1"/>
        </xdr:cNvPicPr>
      </xdr:nvPicPr>
      <xdr:blipFill>
        <a:blip xmlns:r="http://schemas.openxmlformats.org/officeDocument/2006/relationships" r:embed="rId1"/>
        <a:stretch>
          <a:fillRect/>
        </a:stretch>
      </xdr:blipFill>
      <xdr:spPr>
        <a:xfrm>
          <a:off x="17324917" y="2286000"/>
          <a:ext cx="3340272" cy="43309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52</xdr:col>
      <xdr:colOff>92763</xdr:colOff>
      <xdr:row>2</xdr:row>
      <xdr:rowOff>185623</xdr:rowOff>
    </xdr:from>
    <xdr:to>
      <xdr:col>61</xdr:col>
      <xdr:colOff>81400</xdr:colOff>
      <xdr:row>21</xdr:row>
      <xdr:rowOff>320016</xdr:rowOff>
    </xdr:to>
    <xdr:pic>
      <xdr:nvPicPr>
        <xdr:cNvPr id="2" name="Picture 1">
          <a:extLst>
            <a:ext uri="{FF2B5EF4-FFF2-40B4-BE49-F238E27FC236}">
              <a16:creationId xmlns:a16="http://schemas.microsoft.com/office/drawing/2014/main" id="{F7D1A315-4F88-427F-AC0C-3E9C77BD341E}"/>
            </a:ext>
          </a:extLst>
        </xdr:cNvPr>
        <xdr:cNvPicPr>
          <a:picLocks noChangeAspect="1"/>
        </xdr:cNvPicPr>
      </xdr:nvPicPr>
      <xdr:blipFill>
        <a:blip xmlns:r="http://schemas.openxmlformats.org/officeDocument/2006/relationships" r:embed="rId1"/>
        <a:stretch>
          <a:fillRect/>
        </a:stretch>
      </xdr:blipFill>
      <xdr:spPr>
        <a:xfrm>
          <a:off x="41918895" y="592981"/>
          <a:ext cx="5487977" cy="40761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583099</xdr:colOff>
      <xdr:row>2</xdr:row>
      <xdr:rowOff>161925</xdr:rowOff>
    </xdr:from>
    <xdr:to>
      <xdr:col>22</xdr:col>
      <xdr:colOff>152400</xdr:colOff>
      <xdr:row>19</xdr:row>
      <xdr:rowOff>152752</xdr:rowOff>
    </xdr:to>
    <xdr:pic>
      <xdr:nvPicPr>
        <xdr:cNvPr id="2" name="Picture 1">
          <a:extLst>
            <a:ext uri="{FF2B5EF4-FFF2-40B4-BE49-F238E27FC236}">
              <a16:creationId xmlns:a16="http://schemas.microsoft.com/office/drawing/2014/main" id="{71C8F0F4-24E2-763B-6E37-139493E42536}"/>
            </a:ext>
          </a:extLst>
        </xdr:cNvPr>
        <xdr:cNvPicPr>
          <a:picLocks noChangeAspect="1"/>
        </xdr:cNvPicPr>
      </xdr:nvPicPr>
      <xdr:blipFill>
        <a:blip xmlns:r="http://schemas.openxmlformats.org/officeDocument/2006/relationships" r:embed="rId1"/>
        <a:stretch>
          <a:fillRect/>
        </a:stretch>
      </xdr:blipFill>
      <xdr:spPr>
        <a:xfrm>
          <a:off x="9117499" y="523875"/>
          <a:ext cx="4446101" cy="306740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6</xdr:col>
      <xdr:colOff>400375</xdr:colOff>
      <xdr:row>11</xdr:row>
      <xdr:rowOff>146050</xdr:rowOff>
    </xdr:to>
    <xdr:pic>
      <xdr:nvPicPr>
        <xdr:cNvPr id="2" name="Picture 1">
          <a:extLst>
            <a:ext uri="{FF2B5EF4-FFF2-40B4-BE49-F238E27FC236}">
              <a16:creationId xmlns:a16="http://schemas.microsoft.com/office/drawing/2014/main" id="{20FA8667-CFE9-09DA-9778-B9B7C56C816B}"/>
            </a:ext>
          </a:extLst>
        </xdr:cNvPr>
        <xdr:cNvPicPr>
          <a:picLocks noChangeAspect="1"/>
        </xdr:cNvPicPr>
      </xdr:nvPicPr>
      <xdr:blipFill>
        <a:blip xmlns:r="http://schemas.openxmlformats.org/officeDocument/2006/relationships" r:embed="rId1"/>
        <a:stretch>
          <a:fillRect/>
        </a:stretch>
      </xdr:blipFill>
      <xdr:spPr>
        <a:xfrm>
          <a:off x="0" y="1"/>
          <a:ext cx="4057975" cy="2171699"/>
        </a:xfrm>
        <a:prstGeom prst="rect">
          <a:avLst/>
        </a:prstGeom>
      </xdr:spPr>
    </xdr:pic>
    <xdr:clientData/>
  </xdr:twoCellAnchor>
  <xdr:twoCellAnchor editAs="oneCell">
    <xdr:from>
      <xdr:col>0</xdr:col>
      <xdr:colOff>6350</xdr:colOff>
      <xdr:row>12</xdr:row>
      <xdr:rowOff>165099</xdr:rowOff>
    </xdr:from>
    <xdr:to>
      <xdr:col>6</xdr:col>
      <xdr:colOff>323850</xdr:colOff>
      <xdr:row>27</xdr:row>
      <xdr:rowOff>46000</xdr:rowOff>
    </xdr:to>
    <xdr:pic>
      <xdr:nvPicPr>
        <xdr:cNvPr id="3" name="Picture 2">
          <a:extLst>
            <a:ext uri="{FF2B5EF4-FFF2-40B4-BE49-F238E27FC236}">
              <a16:creationId xmlns:a16="http://schemas.microsoft.com/office/drawing/2014/main" id="{36D20364-889F-5850-BC0E-D0A57A626BDC}"/>
            </a:ext>
          </a:extLst>
        </xdr:cNvPr>
        <xdr:cNvPicPr>
          <a:picLocks noChangeAspect="1"/>
        </xdr:cNvPicPr>
      </xdr:nvPicPr>
      <xdr:blipFill>
        <a:blip xmlns:r="http://schemas.openxmlformats.org/officeDocument/2006/relationships" r:embed="rId2"/>
        <a:stretch>
          <a:fillRect/>
        </a:stretch>
      </xdr:blipFill>
      <xdr:spPr>
        <a:xfrm>
          <a:off x="6350" y="2374899"/>
          <a:ext cx="3975100" cy="2643151"/>
        </a:xfrm>
        <a:prstGeom prst="rect">
          <a:avLst/>
        </a:prstGeom>
      </xdr:spPr>
    </xdr:pic>
    <xdr:clientData/>
  </xdr:twoCellAnchor>
  <xdr:twoCellAnchor editAs="oneCell">
    <xdr:from>
      <xdr:col>0</xdr:col>
      <xdr:colOff>0</xdr:colOff>
      <xdr:row>27</xdr:row>
      <xdr:rowOff>88900</xdr:rowOff>
    </xdr:from>
    <xdr:to>
      <xdr:col>6</xdr:col>
      <xdr:colOff>458975</xdr:colOff>
      <xdr:row>41</xdr:row>
      <xdr:rowOff>88900</xdr:rowOff>
    </xdr:to>
    <xdr:pic>
      <xdr:nvPicPr>
        <xdr:cNvPr id="4" name="Picture 3">
          <a:extLst>
            <a:ext uri="{FF2B5EF4-FFF2-40B4-BE49-F238E27FC236}">
              <a16:creationId xmlns:a16="http://schemas.microsoft.com/office/drawing/2014/main" id="{BDA0A8C8-38F8-4E69-0363-A9A64B3D78AB}"/>
            </a:ext>
          </a:extLst>
        </xdr:cNvPr>
        <xdr:cNvPicPr>
          <a:picLocks noChangeAspect="1"/>
        </xdr:cNvPicPr>
      </xdr:nvPicPr>
      <xdr:blipFill>
        <a:blip xmlns:r="http://schemas.openxmlformats.org/officeDocument/2006/relationships" r:embed="rId3"/>
        <a:stretch>
          <a:fillRect/>
        </a:stretch>
      </xdr:blipFill>
      <xdr:spPr>
        <a:xfrm>
          <a:off x="0" y="5060950"/>
          <a:ext cx="4116575" cy="25781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554621</xdr:colOff>
      <xdr:row>8</xdr:row>
      <xdr:rowOff>37598</xdr:rowOff>
    </xdr:from>
    <xdr:to>
      <xdr:col>16</xdr:col>
      <xdr:colOff>293340</xdr:colOff>
      <xdr:row>11</xdr:row>
      <xdr:rowOff>19411</xdr:rowOff>
    </xdr:to>
    <xdr:pic>
      <xdr:nvPicPr>
        <xdr:cNvPr id="2" name="Picture 1">
          <a:extLst>
            <a:ext uri="{FF2B5EF4-FFF2-40B4-BE49-F238E27FC236}">
              <a16:creationId xmlns:a16="http://schemas.microsoft.com/office/drawing/2014/main" id="{D0169BE3-13B5-E5B6-E57A-76287178FC2B}"/>
            </a:ext>
          </a:extLst>
        </xdr:cNvPr>
        <xdr:cNvPicPr>
          <a:picLocks noChangeAspect="1"/>
        </xdr:cNvPicPr>
      </xdr:nvPicPr>
      <xdr:blipFill>
        <a:blip xmlns:r="http://schemas.openxmlformats.org/officeDocument/2006/relationships" r:embed="rId1"/>
        <a:stretch>
          <a:fillRect/>
        </a:stretch>
      </xdr:blipFill>
      <xdr:spPr>
        <a:xfrm>
          <a:off x="8951660" y="1466348"/>
          <a:ext cx="4648439" cy="52072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1178278</xdr:colOff>
      <xdr:row>30</xdr:row>
      <xdr:rowOff>155222</xdr:rowOff>
    </xdr:from>
    <xdr:to>
      <xdr:col>14</xdr:col>
      <xdr:colOff>412612</xdr:colOff>
      <xdr:row>41</xdr:row>
      <xdr:rowOff>75226</xdr:rowOff>
    </xdr:to>
    <xdr:pic>
      <xdr:nvPicPr>
        <xdr:cNvPr id="2" name="Picture 1">
          <a:extLst>
            <a:ext uri="{FF2B5EF4-FFF2-40B4-BE49-F238E27FC236}">
              <a16:creationId xmlns:a16="http://schemas.microsoft.com/office/drawing/2014/main" id="{6CFA221E-5CC6-45B3-B308-2D16D3353C27}"/>
            </a:ext>
          </a:extLst>
        </xdr:cNvPr>
        <xdr:cNvPicPr/>
      </xdr:nvPicPr>
      <xdr:blipFill>
        <a:blip xmlns:r="http://schemas.openxmlformats.org/officeDocument/2006/relationships" r:embed="rId1"/>
        <a:stretch>
          <a:fillRect/>
        </a:stretch>
      </xdr:blipFill>
      <xdr:spPr>
        <a:xfrm>
          <a:off x="12862278" y="5997222"/>
          <a:ext cx="3856429" cy="283178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27</xdr:col>
      <xdr:colOff>174625</xdr:colOff>
      <xdr:row>8</xdr:row>
      <xdr:rowOff>22225</xdr:rowOff>
    </xdr:from>
    <xdr:to>
      <xdr:col>34</xdr:col>
      <xdr:colOff>191135</xdr:colOff>
      <xdr:row>16</xdr:row>
      <xdr:rowOff>41275</xdr:rowOff>
    </xdr:to>
    <xdr:pic>
      <xdr:nvPicPr>
        <xdr:cNvPr id="2" name="Picture 1">
          <a:extLst>
            <a:ext uri="{FF2B5EF4-FFF2-40B4-BE49-F238E27FC236}">
              <a16:creationId xmlns:a16="http://schemas.microsoft.com/office/drawing/2014/main" id="{A4B46158-8483-4852-88A4-65CED7AC19FD}"/>
            </a:ext>
          </a:extLst>
        </xdr:cNvPr>
        <xdr:cNvPicPr/>
      </xdr:nvPicPr>
      <xdr:blipFill>
        <a:blip xmlns:r="http://schemas.openxmlformats.org/officeDocument/2006/relationships" r:embed="rId1"/>
        <a:stretch>
          <a:fillRect/>
        </a:stretch>
      </xdr:blipFill>
      <xdr:spPr>
        <a:xfrm>
          <a:off x="18399125" y="1546225"/>
          <a:ext cx="4283710" cy="15430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31</xdr:col>
      <xdr:colOff>205158</xdr:colOff>
      <xdr:row>63</xdr:row>
      <xdr:rowOff>105835</xdr:rowOff>
    </xdr:from>
    <xdr:to>
      <xdr:col>39</xdr:col>
      <xdr:colOff>421710</xdr:colOff>
      <xdr:row>86</xdr:row>
      <xdr:rowOff>10584</xdr:rowOff>
    </xdr:to>
    <xdr:pic>
      <xdr:nvPicPr>
        <xdr:cNvPr id="2" name="Picture 1">
          <a:extLst>
            <a:ext uri="{FF2B5EF4-FFF2-40B4-BE49-F238E27FC236}">
              <a16:creationId xmlns:a16="http://schemas.microsoft.com/office/drawing/2014/main" id="{452192E7-06E5-1E1E-C104-315C00F780E1}"/>
            </a:ext>
          </a:extLst>
        </xdr:cNvPr>
        <xdr:cNvPicPr>
          <a:picLocks noChangeAspect="1"/>
        </xdr:cNvPicPr>
      </xdr:nvPicPr>
      <xdr:blipFill>
        <a:blip xmlns:r="http://schemas.openxmlformats.org/officeDocument/2006/relationships" r:embed="rId1"/>
        <a:stretch>
          <a:fillRect/>
        </a:stretch>
      </xdr:blipFill>
      <xdr:spPr>
        <a:xfrm>
          <a:off x="23710741" y="465668"/>
          <a:ext cx="5127219" cy="405341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7</xdr:col>
      <xdr:colOff>1363661</xdr:colOff>
      <xdr:row>27</xdr:row>
      <xdr:rowOff>6221</xdr:rowOff>
    </xdr:from>
    <xdr:to>
      <xdr:col>10</xdr:col>
      <xdr:colOff>256427</xdr:colOff>
      <xdr:row>32</xdr:row>
      <xdr:rowOff>172356</xdr:rowOff>
    </xdr:to>
    <xdr:pic>
      <xdr:nvPicPr>
        <xdr:cNvPr id="2" name="Picture 1">
          <a:extLst>
            <a:ext uri="{FF2B5EF4-FFF2-40B4-BE49-F238E27FC236}">
              <a16:creationId xmlns:a16="http://schemas.microsoft.com/office/drawing/2014/main" id="{29BB4E9B-8258-482A-A819-52F6A3CAD497}"/>
            </a:ext>
          </a:extLst>
        </xdr:cNvPr>
        <xdr:cNvPicPr>
          <a:picLocks noChangeAspect="1"/>
        </xdr:cNvPicPr>
      </xdr:nvPicPr>
      <xdr:blipFill>
        <a:blip xmlns:r="http://schemas.openxmlformats.org/officeDocument/2006/relationships" r:embed="rId1"/>
        <a:stretch>
          <a:fillRect/>
        </a:stretch>
      </xdr:blipFill>
      <xdr:spPr>
        <a:xfrm>
          <a:off x="8548232" y="4968292"/>
          <a:ext cx="3473838" cy="1091421"/>
        </a:xfrm>
        <a:prstGeom prst="rect">
          <a:avLst/>
        </a:prstGeom>
      </xdr:spPr>
    </xdr:pic>
    <xdr:clientData/>
  </xdr:twoCellAnchor>
  <xdr:twoCellAnchor editAs="oneCell">
    <xdr:from>
      <xdr:col>7</xdr:col>
      <xdr:colOff>1289988</xdr:colOff>
      <xdr:row>33</xdr:row>
      <xdr:rowOff>112854</xdr:rowOff>
    </xdr:from>
    <xdr:to>
      <xdr:col>10</xdr:col>
      <xdr:colOff>262270</xdr:colOff>
      <xdr:row>45</xdr:row>
      <xdr:rowOff>22200</xdr:rowOff>
    </xdr:to>
    <xdr:pic>
      <xdr:nvPicPr>
        <xdr:cNvPr id="3" name="Picture 2">
          <a:extLst>
            <a:ext uri="{FF2B5EF4-FFF2-40B4-BE49-F238E27FC236}">
              <a16:creationId xmlns:a16="http://schemas.microsoft.com/office/drawing/2014/main" id="{0CA8D5C3-A1E1-426B-9063-E3DD94D5A330}"/>
            </a:ext>
          </a:extLst>
        </xdr:cNvPr>
        <xdr:cNvPicPr>
          <a:picLocks noChangeAspect="1"/>
        </xdr:cNvPicPr>
      </xdr:nvPicPr>
      <xdr:blipFill>
        <a:blip xmlns:r="http://schemas.openxmlformats.org/officeDocument/2006/relationships" r:embed="rId2"/>
        <a:stretch>
          <a:fillRect/>
        </a:stretch>
      </xdr:blipFill>
      <xdr:spPr>
        <a:xfrm>
          <a:off x="8474559" y="6181640"/>
          <a:ext cx="3553354" cy="210463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1066800</xdr:colOff>
      <xdr:row>26</xdr:row>
      <xdr:rowOff>80878</xdr:rowOff>
    </xdr:from>
    <xdr:to>
      <xdr:col>6</xdr:col>
      <xdr:colOff>1896013</xdr:colOff>
      <xdr:row>31</xdr:row>
      <xdr:rowOff>85724</xdr:rowOff>
    </xdr:to>
    <xdr:pic>
      <xdr:nvPicPr>
        <xdr:cNvPr id="2" name="Picture 1">
          <a:extLst>
            <a:ext uri="{FF2B5EF4-FFF2-40B4-BE49-F238E27FC236}">
              <a16:creationId xmlns:a16="http://schemas.microsoft.com/office/drawing/2014/main" id="{925332EA-5668-D73A-730E-0694C3C999A6}"/>
            </a:ext>
          </a:extLst>
        </xdr:cNvPr>
        <xdr:cNvPicPr>
          <a:picLocks noChangeAspect="1"/>
        </xdr:cNvPicPr>
      </xdr:nvPicPr>
      <xdr:blipFill>
        <a:blip xmlns:r="http://schemas.openxmlformats.org/officeDocument/2006/relationships" r:embed="rId1"/>
        <a:stretch>
          <a:fillRect/>
        </a:stretch>
      </xdr:blipFill>
      <xdr:spPr>
        <a:xfrm>
          <a:off x="9359900" y="6100678"/>
          <a:ext cx="5436138" cy="96052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22</xdr:col>
      <xdr:colOff>433916</xdr:colOff>
      <xdr:row>3</xdr:row>
      <xdr:rowOff>314004</xdr:rowOff>
    </xdr:from>
    <xdr:to>
      <xdr:col>30</xdr:col>
      <xdr:colOff>296333</xdr:colOff>
      <xdr:row>31</xdr:row>
      <xdr:rowOff>89527</xdr:rowOff>
    </xdr:to>
    <xdr:pic>
      <xdr:nvPicPr>
        <xdr:cNvPr id="2" name="Picture 1">
          <a:extLst>
            <a:ext uri="{FF2B5EF4-FFF2-40B4-BE49-F238E27FC236}">
              <a16:creationId xmlns:a16="http://schemas.microsoft.com/office/drawing/2014/main" id="{250A510B-85FA-4BDD-A387-EA884828522B}"/>
            </a:ext>
          </a:extLst>
        </xdr:cNvPr>
        <xdr:cNvPicPr>
          <a:picLocks noChangeAspect="1"/>
        </xdr:cNvPicPr>
      </xdr:nvPicPr>
      <xdr:blipFill>
        <a:blip xmlns:r="http://schemas.openxmlformats.org/officeDocument/2006/relationships" r:embed="rId1"/>
        <a:stretch>
          <a:fillRect/>
        </a:stretch>
      </xdr:blipFill>
      <xdr:spPr>
        <a:xfrm>
          <a:off x="19155833" y="2430671"/>
          <a:ext cx="4773084" cy="538468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9</xdr:col>
      <xdr:colOff>491397</xdr:colOff>
      <xdr:row>43</xdr:row>
      <xdr:rowOff>169105</xdr:rowOff>
    </xdr:from>
    <xdr:to>
      <xdr:col>18</xdr:col>
      <xdr:colOff>486262</xdr:colOff>
      <xdr:row>72</xdr:row>
      <xdr:rowOff>147158</xdr:rowOff>
    </xdr:to>
    <xdr:pic>
      <xdr:nvPicPr>
        <xdr:cNvPr id="2" name="Picture 1">
          <a:extLst>
            <a:ext uri="{FF2B5EF4-FFF2-40B4-BE49-F238E27FC236}">
              <a16:creationId xmlns:a16="http://schemas.microsoft.com/office/drawing/2014/main" id="{4D07A166-047B-473A-842E-70E2DF1AA253}"/>
            </a:ext>
          </a:extLst>
        </xdr:cNvPr>
        <xdr:cNvPicPr>
          <a:picLocks noChangeAspect="1"/>
        </xdr:cNvPicPr>
      </xdr:nvPicPr>
      <xdr:blipFill>
        <a:blip xmlns:r="http://schemas.openxmlformats.org/officeDocument/2006/relationships" r:embed="rId1"/>
        <a:stretch>
          <a:fillRect/>
        </a:stretch>
      </xdr:blipFill>
      <xdr:spPr>
        <a:xfrm>
          <a:off x="8087435" y="6483162"/>
          <a:ext cx="5494205" cy="5189844"/>
        </a:xfrm>
        <a:prstGeom prst="rect">
          <a:avLst/>
        </a:prstGeom>
      </xdr:spPr>
    </xdr:pic>
    <xdr:clientData/>
  </xdr:twoCellAnchor>
  <xdr:twoCellAnchor editAs="oneCell">
    <xdr:from>
      <xdr:col>9</xdr:col>
      <xdr:colOff>592381</xdr:colOff>
      <xdr:row>25</xdr:row>
      <xdr:rowOff>145143</xdr:rowOff>
    </xdr:from>
    <xdr:to>
      <xdr:col>19</xdr:col>
      <xdr:colOff>319157</xdr:colOff>
      <xdr:row>40</xdr:row>
      <xdr:rowOff>129089</xdr:rowOff>
    </xdr:to>
    <xdr:pic>
      <xdr:nvPicPr>
        <xdr:cNvPr id="3" name="Picture 2">
          <a:extLst>
            <a:ext uri="{FF2B5EF4-FFF2-40B4-BE49-F238E27FC236}">
              <a16:creationId xmlns:a16="http://schemas.microsoft.com/office/drawing/2014/main" id="{08F53C33-B545-4548-9AE0-0D5E4646E495}"/>
            </a:ext>
          </a:extLst>
        </xdr:cNvPr>
        <xdr:cNvPicPr>
          <a:picLocks noChangeAspect="1"/>
        </xdr:cNvPicPr>
      </xdr:nvPicPr>
      <xdr:blipFill>
        <a:blip xmlns:r="http://schemas.openxmlformats.org/officeDocument/2006/relationships" r:embed="rId2"/>
        <a:stretch>
          <a:fillRect/>
        </a:stretch>
      </xdr:blipFill>
      <xdr:spPr>
        <a:xfrm>
          <a:off x="8188419" y="3739483"/>
          <a:ext cx="5837154" cy="2739606"/>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2</xdr:col>
      <xdr:colOff>823516</xdr:colOff>
      <xdr:row>2</xdr:row>
      <xdr:rowOff>863203</xdr:rowOff>
    </xdr:from>
    <xdr:to>
      <xdr:col>2</xdr:col>
      <xdr:colOff>1666875</xdr:colOff>
      <xdr:row>3</xdr:row>
      <xdr:rowOff>177661</xdr:rowOff>
    </xdr:to>
    <xdr:cxnSp macro="">
      <xdr:nvCxnSpPr>
        <xdr:cNvPr id="2" name="Straight Connector 1">
          <a:extLst>
            <a:ext uri="{FF2B5EF4-FFF2-40B4-BE49-F238E27FC236}">
              <a16:creationId xmlns:a16="http://schemas.microsoft.com/office/drawing/2014/main" id="{9D16359D-A2D1-4377-B236-DA27B879F3B3}"/>
            </a:ext>
          </a:extLst>
        </xdr:cNvPr>
        <xdr:cNvCxnSpPr/>
      </xdr:nvCxnSpPr>
      <xdr:spPr>
        <a:xfrm flipV="1">
          <a:off x="5139532" y="1240234"/>
          <a:ext cx="843359" cy="237193"/>
        </a:xfrm>
        <a:prstGeom prst="line">
          <a:avLst/>
        </a:prstGeom>
        <a:ln>
          <a:solidFill>
            <a:srgbClr val="0000FF"/>
          </a:solidFill>
          <a:tailEnd type="triangle"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2946797</xdr:colOff>
      <xdr:row>79</xdr:row>
      <xdr:rowOff>39688</xdr:rowOff>
    </xdr:from>
    <xdr:to>
      <xdr:col>6</xdr:col>
      <xdr:colOff>1383692</xdr:colOff>
      <xdr:row>92</xdr:row>
      <xdr:rowOff>184274</xdr:rowOff>
    </xdr:to>
    <xdr:pic>
      <xdr:nvPicPr>
        <xdr:cNvPr id="3" name="Picture 2">
          <a:extLst>
            <a:ext uri="{FF2B5EF4-FFF2-40B4-BE49-F238E27FC236}">
              <a16:creationId xmlns:a16="http://schemas.microsoft.com/office/drawing/2014/main" id="{8E61369F-446F-CBB5-B538-59E5AD6827EB}"/>
            </a:ext>
          </a:extLst>
        </xdr:cNvPr>
        <xdr:cNvPicPr>
          <a:picLocks noChangeAspect="1"/>
        </xdr:cNvPicPr>
      </xdr:nvPicPr>
      <xdr:blipFill>
        <a:blip xmlns:r="http://schemas.openxmlformats.org/officeDocument/2006/relationships" r:embed="rId1"/>
        <a:stretch>
          <a:fillRect/>
        </a:stretch>
      </xdr:blipFill>
      <xdr:spPr>
        <a:xfrm>
          <a:off x="11281172" y="17025938"/>
          <a:ext cx="3626036" cy="2406774"/>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10</xdr:col>
      <xdr:colOff>74082</xdr:colOff>
      <xdr:row>0</xdr:row>
      <xdr:rowOff>1</xdr:rowOff>
    </xdr:from>
    <xdr:to>
      <xdr:col>14</xdr:col>
      <xdr:colOff>211665</xdr:colOff>
      <xdr:row>7</xdr:row>
      <xdr:rowOff>76972</xdr:rowOff>
    </xdr:to>
    <xdr:pic>
      <xdr:nvPicPr>
        <xdr:cNvPr id="2" name="Picture 1">
          <a:extLst>
            <a:ext uri="{FF2B5EF4-FFF2-40B4-BE49-F238E27FC236}">
              <a16:creationId xmlns:a16="http://schemas.microsoft.com/office/drawing/2014/main" id="{E6400353-DFF1-9E02-B623-B8AE9C3E9023}"/>
            </a:ext>
          </a:extLst>
        </xdr:cNvPr>
        <xdr:cNvPicPr>
          <a:picLocks noChangeAspect="1"/>
        </xdr:cNvPicPr>
      </xdr:nvPicPr>
      <xdr:blipFill>
        <a:blip xmlns:r="http://schemas.openxmlformats.org/officeDocument/2006/relationships" r:embed="rId1"/>
        <a:stretch>
          <a:fillRect/>
        </a:stretch>
      </xdr:blipFill>
      <xdr:spPr>
        <a:xfrm>
          <a:off x="20478749" y="1"/>
          <a:ext cx="3503083" cy="3738804"/>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9</xdr:col>
      <xdr:colOff>730249</xdr:colOff>
      <xdr:row>8</xdr:row>
      <xdr:rowOff>177800</xdr:rowOff>
    </xdr:from>
    <xdr:to>
      <xdr:col>15</xdr:col>
      <xdr:colOff>460374</xdr:colOff>
      <xdr:row>20</xdr:row>
      <xdr:rowOff>133350</xdr:rowOff>
    </xdr:to>
    <xdr:pic>
      <xdr:nvPicPr>
        <xdr:cNvPr id="2" name="Picture 1">
          <a:extLst>
            <a:ext uri="{FF2B5EF4-FFF2-40B4-BE49-F238E27FC236}">
              <a16:creationId xmlns:a16="http://schemas.microsoft.com/office/drawing/2014/main" id="{17526C0C-1E2A-4216-92F1-9D83EC4043F9}"/>
            </a:ext>
          </a:extLst>
        </xdr:cNvPr>
        <xdr:cNvPicPr/>
      </xdr:nvPicPr>
      <xdr:blipFill>
        <a:blip xmlns:r="http://schemas.openxmlformats.org/officeDocument/2006/relationships" r:embed="rId1"/>
        <a:stretch>
          <a:fillRect/>
        </a:stretch>
      </xdr:blipFill>
      <xdr:spPr>
        <a:xfrm>
          <a:off x="9772649" y="1651000"/>
          <a:ext cx="3914775" cy="216535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8</xdr:col>
      <xdr:colOff>390525</xdr:colOff>
      <xdr:row>12</xdr:row>
      <xdr:rowOff>139700</xdr:rowOff>
    </xdr:from>
    <xdr:to>
      <xdr:col>16</xdr:col>
      <xdr:colOff>6581</xdr:colOff>
      <xdr:row>19</xdr:row>
      <xdr:rowOff>0</xdr:rowOff>
    </xdr:to>
    <xdr:pic>
      <xdr:nvPicPr>
        <xdr:cNvPr id="2" name="Picture 1">
          <a:extLst>
            <a:ext uri="{FF2B5EF4-FFF2-40B4-BE49-F238E27FC236}">
              <a16:creationId xmlns:a16="http://schemas.microsoft.com/office/drawing/2014/main" id="{880D21F6-9F9B-4C9C-B6D2-A22F6B3C3CE4}"/>
            </a:ext>
          </a:extLst>
        </xdr:cNvPr>
        <xdr:cNvPicPr>
          <a:picLocks noChangeAspect="1"/>
        </xdr:cNvPicPr>
      </xdr:nvPicPr>
      <xdr:blipFill rotWithShape="1">
        <a:blip xmlns:r="http://schemas.openxmlformats.org/officeDocument/2006/relationships" r:embed="rId1"/>
        <a:srcRect b="55726"/>
        <a:stretch/>
      </xdr:blipFill>
      <xdr:spPr>
        <a:xfrm>
          <a:off x="5267325" y="2339975"/>
          <a:ext cx="4492856" cy="1670050"/>
        </a:xfrm>
        <a:prstGeom prst="rect">
          <a:avLst/>
        </a:prstGeom>
      </xdr:spPr>
    </xdr:pic>
    <xdr:clientData/>
  </xdr:twoCellAnchor>
  <xdr:twoCellAnchor editAs="oneCell">
    <xdr:from>
      <xdr:col>8</xdr:col>
      <xdr:colOff>304800</xdr:colOff>
      <xdr:row>18</xdr:row>
      <xdr:rowOff>28575</xdr:rowOff>
    </xdr:from>
    <xdr:to>
      <xdr:col>15</xdr:col>
      <xdr:colOff>533631</xdr:colOff>
      <xdr:row>20</xdr:row>
      <xdr:rowOff>162119</xdr:rowOff>
    </xdr:to>
    <xdr:pic>
      <xdr:nvPicPr>
        <xdr:cNvPr id="3" name="Picture 2">
          <a:extLst>
            <a:ext uri="{FF2B5EF4-FFF2-40B4-BE49-F238E27FC236}">
              <a16:creationId xmlns:a16="http://schemas.microsoft.com/office/drawing/2014/main" id="{173AEFC3-65EF-4B81-9701-AAF880369E50}"/>
            </a:ext>
          </a:extLst>
        </xdr:cNvPr>
        <xdr:cNvPicPr>
          <a:picLocks noChangeAspect="1"/>
        </xdr:cNvPicPr>
      </xdr:nvPicPr>
      <xdr:blipFill rotWithShape="1">
        <a:blip xmlns:r="http://schemas.openxmlformats.org/officeDocument/2006/relationships" r:embed="rId1"/>
        <a:srcRect t="86937"/>
        <a:stretch/>
      </xdr:blipFill>
      <xdr:spPr>
        <a:xfrm>
          <a:off x="5181600" y="3857625"/>
          <a:ext cx="4496031" cy="495494"/>
        </a:xfrm>
        <a:prstGeom prst="rect">
          <a:avLst/>
        </a:prstGeom>
      </xdr:spPr>
    </xdr:pic>
    <xdr:clientData/>
  </xdr:twoCellAnchor>
  <xdr:twoCellAnchor editAs="oneCell">
    <xdr:from>
      <xdr:col>8</xdr:col>
      <xdr:colOff>581025</xdr:colOff>
      <xdr:row>6</xdr:row>
      <xdr:rowOff>25400</xdr:rowOff>
    </xdr:from>
    <xdr:to>
      <xdr:col>16</xdr:col>
      <xdr:colOff>73250</xdr:colOff>
      <xdr:row>12</xdr:row>
      <xdr:rowOff>133412</xdr:rowOff>
    </xdr:to>
    <xdr:pic>
      <xdr:nvPicPr>
        <xdr:cNvPr id="4" name="Picture 3">
          <a:extLst>
            <a:ext uri="{FF2B5EF4-FFF2-40B4-BE49-F238E27FC236}">
              <a16:creationId xmlns:a16="http://schemas.microsoft.com/office/drawing/2014/main" id="{28E4AAC2-A601-480E-9D59-7D6BEAEF9899}"/>
            </a:ext>
          </a:extLst>
        </xdr:cNvPr>
        <xdr:cNvPicPr>
          <a:picLocks noChangeAspect="1"/>
        </xdr:cNvPicPr>
      </xdr:nvPicPr>
      <xdr:blipFill>
        <a:blip xmlns:r="http://schemas.openxmlformats.org/officeDocument/2006/relationships" r:embed="rId2"/>
        <a:stretch>
          <a:fillRect/>
        </a:stretch>
      </xdr:blipFill>
      <xdr:spPr>
        <a:xfrm>
          <a:off x="5457825" y="1130300"/>
          <a:ext cx="4369025" cy="1203387"/>
        </a:xfrm>
        <a:prstGeom prst="rect">
          <a:avLst/>
        </a:prstGeom>
      </xdr:spPr>
    </xdr:pic>
    <xdr:clientData/>
  </xdr:twoCellAnchor>
  <xdr:twoCellAnchor editAs="oneCell">
    <xdr:from>
      <xdr:col>16</xdr:col>
      <xdr:colOff>349250</xdr:colOff>
      <xdr:row>3</xdr:row>
      <xdr:rowOff>161925</xdr:rowOff>
    </xdr:from>
    <xdr:to>
      <xdr:col>21</xdr:col>
      <xdr:colOff>597069</xdr:colOff>
      <xdr:row>23</xdr:row>
      <xdr:rowOff>143100</xdr:rowOff>
    </xdr:to>
    <xdr:pic>
      <xdr:nvPicPr>
        <xdr:cNvPr id="5" name="Picture 4">
          <a:extLst>
            <a:ext uri="{FF2B5EF4-FFF2-40B4-BE49-F238E27FC236}">
              <a16:creationId xmlns:a16="http://schemas.microsoft.com/office/drawing/2014/main" id="{8B5C8976-202B-4D6C-AE95-1E074E3D187B}"/>
            </a:ext>
          </a:extLst>
        </xdr:cNvPr>
        <xdr:cNvPicPr>
          <a:picLocks noChangeAspect="1"/>
        </xdr:cNvPicPr>
      </xdr:nvPicPr>
      <xdr:blipFill>
        <a:blip xmlns:r="http://schemas.openxmlformats.org/officeDocument/2006/relationships" r:embed="rId3"/>
        <a:stretch>
          <a:fillRect/>
        </a:stretch>
      </xdr:blipFill>
      <xdr:spPr>
        <a:xfrm>
          <a:off x="10102850" y="714375"/>
          <a:ext cx="3295819" cy="43722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39</xdr:col>
      <xdr:colOff>81642</xdr:colOff>
      <xdr:row>5</xdr:row>
      <xdr:rowOff>190500</xdr:rowOff>
    </xdr:from>
    <xdr:to>
      <xdr:col>55</xdr:col>
      <xdr:colOff>217470</xdr:colOff>
      <xdr:row>23</xdr:row>
      <xdr:rowOff>164863</xdr:rowOff>
    </xdr:to>
    <xdr:pic>
      <xdr:nvPicPr>
        <xdr:cNvPr id="2" name="Picture 1">
          <a:extLst>
            <a:ext uri="{FF2B5EF4-FFF2-40B4-BE49-F238E27FC236}">
              <a16:creationId xmlns:a16="http://schemas.microsoft.com/office/drawing/2014/main" id="{68506073-0AED-47AD-5C38-B491C78665CF}"/>
            </a:ext>
          </a:extLst>
        </xdr:cNvPr>
        <xdr:cNvPicPr>
          <a:picLocks noChangeAspect="1"/>
        </xdr:cNvPicPr>
      </xdr:nvPicPr>
      <xdr:blipFill>
        <a:blip xmlns:r="http://schemas.openxmlformats.org/officeDocument/2006/relationships" r:embed="rId1"/>
        <a:stretch>
          <a:fillRect/>
        </a:stretch>
      </xdr:blipFill>
      <xdr:spPr>
        <a:xfrm>
          <a:off x="16954499" y="1333500"/>
          <a:ext cx="4057859" cy="4216617"/>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257967</xdr:colOff>
      <xdr:row>90</xdr:row>
      <xdr:rowOff>79375</xdr:rowOff>
    </xdr:from>
    <xdr:to>
      <xdr:col>6</xdr:col>
      <xdr:colOff>72626</xdr:colOff>
      <xdr:row>102</xdr:row>
      <xdr:rowOff>92028</xdr:rowOff>
    </xdr:to>
    <xdr:pic>
      <xdr:nvPicPr>
        <xdr:cNvPr id="2" name="Picture 1">
          <a:extLst>
            <a:ext uri="{FF2B5EF4-FFF2-40B4-BE49-F238E27FC236}">
              <a16:creationId xmlns:a16="http://schemas.microsoft.com/office/drawing/2014/main" id="{15AE86AC-B719-403C-A97C-4D1B3435B3D5}"/>
            </a:ext>
          </a:extLst>
        </xdr:cNvPr>
        <xdr:cNvPicPr>
          <a:picLocks noChangeAspect="1"/>
        </xdr:cNvPicPr>
      </xdr:nvPicPr>
      <xdr:blipFill>
        <a:blip xmlns:r="http://schemas.openxmlformats.org/officeDocument/2006/relationships" r:embed="rId1"/>
        <a:stretch>
          <a:fillRect/>
        </a:stretch>
      </xdr:blipFill>
      <xdr:spPr>
        <a:xfrm>
          <a:off x="257967" y="16798925"/>
          <a:ext cx="5796359" cy="2222453"/>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16</xdr:col>
      <xdr:colOff>460374</xdr:colOff>
      <xdr:row>2</xdr:row>
      <xdr:rowOff>166688</xdr:rowOff>
    </xdr:from>
    <xdr:to>
      <xdr:col>22</xdr:col>
      <xdr:colOff>311330</xdr:colOff>
      <xdr:row>19</xdr:row>
      <xdr:rowOff>19204</xdr:rowOff>
    </xdr:to>
    <xdr:pic>
      <xdr:nvPicPr>
        <xdr:cNvPr id="2" name="Picture 1">
          <a:extLst>
            <a:ext uri="{FF2B5EF4-FFF2-40B4-BE49-F238E27FC236}">
              <a16:creationId xmlns:a16="http://schemas.microsoft.com/office/drawing/2014/main" id="{ABE10892-6577-536E-BA5D-5F1D87A20156}"/>
            </a:ext>
          </a:extLst>
        </xdr:cNvPr>
        <xdr:cNvPicPr>
          <a:picLocks noChangeAspect="1"/>
        </xdr:cNvPicPr>
      </xdr:nvPicPr>
      <xdr:blipFill>
        <a:blip xmlns:r="http://schemas.openxmlformats.org/officeDocument/2006/relationships" r:embed="rId1"/>
        <a:stretch>
          <a:fillRect/>
        </a:stretch>
      </xdr:blipFill>
      <xdr:spPr>
        <a:xfrm>
          <a:off x="10533062" y="531813"/>
          <a:ext cx="3521255" cy="2971954"/>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11</xdr:col>
      <xdr:colOff>31749</xdr:colOff>
      <xdr:row>23</xdr:row>
      <xdr:rowOff>15874</xdr:rowOff>
    </xdr:from>
    <xdr:to>
      <xdr:col>17</xdr:col>
      <xdr:colOff>400359</xdr:colOff>
      <xdr:row>31</xdr:row>
      <xdr:rowOff>85362</xdr:rowOff>
    </xdr:to>
    <xdr:pic>
      <xdr:nvPicPr>
        <xdr:cNvPr id="2" name="Picture 1">
          <a:extLst>
            <a:ext uri="{FF2B5EF4-FFF2-40B4-BE49-F238E27FC236}">
              <a16:creationId xmlns:a16="http://schemas.microsoft.com/office/drawing/2014/main" id="{8689B5F0-39BF-6E3C-1B05-CD3A80A4D57C}"/>
            </a:ext>
          </a:extLst>
        </xdr:cNvPr>
        <xdr:cNvPicPr>
          <a:picLocks noChangeAspect="1"/>
        </xdr:cNvPicPr>
      </xdr:nvPicPr>
      <xdr:blipFill>
        <a:blip xmlns:r="http://schemas.openxmlformats.org/officeDocument/2006/relationships" r:embed="rId1"/>
        <a:stretch>
          <a:fillRect/>
        </a:stretch>
      </xdr:blipFill>
      <xdr:spPr>
        <a:xfrm>
          <a:off x="8366124" y="4230687"/>
          <a:ext cx="4035735" cy="1529988"/>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63500</xdr:colOff>
      <xdr:row>0</xdr:row>
      <xdr:rowOff>88901</xdr:rowOff>
    </xdr:from>
    <xdr:to>
      <xdr:col>7</xdr:col>
      <xdr:colOff>368300</xdr:colOff>
      <xdr:row>9</xdr:row>
      <xdr:rowOff>50800</xdr:rowOff>
    </xdr:to>
    <xdr:pic>
      <xdr:nvPicPr>
        <xdr:cNvPr id="2" name="Picture 1">
          <a:extLst>
            <a:ext uri="{FF2B5EF4-FFF2-40B4-BE49-F238E27FC236}">
              <a16:creationId xmlns:a16="http://schemas.microsoft.com/office/drawing/2014/main" id="{C37F02DB-F4C9-4256-8EE1-6D836E4DC48F}"/>
            </a:ext>
          </a:extLst>
        </xdr:cNvPr>
        <xdr:cNvPicPr>
          <a:picLocks noChangeAspect="1"/>
        </xdr:cNvPicPr>
      </xdr:nvPicPr>
      <xdr:blipFill>
        <a:blip xmlns:r="http://schemas.openxmlformats.org/officeDocument/2006/relationships" r:embed="rId1"/>
        <a:stretch>
          <a:fillRect/>
        </a:stretch>
      </xdr:blipFill>
      <xdr:spPr>
        <a:xfrm>
          <a:off x="63500" y="88901"/>
          <a:ext cx="4933950" cy="1619249"/>
        </a:xfrm>
        <a:prstGeom prst="rect">
          <a:avLst/>
        </a:prstGeom>
      </xdr:spPr>
    </xdr:pic>
    <xdr:clientData/>
  </xdr:twoCellAnchor>
  <xdr:twoCellAnchor editAs="oneCell">
    <xdr:from>
      <xdr:col>0</xdr:col>
      <xdr:colOff>0</xdr:colOff>
      <xdr:row>10</xdr:row>
      <xdr:rowOff>25400</xdr:rowOff>
    </xdr:from>
    <xdr:to>
      <xdr:col>10</xdr:col>
      <xdr:colOff>254345</xdr:colOff>
      <xdr:row>15</xdr:row>
      <xdr:rowOff>44498</xdr:rowOff>
    </xdr:to>
    <xdr:pic>
      <xdr:nvPicPr>
        <xdr:cNvPr id="3" name="Picture 2">
          <a:extLst>
            <a:ext uri="{FF2B5EF4-FFF2-40B4-BE49-F238E27FC236}">
              <a16:creationId xmlns:a16="http://schemas.microsoft.com/office/drawing/2014/main" id="{D58E506E-8F11-41E1-8454-3B378D9DCE47}"/>
            </a:ext>
          </a:extLst>
        </xdr:cNvPr>
        <xdr:cNvPicPr>
          <a:picLocks noChangeAspect="1"/>
        </xdr:cNvPicPr>
      </xdr:nvPicPr>
      <xdr:blipFill>
        <a:blip xmlns:r="http://schemas.openxmlformats.org/officeDocument/2006/relationships" r:embed="rId2"/>
        <a:stretch>
          <a:fillRect/>
        </a:stretch>
      </xdr:blipFill>
      <xdr:spPr>
        <a:xfrm>
          <a:off x="0" y="1866900"/>
          <a:ext cx="6712295" cy="93984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0.bin"/></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2.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44881-B54F-4ECD-B6BA-4B9FD13F5674}">
  <sheetPr codeName="Sheet14"/>
  <dimension ref="B2:M34"/>
  <sheetViews>
    <sheetView zoomScale="80" zoomScaleNormal="80" workbookViewId="0">
      <selection activeCell="B5" sqref="B5"/>
    </sheetView>
  </sheetViews>
  <sheetFormatPr defaultRowHeight="15" x14ac:dyDescent="0.25"/>
  <cols>
    <col min="1" max="1" width="4.140625" customWidth="1"/>
    <col min="2" max="2" width="20.140625" customWidth="1"/>
    <col min="12" max="13" width="13.7109375" bestFit="1" customWidth="1"/>
  </cols>
  <sheetData>
    <row r="2" spans="2:12" x14ac:dyDescent="0.25">
      <c r="B2" s="1" t="s">
        <v>399</v>
      </c>
    </row>
    <row r="3" spans="2:12" x14ac:dyDescent="0.25">
      <c r="B3" s="163" t="s">
        <v>1376</v>
      </c>
    </row>
    <row r="4" spans="2:12" x14ac:dyDescent="0.25">
      <c r="B4" s="163" t="s">
        <v>978</v>
      </c>
    </row>
    <row r="5" spans="2:12" x14ac:dyDescent="0.25">
      <c r="B5" s="163" t="s">
        <v>1073</v>
      </c>
    </row>
    <row r="6" spans="2:12" x14ac:dyDescent="0.25">
      <c r="B6" s="163" t="s">
        <v>1377</v>
      </c>
    </row>
    <row r="7" spans="2:12" x14ac:dyDescent="0.25">
      <c r="B7" s="163" t="s">
        <v>1893</v>
      </c>
    </row>
    <row r="8" spans="2:12" x14ac:dyDescent="0.25">
      <c r="B8" s="163" t="s">
        <v>1378</v>
      </c>
    </row>
    <row r="9" spans="2:12" x14ac:dyDescent="0.25">
      <c r="B9" s="163" t="s">
        <v>1889</v>
      </c>
    </row>
    <row r="10" spans="2:12" x14ac:dyDescent="0.25">
      <c r="B10" s="163" t="s">
        <v>979</v>
      </c>
    </row>
    <row r="11" spans="2:12" x14ac:dyDescent="0.25">
      <c r="B11" s="163" t="s">
        <v>36</v>
      </c>
    </row>
    <row r="12" spans="2:12" x14ac:dyDescent="0.25">
      <c r="B12" s="163" t="s">
        <v>392</v>
      </c>
    </row>
    <row r="13" spans="2:12" x14ac:dyDescent="0.25">
      <c r="B13" s="163" t="s">
        <v>393</v>
      </c>
    </row>
    <row r="14" spans="2:12" x14ac:dyDescent="0.25">
      <c r="B14" s="163" t="s">
        <v>398</v>
      </c>
    </row>
    <row r="15" spans="2:12" x14ac:dyDescent="0.25">
      <c r="B15" s="163" t="s">
        <v>235</v>
      </c>
      <c r="L15" s="11"/>
    </row>
    <row r="16" spans="2:12" x14ac:dyDescent="0.25">
      <c r="B16" s="163" t="s">
        <v>394</v>
      </c>
    </row>
    <row r="17" spans="2:13" x14ac:dyDescent="0.25">
      <c r="B17" s="163" t="s">
        <v>115</v>
      </c>
    </row>
    <row r="18" spans="2:13" x14ac:dyDescent="0.25">
      <c r="B18" s="163" t="s">
        <v>578</v>
      </c>
    </row>
    <row r="19" spans="2:13" x14ac:dyDescent="0.25">
      <c r="B19" s="163" t="s">
        <v>752</v>
      </c>
    </row>
    <row r="20" spans="2:13" x14ac:dyDescent="0.25">
      <c r="B20" s="163" t="s">
        <v>395</v>
      </c>
    </row>
    <row r="21" spans="2:13" x14ac:dyDescent="0.25">
      <c r="B21" s="163" t="s">
        <v>397</v>
      </c>
    </row>
    <row r="22" spans="2:13" x14ac:dyDescent="0.25">
      <c r="B22" s="163" t="s">
        <v>119</v>
      </c>
      <c r="M22" s="12"/>
    </row>
    <row r="23" spans="2:13" x14ac:dyDescent="0.25">
      <c r="B23" s="163" t="s">
        <v>478</v>
      </c>
    </row>
    <row r="24" spans="2:13" x14ac:dyDescent="0.25">
      <c r="B24" s="163" t="s">
        <v>1072</v>
      </c>
    </row>
    <row r="25" spans="2:13" x14ac:dyDescent="0.25">
      <c r="B25" s="163" t="s">
        <v>1159</v>
      </c>
    </row>
    <row r="26" spans="2:13" x14ac:dyDescent="0.25">
      <c r="B26" s="163" t="s">
        <v>686</v>
      </c>
    </row>
    <row r="27" spans="2:13" x14ac:dyDescent="0.25">
      <c r="B27" s="163" t="s">
        <v>1891</v>
      </c>
    </row>
    <row r="28" spans="2:13" x14ac:dyDescent="0.25">
      <c r="B28" s="163" t="s">
        <v>1231</v>
      </c>
    </row>
    <row r="29" spans="2:13" x14ac:dyDescent="0.25">
      <c r="B29" s="163" t="s">
        <v>1892</v>
      </c>
    </row>
    <row r="30" spans="2:13" x14ac:dyDescent="0.25">
      <c r="B30" s="163" t="s">
        <v>21</v>
      </c>
    </row>
    <row r="31" spans="2:13" x14ac:dyDescent="0.25">
      <c r="B31" s="163" t="s">
        <v>1894</v>
      </c>
    </row>
    <row r="32" spans="2:13" x14ac:dyDescent="0.25">
      <c r="B32" s="163" t="s">
        <v>1976</v>
      </c>
    </row>
    <row r="33" spans="2:2" x14ac:dyDescent="0.25">
      <c r="B33" s="163" t="s">
        <v>1977</v>
      </c>
    </row>
    <row r="34" spans="2:2" x14ac:dyDescent="0.25">
      <c r="B34" s="163" t="s">
        <v>1182</v>
      </c>
    </row>
  </sheetData>
  <hyperlinks>
    <hyperlink ref="B11" location="PPE!A1" display="PPE" xr:uid="{CF486307-10BD-4BF4-9006-223CEA02ED80}"/>
    <hyperlink ref="B12" location="'Investment Property'!A1" display="Investment  property" xr:uid="{9ECC880F-5786-451D-8E3B-40B68A9364A8}"/>
    <hyperlink ref="B13" location="'Held for sale'!A1" display="Held for sale" xr:uid="{8F7ECB27-8385-4C2C-9409-DA1CA1E17315}"/>
    <hyperlink ref="B16" location="Impairment!A1" display="Impairment" xr:uid="{A1040DE4-4C68-4544-A254-8324EE4B9F70}"/>
    <hyperlink ref="B20" location="Contracts!A1" display="Contracts" xr:uid="{679F07A8-6F46-4F2E-91A5-80A891C4184C}"/>
    <hyperlink ref="B21" location="Inventory!A1" display="Inventory" xr:uid="{7080DD39-A22B-45FE-9532-B011762B64DD}"/>
    <hyperlink ref="B14" location="Leases!A1" display="Leases" xr:uid="{3238E806-89A9-43E9-A5BD-E1E24B877571}"/>
    <hyperlink ref="B9" location="Investments!A1" display="Investments" xr:uid="{E8EEB503-C31F-4833-9871-06163CCDBC1B}"/>
    <hyperlink ref="B15" location="Intangibles!A1" display="Intangibles" xr:uid="{327D0444-8EFD-429D-A0E1-3A48C9DC5076}"/>
    <hyperlink ref="B22" location="Provisions!A1" display="Provisions" xr:uid="{ECFEDB59-3594-4148-B53B-AA07087A20F7}"/>
    <hyperlink ref="B23" location="'Directors remuneration'!A1" display="Directors remuneration" xr:uid="{446672C4-84B9-4A36-BA41-97A28943DB39}"/>
    <hyperlink ref="B3" location="'Consol New'!A1" display="Consolidation" xr:uid="{F43CB912-F7CC-4604-ADDD-DA090B1208D2}"/>
    <hyperlink ref="B17" location="'Financial Assets'!A1" display="Financial Assets" xr:uid="{7A4000C1-0E03-46F8-8145-E7DD0A9CC76D}"/>
    <hyperlink ref="B18" location="'Financial Liabilities'!A1" display="Financial Liabilities" xr:uid="{0A065BC4-CB88-4E37-944F-A7D0E5FEB9D6}"/>
    <hyperlink ref="B19" location="ECL!A1" display="ECL" xr:uid="{78DF4CA3-BECA-4466-9BF2-404B5F0B6EF1}"/>
    <hyperlink ref="B4" location="'Consolidation Exemptions'!A1" display="Consolidation Exemptions" xr:uid="{0CB9D3E1-C425-42A7-A5D1-3A558D5855C4}"/>
    <hyperlink ref="B10" location="'Control over an entity'!A1" display="Control" xr:uid="{7B6846F7-3004-4BF9-83F6-25E4127B5168}"/>
    <hyperlink ref="B24" location="'Staff costs'!A1" display="Staff costs" xr:uid="{E768507F-0BF0-46D2-A086-D9958819C706}"/>
    <hyperlink ref="B5" location="'FV adjustments (consol)'!A1" display="FV Adjustments" xr:uid="{07972371-8814-4042-98A8-F7518FFB4E14}"/>
    <hyperlink ref="B25" location="Tax!A1" display="Tax" xr:uid="{4BCC9474-679B-499E-BCB8-D5EA6E607CDB}"/>
    <hyperlink ref="B32" location="'SCF (Direct)'!A1" display="Cash flows - Direct" xr:uid="{20993DD6-BB2D-4C55-959D-DE8CA0CA2C6C}"/>
    <hyperlink ref="B6" location="'Associates &amp; JVs'!A1" display="Associates and JVs" xr:uid="{BA73C39F-C78B-4118-AEB2-CB5137B42D73}"/>
    <hyperlink ref="B8" location="'Accounting for investments'!A1" display="Accounting for investments" xr:uid="{D6A6BFC8-149A-4D06-9ADD-1B5DC2AF4380}"/>
    <hyperlink ref="B26" location="'Deferred tax'!A1" display="Deferred tax" xr:uid="{DB8CB217-47F4-48A9-974C-1FD69DD0A459}"/>
    <hyperlink ref="B27" location="'Repurchase of shares'!A1" display="Share repurchases" xr:uid="{2E1C206C-4098-4C00-A60A-EE18377235DB}"/>
    <hyperlink ref="B28" location="'Distributable profits'!A1" display="Distributable profits" xr:uid="{33E1FC0F-796A-409B-9677-924EC154962D}"/>
    <hyperlink ref="B29" location="'Share based payments'!A1" display="Share based payments" xr:uid="{D68C100B-01E4-4D7F-A700-3E6935BDA1A5}"/>
    <hyperlink ref="B7" location="'Fair value model'!A1" display="FV measurement" xr:uid="{9265DAC2-FA81-4E50-AE07-DDD498197BC9}"/>
    <hyperlink ref="B30" location="'Issue of shares'!A1" display="Issue of shares" xr:uid="{AC376153-6AA1-4287-B10B-5E1BAAF2EC3D}"/>
    <hyperlink ref="B31" location="'Statement of changes in Equity'!A1" display="SOCE" xr:uid="{439447C9-3908-4240-BC38-614EDE8ACE1B}"/>
    <hyperlink ref="B34" location="'Discontinued Operations'!A1" display="Discontinued operations" xr:uid="{209D7737-7A49-4291-A6E2-9C64B765E1B5}"/>
    <hyperlink ref="B33" location="'SCF (Indirect)'!A1" display="Cash flows - Indirect" xr:uid="{84716B2D-25C6-47FC-8140-BAB96ACB01B7}"/>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1EB9F-7AA8-4EAC-8402-5B53B796FFE4}">
  <sheetPr codeName="Sheet1"/>
  <dimension ref="B2:C3"/>
  <sheetViews>
    <sheetView workbookViewId="0"/>
  </sheetViews>
  <sheetFormatPr defaultRowHeight="15" x14ac:dyDescent="0.25"/>
  <cols>
    <col min="1" max="1" width="4.5703125" customWidth="1"/>
    <col min="2" max="2" width="12.42578125" customWidth="1"/>
    <col min="3" max="3" width="17.28515625" bestFit="1" customWidth="1"/>
  </cols>
  <sheetData>
    <row r="2" spans="2:3" x14ac:dyDescent="0.25">
      <c r="B2" t="s">
        <v>11</v>
      </c>
      <c r="C2" s="3"/>
    </row>
    <row r="3" spans="2:3" x14ac:dyDescent="0.25">
      <c r="B3" t="s">
        <v>12</v>
      </c>
      <c r="C3" s="141"/>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F894D-3F7A-4224-AC2D-00622059362E}">
  <sheetPr codeName="Sheet2"/>
  <dimension ref="B1:H42"/>
  <sheetViews>
    <sheetView topLeftCell="A19" zoomScale="70" zoomScaleNormal="70" workbookViewId="0">
      <selection activeCell="A27" sqref="A27"/>
    </sheetView>
  </sheetViews>
  <sheetFormatPr defaultRowHeight="15" x14ac:dyDescent="0.25"/>
  <cols>
    <col min="1" max="1" width="3.85546875" customWidth="1"/>
    <col min="2" max="2" width="49" customWidth="1"/>
    <col min="3" max="3" width="9.140625" bestFit="1" customWidth="1"/>
  </cols>
  <sheetData>
    <row r="1" spans="2:3" ht="9" customHeight="1" x14ac:dyDescent="0.25"/>
    <row r="2" spans="2:3" x14ac:dyDescent="0.25">
      <c r="B2" s="1">
        <f>Info!C2</f>
        <v>0</v>
      </c>
    </row>
    <row r="3" spans="2:3" x14ac:dyDescent="0.25">
      <c r="B3" s="1" t="s">
        <v>13</v>
      </c>
    </row>
    <row r="4" spans="2:3" x14ac:dyDescent="0.25">
      <c r="B4" s="1" t="str">
        <f>"For the year ended"&amp;" "&amp;Info!C3</f>
        <v xml:space="preserve">For the year ended </v>
      </c>
    </row>
    <row r="5" spans="2:3" x14ac:dyDescent="0.25">
      <c r="C5" s="2" t="s">
        <v>10</v>
      </c>
    </row>
    <row r="6" spans="2:3" x14ac:dyDescent="0.25">
      <c r="B6" s="1" t="s">
        <v>0</v>
      </c>
      <c r="C6" s="11">
        <v>1100</v>
      </c>
    </row>
    <row r="7" spans="2:3" x14ac:dyDescent="0.25">
      <c r="B7" t="s">
        <v>1</v>
      </c>
      <c r="C7" s="11">
        <v>-300</v>
      </c>
    </row>
    <row r="8" spans="2:3" x14ac:dyDescent="0.25">
      <c r="B8" s="1" t="s">
        <v>2</v>
      </c>
      <c r="C8" s="11">
        <v>800</v>
      </c>
    </row>
    <row r="9" spans="2:3" x14ac:dyDescent="0.25">
      <c r="B9" s="1" t="s">
        <v>3</v>
      </c>
      <c r="C9" s="11"/>
    </row>
    <row r="10" spans="2:3" x14ac:dyDescent="0.25">
      <c r="B10" s="1" t="s">
        <v>4</v>
      </c>
      <c r="C10" s="11"/>
    </row>
    <row r="11" spans="2:3" x14ac:dyDescent="0.25">
      <c r="B11" t="s">
        <v>5</v>
      </c>
      <c r="C11" s="11">
        <v>450</v>
      </c>
    </row>
    <row r="12" spans="2:3" x14ac:dyDescent="0.25">
      <c r="B12" t="s">
        <v>6</v>
      </c>
      <c r="C12" s="11">
        <v>300</v>
      </c>
    </row>
    <row r="13" spans="2:3" x14ac:dyDescent="0.25">
      <c r="B13" t="s">
        <v>7</v>
      </c>
      <c r="C13" s="11">
        <v>-150</v>
      </c>
    </row>
    <row r="14" spans="2:3" ht="30" x14ac:dyDescent="0.25">
      <c r="B14" s="6" t="s">
        <v>30</v>
      </c>
      <c r="C14" s="11"/>
    </row>
    <row r="15" spans="2:3" ht="30" x14ac:dyDescent="0.25">
      <c r="B15" s="7" t="s">
        <v>32</v>
      </c>
      <c r="C15" s="11"/>
    </row>
    <row r="16" spans="2:3" x14ac:dyDescent="0.25">
      <c r="B16" s="7" t="s">
        <v>31</v>
      </c>
      <c r="C16" s="11"/>
    </row>
    <row r="17" spans="2:3" x14ac:dyDescent="0.25">
      <c r="B17" s="1" t="s">
        <v>8</v>
      </c>
      <c r="C17" s="11"/>
    </row>
    <row r="18" spans="2:3" x14ac:dyDescent="0.25">
      <c r="B18" s="1" t="s">
        <v>9</v>
      </c>
      <c r="C18" s="11"/>
    </row>
    <row r="37" spans="2:8" x14ac:dyDescent="0.25">
      <c r="B37" s="796" t="s">
        <v>126</v>
      </c>
      <c r="C37" s="796"/>
      <c r="D37" s="796"/>
      <c r="E37" s="796"/>
      <c r="F37" s="796"/>
      <c r="G37" s="796"/>
      <c r="H37" s="796"/>
    </row>
    <row r="38" spans="2:8" x14ac:dyDescent="0.25">
      <c r="B38" s="796"/>
      <c r="C38" s="796"/>
      <c r="D38" s="796"/>
      <c r="E38" s="796"/>
      <c r="F38" s="796"/>
      <c r="G38" s="796"/>
      <c r="H38" s="796"/>
    </row>
    <row r="39" spans="2:8" x14ac:dyDescent="0.25">
      <c r="B39" s="796"/>
      <c r="C39" s="796"/>
      <c r="D39" s="796"/>
      <c r="E39" s="796"/>
      <c r="F39" s="796"/>
      <c r="G39" s="796"/>
      <c r="H39" s="796"/>
    </row>
    <row r="40" spans="2:8" x14ac:dyDescent="0.25">
      <c r="B40" s="796"/>
      <c r="C40" s="796"/>
      <c r="D40" s="796"/>
      <c r="E40" s="796"/>
      <c r="F40" s="796"/>
      <c r="G40" s="796"/>
      <c r="H40" s="796"/>
    </row>
    <row r="41" spans="2:8" x14ac:dyDescent="0.25">
      <c r="B41" s="796"/>
      <c r="C41" s="796"/>
      <c r="D41" s="796"/>
      <c r="E41" s="796"/>
      <c r="F41" s="796"/>
      <c r="G41" s="796"/>
      <c r="H41" s="796"/>
    </row>
    <row r="42" spans="2:8" x14ac:dyDescent="0.25">
      <c r="B42" s="796"/>
      <c r="C42" s="796"/>
      <c r="D42" s="796"/>
      <c r="E42" s="796"/>
      <c r="F42" s="796"/>
      <c r="G42" s="796"/>
      <c r="H42" s="796"/>
    </row>
  </sheetData>
  <mergeCells count="1">
    <mergeCell ref="B37:H42"/>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39680C-81AD-46F1-A741-9B0D5F72A77D}">
  <sheetPr codeName="Sheet15"/>
  <dimension ref="B2:BT123"/>
  <sheetViews>
    <sheetView topLeftCell="I70" zoomScale="80" zoomScaleNormal="80" zoomScaleSheetLayoutView="40" workbookViewId="0">
      <selection activeCell="B114" sqref="B114:AA114"/>
    </sheetView>
  </sheetViews>
  <sheetFormatPr defaultColWidth="3.5703125" defaultRowHeight="15" x14ac:dyDescent="0.25"/>
  <cols>
    <col min="1" max="1" width="3.5703125" style="229"/>
    <col min="2" max="2" width="73.5703125" style="229" customWidth="1"/>
    <col min="3" max="3" width="93.140625" style="229" hidden="1" customWidth="1"/>
    <col min="4" max="6" width="17.28515625" style="246" customWidth="1"/>
    <col min="7" max="7" width="14.42578125" style="246" customWidth="1"/>
    <col min="8" max="8" width="13.42578125" style="246" customWidth="1"/>
    <col min="9" max="9" width="12.140625" style="246" customWidth="1"/>
    <col min="10" max="10" width="13.42578125" style="246" customWidth="1"/>
    <col min="11" max="11" width="10.42578125" style="246" customWidth="1"/>
    <col min="12" max="12" width="11.5703125" style="246" customWidth="1"/>
    <col min="13" max="13" width="10.42578125" style="246" customWidth="1"/>
    <col min="14" max="14" width="10.85546875" style="246" customWidth="1"/>
    <col min="15" max="15" width="15" style="246" customWidth="1"/>
    <col min="16" max="16" width="11.5703125" style="246" customWidth="1"/>
    <col min="17" max="17" width="15" style="246" customWidth="1"/>
    <col min="18" max="24" width="11.5703125" style="246" customWidth="1"/>
    <col min="25" max="25" width="10.42578125" style="246" customWidth="1"/>
    <col min="26" max="26" width="10" style="246" customWidth="1"/>
    <col min="27" max="27" width="17.28515625" style="246" customWidth="1"/>
    <col min="28" max="28" width="3.5703125" style="229"/>
    <col min="29" max="38" width="3.5703125" style="268"/>
    <col min="39" max="39" width="40.5703125" style="268" customWidth="1"/>
    <col min="40" max="40" width="25.42578125" style="268" customWidth="1"/>
    <col min="41" max="41" width="29.5703125" style="268" customWidth="1"/>
    <col min="42" max="42" width="6.5703125" style="268" customWidth="1"/>
    <col min="43" max="44" width="3.5703125" style="268"/>
    <col min="45" max="45" width="60.140625" style="268" customWidth="1"/>
    <col min="46" max="46" width="3.5703125" style="268" customWidth="1"/>
    <col min="47" max="47" width="20.85546875" style="268" customWidth="1"/>
    <col min="48" max="48" width="20.5703125" style="268" customWidth="1"/>
    <col min="49" max="53" width="3.5703125" style="268"/>
    <col min="54" max="54" width="6.28515625" style="268" bestFit="1" customWidth="1"/>
    <col min="55" max="55" width="3.5703125" style="268"/>
    <col min="56" max="56" width="17.28515625" style="268" customWidth="1"/>
    <col min="57" max="57" width="6.85546875" style="268" bestFit="1" customWidth="1"/>
    <col min="58" max="59" width="3.5703125" style="268"/>
    <col min="60" max="61" width="13.85546875" style="268" bestFit="1" customWidth="1"/>
    <col min="62" max="63" width="3.5703125" style="268"/>
    <col min="64" max="72" width="3.5703125" style="401"/>
    <col min="73" max="16384" width="3.5703125" style="229"/>
  </cols>
  <sheetData>
    <row r="2" spans="2:72" ht="18.75" customHeight="1" x14ac:dyDescent="0.25">
      <c r="B2" s="227" t="s">
        <v>654</v>
      </c>
      <c r="C2" s="800" t="s">
        <v>655</v>
      </c>
      <c r="D2" s="228"/>
      <c r="E2" s="228"/>
      <c r="F2" s="228"/>
      <c r="G2" s="300"/>
      <c r="H2" s="300"/>
      <c r="I2" s="300"/>
      <c r="J2" s="300"/>
      <c r="K2" s="300"/>
      <c r="L2" s="300"/>
      <c r="M2" s="300"/>
      <c r="N2" s="300"/>
      <c r="O2" s="300"/>
      <c r="P2" s="300"/>
      <c r="Q2" s="300"/>
      <c r="R2" s="300"/>
      <c r="S2" s="300"/>
      <c r="T2" s="300"/>
      <c r="U2" s="300"/>
      <c r="V2" s="300"/>
      <c r="W2" s="300"/>
      <c r="X2" s="300"/>
      <c r="Y2" s="300"/>
      <c r="Z2" s="300"/>
      <c r="AA2" s="228"/>
      <c r="AM2" s="269" t="s">
        <v>771</v>
      </c>
      <c r="AN2" s="366">
        <f>SUM(AN6:AN1048576)</f>
        <v>10658.599999999999</v>
      </c>
      <c r="AO2" s="366">
        <f>SUM(AO6:AO1048576)</f>
        <v>10658.6</v>
      </c>
      <c r="AP2" s="366">
        <f>AO2-AN2</f>
        <v>0</v>
      </c>
    </row>
    <row r="3" spans="2:72" ht="18.75" customHeight="1" x14ac:dyDescent="0.25">
      <c r="B3" s="230" t="s">
        <v>656</v>
      </c>
      <c r="C3" s="805"/>
      <c r="D3" s="228"/>
      <c r="E3" s="228"/>
      <c r="F3" s="283"/>
      <c r="G3" s="797">
        <v>1</v>
      </c>
      <c r="H3" s="803"/>
      <c r="I3" s="797">
        <v>2</v>
      </c>
      <c r="J3" s="803"/>
      <c r="K3" s="797">
        <v>3</v>
      </c>
      <c r="L3" s="798"/>
      <c r="M3" s="803">
        <v>4</v>
      </c>
      <c r="N3" s="798"/>
      <c r="O3" s="797">
        <v>5</v>
      </c>
      <c r="P3" s="798"/>
      <c r="Q3" s="797">
        <v>6</v>
      </c>
      <c r="R3" s="798"/>
      <c r="S3" s="797">
        <v>7</v>
      </c>
      <c r="T3" s="798"/>
      <c r="U3" s="797">
        <v>8</v>
      </c>
      <c r="V3" s="798"/>
      <c r="W3" s="797">
        <v>9</v>
      </c>
      <c r="X3" s="798"/>
      <c r="Y3" s="797">
        <v>10</v>
      </c>
      <c r="Z3" s="798"/>
      <c r="AA3" s="311"/>
    </row>
    <row r="4" spans="2:72" ht="18.75" customHeight="1" thickBot="1" x14ac:dyDescent="0.3">
      <c r="B4" s="231" t="s">
        <v>870</v>
      </c>
      <c r="C4" s="806"/>
      <c r="D4" s="232" t="s">
        <v>657</v>
      </c>
      <c r="E4" s="232" t="s">
        <v>658</v>
      </c>
      <c r="F4" s="284" t="s">
        <v>659</v>
      </c>
      <c r="G4" s="301" t="s">
        <v>660</v>
      </c>
      <c r="H4" s="284" t="s">
        <v>661</v>
      </c>
      <c r="I4" s="301" t="s">
        <v>660</v>
      </c>
      <c r="J4" s="284" t="s">
        <v>661</v>
      </c>
      <c r="K4" s="301" t="s">
        <v>660</v>
      </c>
      <c r="L4" s="302" t="s">
        <v>661</v>
      </c>
      <c r="M4" s="294" t="s">
        <v>660</v>
      </c>
      <c r="N4" s="302" t="s">
        <v>661</v>
      </c>
      <c r="O4" s="301" t="s">
        <v>660</v>
      </c>
      <c r="P4" s="302" t="s">
        <v>661</v>
      </c>
      <c r="Q4" s="301" t="s">
        <v>660</v>
      </c>
      <c r="R4" s="302" t="s">
        <v>661</v>
      </c>
      <c r="S4" s="301" t="s">
        <v>660</v>
      </c>
      <c r="T4" s="302" t="s">
        <v>661</v>
      </c>
      <c r="U4" s="301" t="s">
        <v>660</v>
      </c>
      <c r="V4" s="302" t="s">
        <v>661</v>
      </c>
      <c r="W4" s="301" t="s">
        <v>660</v>
      </c>
      <c r="X4" s="302" t="s">
        <v>661</v>
      </c>
      <c r="Y4" s="301" t="s">
        <v>660</v>
      </c>
      <c r="Z4" s="302" t="s">
        <v>661</v>
      </c>
      <c r="AA4" s="294" t="s">
        <v>662</v>
      </c>
      <c r="AM4" s="269" t="s">
        <v>259</v>
      </c>
      <c r="AN4" s="270" t="s">
        <v>141</v>
      </c>
      <c r="AO4" s="270" t="s">
        <v>141</v>
      </c>
      <c r="BC4" s="374" t="s">
        <v>747</v>
      </c>
      <c r="BH4" s="264"/>
    </row>
    <row r="5" spans="2:72" ht="18.75" customHeight="1" thickBot="1" x14ac:dyDescent="0.3">
      <c r="B5" s="233"/>
      <c r="C5" s="234" t="s">
        <v>663</v>
      </c>
      <c r="D5" s="232" t="s">
        <v>141</v>
      </c>
      <c r="E5" s="232" t="s">
        <v>141</v>
      </c>
      <c r="F5" s="284" t="s">
        <v>141</v>
      </c>
      <c r="G5" s="301" t="s">
        <v>141</v>
      </c>
      <c r="H5" s="284" t="s">
        <v>141</v>
      </c>
      <c r="I5" s="301" t="s">
        <v>141</v>
      </c>
      <c r="J5" s="284" t="s">
        <v>141</v>
      </c>
      <c r="K5" s="301" t="s">
        <v>141</v>
      </c>
      <c r="L5" s="302" t="s">
        <v>141</v>
      </c>
      <c r="M5" s="294" t="s">
        <v>141</v>
      </c>
      <c r="N5" s="232" t="s">
        <v>141</v>
      </c>
      <c r="O5" s="232" t="s">
        <v>141</v>
      </c>
      <c r="P5" s="232" t="s">
        <v>141</v>
      </c>
      <c r="Q5" s="232" t="s">
        <v>141</v>
      </c>
      <c r="R5" s="232" t="s">
        <v>141</v>
      </c>
      <c r="S5" s="232" t="s">
        <v>141</v>
      </c>
      <c r="T5" s="232" t="s">
        <v>141</v>
      </c>
      <c r="U5" s="232" t="s">
        <v>141</v>
      </c>
      <c r="V5" s="232" t="s">
        <v>141</v>
      </c>
      <c r="W5" s="232" t="s">
        <v>141</v>
      </c>
      <c r="X5" s="232" t="s">
        <v>141</v>
      </c>
      <c r="Y5" s="232" t="s">
        <v>141</v>
      </c>
      <c r="Z5" s="232" t="s">
        <v>141</v>
      </c>
      <c r="AA5" s="294" t="s">
        <v>10</v>
      </c>
    </row>
    <row r="6" spans="2:72" ht="18.75" customHeight="1" thickBot="1" x14ac:dyDescent="0.3">
      <c r="B6" s="230" t="s">
        <v>664</v>
      </c>
      <c r="C6" s="235"/>
      <c r="D6" s="236"/>
      <c r="E6" s="236"/>
      <c r="F6" s="285"/>
      <c r="G6" s="303"/>
      <c r="H6" s="285"/>
      <c r="I6" s="303"/>
      <c r="J6" s="285"/>
      <c r="K6" s="303"/>
      <c r="L6" s="304"/>
      <c r="M6" s="295"/>
      <c r="N6" s="304"/>
      <c r="O6" s="303"/>
      <c r="P6" s="304"/>
      <c r="Q6" s="303"/>
      <c r="R6" s="304"/>
      <c r="S6" s="383"/>
      <c r="T6" s="384"/>
      <c r="U6" s="383"/>
      <c r="V6" s="384"/>
      <c r="W6" s="321"/>
      <c r="X6" s="321"/>
      <c r="Y6" s="303"/>
      <c r="Z6" s="304"/>
      <c r="AA6" s="295"/>
      <c r="AL6" s="271">
        <v>1</v>
      </c>
      <c r="AM6" s="268" t="s">
        <v>698</v>
      </c>
      <c r="AN6" s="272">
        <f>AU12</f>
        <v>1000</v>
      </c>
      <c r="AS6" s="273" t="s">
        <v>705</v>
      </c>
      <c r="AT6" s="274"/>
      <c r="AU6" s="278" t="s">
        <v>531</v>
      </c>
      <c r="AV6" s="189">
        <v>0.2</v>
      </c>
    </row>
    <row r="7" spans="2:72" ht="18.75" customHeight="1" x14ac:dyDescent="0.25">
      <c r="B7" s="230" t="s">
        <v>73</v>
      </c>
      <c r="C7" s="235"/>
      <c r="D7" s="236"/>
      <c r="E7" s="236"/>
      <c r="F7" s="285"/>
      <c r="G7" s="303"/>
      <c r="H7" s="285"/>
      <c r="I7" s="303"/>
      <c r="J7" s="285"/>
      <c r="K7" s="303"/>
      <c r="L7" s="304"/>
      <c r="M7" s="295"/>
      <c r="N7" s="304"/>
      <c r="O7" s="303"/>
      <c r="P7" s="304"/>
      <c r="Q7" s="303"/>
      <c r="R7" s="304"/>
      <c r="S7" s="383"/>
      <c r="T7" s="384"/>
      <c r="U7" s="383"/>
      <c r="V7" s="384"/>
      <c r="W7" s="321"/>
      <c r="X7" s="321"/>
      <c r="Y7" s="303"/>
      <c r="Z7" s="304"/>
      <c r="AA7" s="295"/>
      <c r="AM7" s="268" t="s">
        <v>699</v>
      </c>
      <c r="AN7" s="272">
        <f>AU14</f>
        <v>3260</v>
      </c>
      <c r="AS7" s="274"/>
      <c r="AT7" s="274"/>
      <c r="AU7" s="274"/>
      <c r="AV7"/>
      <c r="BC7" s="280" t="s">
        <v>762</v>
      </c>
      <c r="BH7" s="267"/>
    </row>
    <row r="8" spans="2:72" ht="18.75" customHeight="1" x14ac:dyDescent="0.25">
      <c r="B8" s="233" t="s">
        <v>665</v>
      </c>
      <c r="C8" s="235"/>
      <c r="D8" s="237">
        <v>147000</v>
      </c>
      <c r="E8" s="237">
        <v>82000</v>
      </c>
      <c r="F8" s="286">
        <f>SUM(D8:E8)</f>
        <v>229000</v>
      </c>
      <c r="G8" s="305"/>
      <c r="H8" s="326"/>
      <c r="I8" s="305"/>
      <c r="J8" s="326"/>
      <c r="K8" s="305"/>
      <c r="L8" s="306"/>
      <c r="M8" s="296"/>
      <c r="N8" s="306"/>
      <c r="O8" s="305"/>
      <c r="P8" s="306"/>
      <c r="Q8" s="305"/>
      <c r="R8" s="306"/>
      <c r="S8" s="385"/>
      <c r="T8" s="380"/>
      <c r="U8" s="385"/>
      <c r="V8" s="380"/>
      <c r="W8" s="322">
        <f>SUMIF($AM$71:$AM$82,"DR PPE - Cost",AN$71:AN$82)+SUMIF($AM$71:$AM$82,"DR PPE - Accumulated depreciation",AN$71:AN$82)</f>
        <v>0</v>
      </c>
      <c r="X8" s="322">
        <f>SUMIF($AM$71:$AM$82,"CR PPE - Cost",AO$71:AO$82)+SUMIF($AM$71:$AM$82,"CR PPE - Accumulated depreciation",AO$71:AO$82)</f>
        <v>0</v>
      </c>
      <c r="Y8" s="305"/>
      <c r="Z8" s="306"/>
      <c r="AA8" s="312">
        <f>SUM(F8:Z8)</f>
        <v>229000</v>
      </c>
      <c r="AM8" s="268" t="s">
        <v>750</v>
      </c>
      <c r="AN8" s="275">
        <f>AU15</f>
        <v>0</v>
      </c>
      <c r="AS8" s="274" t="s">
        <v>530</v>
      </c>
      <c r="AT8" s="274"/>
      <c r="AU8" s="274"/>
      <c r="AV8" s="247">
        <v>4500</v>
      </c>
      <c r="BC8" s="280" t="s">
        <v>764</v>
      </c>
      <c r="BG8" s="267"/>
    </row>
    <row r="9" spans="2:72" ht="18.75" customHeight="1" x14ac:dyDescent="0.25">
      <c r="B9" s="233"/>
      <c r="C9" s="235"/>
      <c r="D9" s="236"/>
      <c r="E9" s="236"/>
      <c r="F9" s="285"/>
      <c r="G9" s="305"/>
      <c r="H9" s="326"/>
      <c r="I9" s="305"/>
      <c r="J9" s="326"/>
      <c r="K9" s="305"/>
      <c r="L9" s="306"/>
      <c r="M9" s="296"/>
      <c r="N9" s="306"/>
      <c r="O9" s="305"/>
      <c r="P9" s="306"/>
      <c r="Q9" s="305"/>
      <c r="R9" s="306"/>
      <c r="S9" s="385"/>
      <c r="T9" s="380"/>
      <c r="U9" s="385"/>
      <c r="V9" s="380"/>
      <c r="W9" s="322"/>
      <c r="X9" s="322"/>
      <c r="Y9" s="305"/>
      <c r="Z9" s="306"/>
      <c r="AA9" s="295"/>
      <c r="AM9" s="268" t="str" cm="1">
        <f t="array" ref="AM9">_xlfn.IFS(AV16&gt;0,"DR Goodwill",AV16&lt;0,"CR Gain on Bargain Purchase",AV16=0," ")</f>
        <v>DR Goodwill</v>
      </c>
      <c r="AN9" s="276">
        <f>AV16</f>
        <v>932</v>
      </c>
      <c r="AS9" s="274" t="s">
        <v>528</v>
      </c>
      <c r="AT9" s="274"/>
      <c r="AU9" s="279"/>
      <c r="AV9" s="279">
        <f>AV15*AV6</f>
        <v>892</v>
      </c>
      <c r="BC9" s="280" t="s">
        <v>763</v>
      </c>
      <c r="BH9" s="276">
        <f>BG8*BH4</f>
        <v>0</v>
      </c>
    </row>
    <row r="10" spans="2:72" ht="18.75" customHeight="1" x14ac:dyDescent="0.25">
      <c r="B10" s="233" t="s">
        <v>236</v>
      </c>
      <c r="C10" s="235"/>
      <c r="D10" s="237"/>
      <c r="E10" s="237"/>
      <c r="F10" s="286">
        <f>SUM(D10:E10)</f>
        <v>0</v>
      </c>
      <c r="G10" s="305">
        <f>SUMIF(AM6:AM12,"DR Goodwill",AN6:AN12)</f>
        <v>932</v>
      </c>
      <c r="H10" s="326">
        <f>-SUMIF(AM6:AM12,"CR Goodwill",AO6:AO12)</f>
        <v>0</v>
      </c>
      <c r="I10" s="305">
        <f>SUMIF(AM18:AM20,"DR Goodwill",AN18:AN20)</f>
        <v>0</v>
      </c>
      <c r="J10" s="326">
        <f>-SUMIF(AM18:AM20,"CR Goodwill",AO18:AO20)</f>
        <v>-652.4</v>
      </c>
      <c r="K10" s="305">
        <f>SUMIF($AM$23:$AM$27,"DR Goodwill",$AN$23:$AN$27)</f>
        <v>0</v>
      </c>
      <c r="L10" s="306">
        <f>-SUMIF($AM$23:$AM$27,"CR Goodwill",$AO$23:$AO$27)</f>
        <v>0</v>
      </c>
      <c r="M10" s="296"/>
      <c r="N10" s="306"/>
      <c r="O10" s="305"/>
      <c r="P10" s="306"/>
      <c r="Q10" s="305"/>
      <c r="R10" s="306"/>
      <c r="S10" s="385"/>
      <c r="T10" s="380"/>
      <c r="U10" s="385"/>
      <c r="V10" s="380"/>
      <c r="W10" s="322"/>
      <c r="X10" s="322"/>
      <c r="Y10" s="305"/>
      <c r="Z10" s="306"/>
      <c r="AA10" s="312">
        <f>SUM(F10:Z10)</f>
        <v>279.60000000000002</v>
      </c>
      <c r="AM10" s="268" t="s">
        <v>759</v>
      </c>
      <c r="AN10" s="276">
        <f>AU13</f>
        <v>200</v>
      </c>
      <c r="AS10" s="274"/>
      <c r="AT10" s="274"/>
      <c r="AU10" s="279"/>
      <c r="AV10" s="265">
        <f>SUM(AV8:AV9)</f>
        <v>5392</v>
      </c>
      <c r="BC10" s="280" t="s">
        <v>765</v>
      </c>
      <c r="BH10" s="365">
        <f>BH7-BH9</f>
        <v>0</v>
      </c>
    </row>
    <row r="11" spans="2:72" ht="18.75" customHeight="1" x14ac:dyDescent="0.25">
      <c r="B11" s="233"/>
      <c r="C11" s="235"/>
      <c r="D11" s="236"/>
      <c r="E11" s="236"/>
      <c r="F11" s="285"/>
      <c r="G11" s="305"/>
      <c r="H11" s="326"/>
      <c r="I11" s="305"/>
      <c r="J11" s="326"/>
      <c r="K11" s="305"/>
      <c r="L11" s="306"/>
      <c r="M11" s="296"/>
      <c r="N11" s="306"/>
      <c r="O11" s="305"/>
      <c r="P11" s="306"/>
      <c r="Q11" s="305"/>
      <c r="R11" s="306"/>
      <c r="S11" s="385"/>
      <c r="T11" s="380"/>
      <c r="U11" s="385"/>
      <c r="V11" s="380"/>
      <c r="W11" s="322"/>
      <c r="X11" s="322"/>
      <c r="Y11" s="305"/>
      <c r="Z11" s="306"/>
      <c r="AA11" s="295"/>
      <c r="AM11" s="268" t="s">
        <v>758</v>
      </c>
      <c r="AO11" s="272">
        <f>AV8</f>
        <v>4500</v>
      </c>
      <c r="AS11" s="274"/>
      <c r="AT11" s="274"/>
      <c r="AU11" s="279"/>
      <c r="AV11" s="279"/>
    </row>
    <row r="12" spans="2:72" ht="18.75" customHeight="1" x14ac:dyDescent="0.25">
      <c r="B12" s="233" t="s">
        <v>666</v>
      </c>
      <c r="C12" s="235" t="s">
        <v>667</v>
      </c>
      <c r="D12" s="237"/>
      <c r="E12" s="237"/>
      <c r="F12" s="286">
        <f>SUM(D12:E12)</f>
        <v>0</v>
      </c>
      <c r="G12" s="305"/>
      <c r="H12" s="326"/>
      <c r="I12" s="305"/>
      <c r="J12" s="326"/>
      <c r="K12" s="305"/>
      <c r="L12" s="306"/>
      <c r="M12" s="296"/>
      <c r="N12" s="306"/>
      <c r="O12" s="305"/>
      <c r="P12" s="306"/>
      <c r="Q12" s="305"/>
      <c r="R12" s="306"/>
      <c r="S12" s="385"/>
      <c r="T12" s="380"/>
      <c r="U12" s="385"/>
      <c r="V12" s="380"/>
      <c r="W12" s="322"/>
      <c r="X12" s="322"/>
      <c r="Y12" s="305"/>
      <c r="Z12" s="306"/>
      <c r="AA12" s="312">
        <f>SUM(F12:Z12)</f>
        <v>0</v>
      </c>
      <c r="AM12" s="268" t="s">
        <v>700</v>
      </c>
      <c r="AO12" s="272">
        <f>AV9</f>
        <v>892</v>
      </c>
      <c r="AS12" s="274" t="s">
        <v>696</v>
      </c>
      <c r="AT12" s="274"/>
      <c r="AU12" s="14">
        <v>1000</v>
      </c>
      <c r="AV12" s="11"/>
      <c r="BD12" s="804"/>
      <c r="BE12" s="804"/>
      <c r="BF12" s="804"/>
      <c r="BG12" s="804"/>
      <c r="BH12" s="804"/>
      <c r="BI12" s="804"/>
      <c r="BJ12" s="804"/>
      <c r="BK12" s="804"/>
      <c r="BL12" s="799" t="s">
        <v>760</v>
      </c>
      <c r="BM12" s="799"/>
      <c r="BN12" s="799"/>
      <c r="BO12" s="799"/>
      <c r="BP12" s="799"/>
      <c r="BQ12" s="799"/>
      <c r="BR12" s="799"/>
      <c r="BS12" s="799"/>
      <c r="BT12" s="799"/>
    </row>
    <row r="13" spans="2:72" ht="18.75" customHeight="1" x14ac:dyDescent="0.25">
      <c r="B13" s="233" t="s">
        <v>697</v>
      </c>
      <c r="C13" s="235"/>
      <c r="D13" s="237">
        <v>80000</v>
      </c>
      <c r="E13" s="237"/>
      <c r="F13" s="286">
        <f>SUM(D13:E13)</f>
        <v>80000</v>
      </c>
      <c r="G13" s="305">
        <f>SUMIF($AM6:$AM12,"DR Investment in subsidiary",$AN:$AN)</f>
        <v>0</v>
      </c>
      <c r="H13" s="326">
        <f>-SUMIF($AM6:$AM12,"CR Investment in subsidiary",AO6:AO12)</f>
        <v>-4500</v>
      </c>
      <c r="I13" s="305">
        <f>SUMIF($AM18:$AM20,"DR Investment in subsidiary",$AN18:$AN20)</f>
        <v>0</v>
      </c>
      <c r="J13" s="326">
        <f>-SUMIF($AM18:$AM20,"CR Investment in subsidiary",AN18:AQ20)</f>
        <v>0</v>
      </c>
      <c r="K13" s="305"/>
      <c r="L13" s="306"/>
      <c r="M13" s="296"/>
      <c r="N13" s="306"/>
      <c r="O13" s="305"/>
      <c r="P13" s="306"/>
      <c r="Q13" s="305"/>
      <c r="R13" s="306"/>
      <c r="S13" s="385"/>
      <c r="T13" s="380"/>
      <c r="U13" s="385"/>
      <c r="V13" s="380"/>
      <c r="W13" s="322"/>
      <c r="X13" s="322"/>
      <c r="Y13" s="305"/>
      <c r="Z13" s="306"/>
      <c r="AA13" s="312">
        <f>SUM(F13:Z13)</f>
        <v>75500</v>
      </c>
      <c r="AS13" s="274" t="s">
        <v>678</v>
      </c>
      <c r="AU13" s="14">
        <v>200</v>
      </c>
      <c r="BD13" s="804"/>
      <c r="BE13" s="804"/>
      <c r="BF13" s="804"/>
      <c r="BG13" s="804"/>
      <c r="BH13" s="804"/>
      <c r="BI13" s="804"/>
      <c r="BJ13" s="804"/>
      <c r="BK13" s="804"/>
      <c r="BL13" s="799"/>
      <c r="BM13" s="799"/>
      <c r="BN13" s="799"/>
      <c r="BO13" s="799"/>
      <c r="BP13" s="799"/>
      <c r="BQ13" s="799"/>
      <c r="BR13" s="799"/>
      <c r="BS13" s="799"/>
      <c r="BT13" s="799"/>
    </row>
    <row r="14" spans="2:72" ht="18.75" customHeight="1" x14ac:dyDescent="0.25">
      <c r="B14" s="233" t="s">
        <v>668</v>
      </c>
      <c r="C14" s="235" t="s">
        <v>669</v>
      </c>
      <c r="D14" s="237"/>
      <c r="E14" s="237"/>
      <c r="F14" s="286">
        <f>SUM(D14:E14)</f>
        <v>0</v>
      </c>
      <c r="G14" s="305"/>
      <c r="H14" s="326"/>
      <c r="I14" s="305"/>
      <c r="J14" s="326"/>
      <c r="K14" s="305"/>
      <c r="L14" s="306"/>
      <c r="M14" s="296"/>
      <c r="N14" s="306"/>
      <c r="O14" s="305"/>
      <c r="P14" s="306"/>
      <c r="Q14" s="305"/>
      <c r="R14" s="306"/>
      <c r="S14" s="385"/>
      <c r="T14" s="380"/>
      <c r="U14" s="385"/>
      <c r="V14" s="380"/>
      <c r="W14" s="322"/>
      <c r="X14" s="322"/>
      <c r="Y14" s="305"/>
      <c r="Z14" s="306"/>
      <c r="AA14" s="312">
        <f>SUM(F14:Z14)</f>
        <v>0</v>
      </c>
      <c r="AS14" s="274" t="s">
        <v>19</v>
      </c>
      <c r="AT14" s="274"/>
      <c r="AU14" s="14">
        <v>3260</v>
      </c>
      <c r="AV14" s="276"/>
      <c r="BD14" s="804"/>
      <c r="BE14" s="804"/>
      <c r="BF14" s="804"/>
      <c r="BG14" s="804"/>
      <c r="BH14" s="804"/>
      <c r="BI14" s="804"/>
      <c r="BJ14" s="804"/>
      <c r="BK14" s="804"/>
      <c r="BL14" s="799"/>
      <c r="BM14" s="799"/>
      <c r="BN14" s="799"/>
      <c r="BO14" s="799"/>
      <c r="BP14" s="799"/>
      <c r="BQ14" s="799"/>
      <c r="BR14" s="799"/>
      <c r="BS14" s="799"/>
      <c r="BT14" s="799"/>
    </row>
    <row r="15" spans="2:72" ht="18.75" customHeight="1" x14ac:dyDescent="0.25">
      <c r="B15" s="233" t="s">
        <v>670</v>
      </c>
      <c r="C15" s="235" t="s">
        <v>667</v>
      </c>
      <c r="D15" s="238"/>
      <c r="E15" s="238"/>
      <c r="F15" s="287">
        <f>SUM(D15:E15)</f>
        <v>0</v>
      </c>
      <c r="G15" s="305"/>
      <c r="H15" s="326"/>
      <c r="I15" s="305"/>
      <c r="J15" s="326"/>
      <c r="K15" s="305"/>
      <c r="L15" s="306"/>
      <c r="M15" s="296"/>
      <c r="N15" s="306"/>
      <c r="O15" s="305"/>
      <c r="P15" s="306"/>
      <c r="Q15" s="305"/>
      <c r="R15" s="306"/>
      <c r="S15" s="385"/>
      <c r="T15" s="380"/>
      <c r="U15" s="385"/>
      <c r="V15" s="380"/>
      <c r="W15" s="322"/>
      <c r="X15" s="322"/>
      <c r="Y15" s="305"/>
      <c r="Z15" s="306"/>
      <c r="AA15" s="312">
        <f>SUM(F15:Z15)</f>
        <v>0</v>
      </c>
      <c r="AS15" s="268" t="s">
        <v>748</v>
      </c>
      <c r="AU15" s="14"/>
      <c r="AV15" s="11">
        <f>SUM(AU12:AU15)</f>
        <v>4460</v>
      </c>
      <c r="BD15" s="804"/>
      <c r="BE15" s="804"/>
      <c r="BF15" s="804"/>
      <c r="BG15" s="804"/>
      <c r="BH15" s="804"/>
      <c r="BI15" s="804"/>
      <c r="BJ15" s="804"/>
      <c r="BK15" s="804"/>
      <c r="BL15" s="799"/>
      <c r="BM15" s="799"/>
      <c r="BN15" s="799"/>
      <c r="BO15" s="799"/>
      <c r="BP15" s="799"/>
      <c r="BQ15" s="799"/>
      <c r="BR15" s="799"/>
      <c r="BS15" s="799"/>
      <c r="BT15" s="799"/>
    </row>
    <row r="16" spans="2:72" ht="18.75" customHeight="1" x14ac:dyDescent="0.25">
      <c r="B16" s="233"/>
      <c r="C16" s="235"/>
      <c r="D16" s="239">
        <f>SUM(D8:D15)</f>
        <v>227000</v>
      </c>
      <c r="E16" s="239">
        <f>SUM(E8:E15)</f>
        <v>82000</v>
      </c>
      <c r="F16" s="288">
        <f>SUM(F8:F15)</f>
        <v>309000</v>
      </c>
      <c r="G16" s="303"/>
      <c r="H16" s="285"/>
      <c r="I16" s="318"/>
      <c r="J16" s="404"/>
      <c r="K16" s="318"/>
      <c r="L16" s="319"/>
      <c r="M16" s="297"/>
      <c r="N16" s="319"/>
      <c r="O16" s="318"/>
      <c r="P16" s="319"/>
      <c r="Q16" s="318"/>
      <c r="R16" s="319"/>
      <c r="S16" s="386"/>
      <c r="T16" s="387"/>
      <c r="U16" s="386"/>
      <c r="V16" s="387"/>
      <c r="W16" s="323"/>
      <c r="X16" s="323"/>
      <c r="Y16" s="318"/>
      <c r="Z16" s="319"/>
      <c r="AA16" s="313">
        <f>SUM(AA8:AA15)</f>
        <v>304779.59999999998</v>
      </c>
      <c r="AS16" s="273" t="s">
        <v>236</v>
      </c>
      <c r="AT16" s="274"/>
      <c r="AU16" s="11"/>
      <c r="AV16" s="266">
        <f>AV10-AV15</f>
        <v>932</v>
      </c>
    </row>
    <row r="17" spans="2:64" ht="18.75" customHeight="1" thickBot="1" x14ac:dyDescent="0.3">
      <c r="B17" s="230" t="s">
        <v>76</v>
      </c>
      <c r="C17" s="235"/>
      <c r="D17" s="240"/>
      <c r="E17" s="240"/>
      <c r="F17" s="289"/>
      <c r="G17" s="307"/>
      <c r="H17" s="289"/>
      <c r="I17" s="307"/>
      <c r="J17" s="289"/>
      <c r="K17" s="307"/>
      <c r="L17" s="308"/>
      <c r="M17" s="298"/>
      <c r="N17" s="308"/>
      <c r="O17" s="307"/>
      <c r="P17" s="308"/>
      <c r="Q17" s="307"/>
      <c r="R17" s="308"/>
      <c r="S17" s="388"/>
      <c r="T17" s="389"/>
      <c r="U17" s="388"/>
      <c r="V17" s="389"/>
      <c r="W17" s="324"/>
      <c r="X17" s="324"/>
      <c r="Y17" s="307"/>
      <c r="Z17" s="308"/>
      <c r="AA17" s="298"/>
      <c r="AU17" s="276"/>
      <c r="AV17" s="276"/>
    </row>
    <row r="18" spans="2:64" ht="18.75" customHeight="1" thickBot="1" x14ac:dyDescent="0.3">
      <c r="B18" s="233" t="s">
        <v>56</v>
      </c>
      <c r="C18" s="235"/>
      <c r="D18" s="237">
        <v>73200</v>
      </c>
      <c r="E18" s="237">
        <v>35200</v>
      </c>
      <c r="F18" s="286">
        <f>SUM(D18:E18)</f>
        <v>108400</v>
      </c>
      <c r="G18" s="305"/>
      <c r="H18" s="326"/>
      <c r="I18" s="305"/>
      <c r="J18" s="326"/>
      <c r="K18" s="305"/>
      <c r="L18" s="306"/>
      <c r="M18" s="296"/>
      <c r="N18" s="306"/>
      <c r="O18" s="305">
        <f>SUMIF($AM$39:$AM$43,"DR Inventory",$AN$39:$AN$43)</f>
        <v>0</v>
      </c>
      <c r="P18" s="306">
        <f>-SUMIF($AM$39:$AM$67,"CR inventory",$AO$39:$AO$67)</f>
        <v>0</v>
      </c>
      <c r="Q18" s="305">
        <f>SUMIF($AM$46:$AM$50,"DR Inventory",$AN$46:$AN$50)</f>
        <v>0</v>
      </c>
      <c r="R18" s="306">
        <f>-SUMIF($AM$46:$AM$50,"CR inventory",$AO$46:$AO$50)</f>
        <v>0</v>
      </c>
      <c r="S18" s="305">
        <f>SUMIF($AM$54:$AM$61,"DR Inventory",$AN$54:$AN$61)</f>
        <v>0</v>
      </c>
      <c r="T18" s="306">
        <f>-SUMIF($AM$54:$AM$61,"CR inventory",$AO$54:$AO$61)</f>
        <v>0</v>
      </c>
      <c r="U18" s="385"/>
      <c r="V18" s="380"/>
      <c r="W18" s="322"/>
      <c r="X18" s="322"/>
      <c r="Y18" s="305"/>
      <c r="Z18" s="306"/>
      <c r="AA18" s="312">
        <f>SUM(F18:P18)</f>
        <v>108400</v>
      </c>
      <c r="AL18" s="277">
        <v>2</v>
      </c>
      <c r="AM18" s="268" t="s">
        <v>699</v>
      </c>
      <c r="AN18" s="268">
        <f>AV20</f>
        <v>652.4</v>
      </c>
      <c r="AS18" s="269" t="s">
        <v>234</v>
      </c>
      <c r="AU18" s="276"/>
      <c r="AV18" s="276"/>
    </row>
    <row r="19" spans="2:64" ht="18.75" customHeight="1" x14ac:dyDescent="0.25">
      <c r="B19" s="233" t="s">
        <v>671</v>
      </c>
      <c r="C19" s="235"/>
      <c r="D19" s="237">
        <f>83700+14700</f>
        <v>98400</v>
      </c>
      <c r="E19" s="237">
        <v>46900</v>
      </c>
      <c r="F19" s="286">
        <f>SUM(D19:E19)</f>
        <v>145300</v>
      </c>
      <c r="G19" s="305"/>
      <c r="H19" s="326"/>
      <c r="I19" s="305"/>
      <c r="J19" s="326"/>
      <c r="K19" s="305"/>
      <c r="L19" s="306"/>
      <c r="M19" s="296"/>
      <c r="N19" s="306"/>
      <c r="O19" s="305">
        <f>SUMIF($AM$39:$AM$43,"DR Trade receivables",$AN$39:$AN$43)</f>
        <v>0</v>
      </c>
      <c r="P19" s="306">
        <f>-SUMIF($AM$39:$AM$67,"CR Trade receivables",$AO$39:$AO$67)</f>
        <v>0</v>
      </c>
      <c r="Q19" s="305"/>
      <c r="R19" s="306"/>
      <c r="S19" s="385"/>
      <c r="T19" s="380"/>
      <c r="U19" s="385"/>
      <c r="V19" s="380"/>
      <c r="W19" s="322"/>
      <c r="X19" s="322"/>
      <c r="Y19" s="305"/>
      <c r="Z19" s="306"/>
      <c r="AA19" s="312">
        <f>SUM(F19:Z19)</f>
        <v>145300</v>
      </c>
      <c r="AM19" s="268" t="s">
        <v>703</v>
      </c>
      <c r="AN19" s="268">
        <f>AV19</f>
        <v>0</v>
      </c>
      <c r="AS19" s="268" t="s">
        <v>701</v>
      </c>
      <c r="AU19" s="276"/>
      <c r="AV19" s="267"/>
    </row>
    <row r="20" spans="2:64" ht="18.75" customHeight="1" x14ac:dyDescent="0.25">
      <c r="B20" s="233" t="s">
        <v>672</v>
      </c>
      <c r="C20" s="235" t="s">
        <v>667</v>
      </c>
      <c r="D20" s="237"/>
      <c r="E20" s="237"/>
      <c r="F20" s="286">
        <f>SUM(D20:E20)</f>
        <v>0</v>
      </c>
      <c r="G20" s="305"/>
      <c r="H20" s="326"/>
      <c r="I20" s="305"/>
      <c r="J20" s="326"/>
      <c r="K20" s="305"/>
      <c r="L20" s="306"/>
      <c r="M20" s="296"/>
      <c r="N20" s="306"/>
      <c r="O20" s="305"/>
      <c r="P20" s="306"/>
      <c r="Q20" s="305"/>
      <c r="R20" s="306"/>
      <c r="S20" s="385"/>
      <c r="T20" s="380"/>
      <c r="U20" s="385"/>
      <c r="V20" s="380"/>
      <c r="W20" s="322"/>
      <c r="X20" s="322"/>
      <c r="Y20" s="305"/>
      <c r="Z20" s="306"/>
      <c r="AA20" s="312">
        <f>SUM(F20:Z20)</f>
        <v>0</v>
      </c>
      <c r="AM20" s="268" t="s">
        <v>704</v>
      </c>
      <c r="AO20" s="268">
        <f>AV19+AV20</f>
        <v>652.4</v>
      </c>
      <c r="AS20" s="268" t="s">
        <v>702</v>
      </c>
      <c r="AU20" s="276"/>
      <c r="AV20" s="267">
        <f>AV16*0.7</f>
        <v>652.4</v>
      </c>
    </row>
    <row r="21" spans="2:64" ht="18.75" customHeight="1" x14ac:dyDescent="0.25">
      <c r="B21" s="233" t="s">
        <v>92</v>
      </c>
      <c r="C21" s="235"/>
      <c r="D21" s="237">
        <v>8000</v>
      </c>
      <c r="E21" s="237">
        <v>25150</v>
      </c>
      <c r="F21" s="286">
        <f>SUM(D21:E21)</f>
        <v>33150</v>
      </c>
      <c r="G21" s="305"/>
      <c r="H21" s="326"/>
      <c r="I21" s="305"/>
      <c r="J21" s="326"/>
      <c r="K21" s="305"/>
      <c r="L21" s="306"/>
      <c r="M21" s="296"/>
      <c r="N21" s="306"/>
      <c r="O21" s="305">
        <f>SUMIF($AM$39:$AM$43,"DR Cash and cash equivalents",$AN$39:$AN$43)</f>
        <v>0</v>
      </c>
      <c r="P21" s="306">
        <f>-SUMIF($AM$39:$AM$67,"CR Cash and cash equivalents",$AO$39:$AO$67)</f>
        <v>0</v>
      </c>
      <c r="Q21" s="305"/>
      <c r="R21" s="306"/>
      <c r="S21" s="385"/>
      <c r="T21" s="380"/>
      <c r="U21" s="385"/>
      <c r="V21" s="380"/>
      <c r="W21" s="322"/>
      <c r="X21" s="322"/>
      <c r="Y21" s="305"/>
      <c r="Z21" s="306"/>
      <c r="AA21" s="312">
        <f>SUM(F21:Z21)</f>
        <v>33150</v>
      </c>
      <c r="AU21" s="276"/>
      <c r="AV21" s="276"/>
    </row>
    <row r="22" spans="2:64" ht="18.75" customHeight="1" thickBot="1" x14ac:dyDescent="0.3">
      <c r="B22" s="233"/>
      <c r="C22" s="235"/>
      <c r="D22" s="239">
        <f>SUM(D18:D21)</f>
        <v>179600</v>
      </c>
      <c r="E22" s="239">
        <f>SUM(E18:E21)</f>
        <v>107250</v>
      </c>
      <c r="F22" s="288">
        <f>SUM(F18:F21)</f>
        <v>286850</v>
      </c>
      <c r="G22" s="303"/>
      <c r="H22" s="285"/>
      <c r="I22" s="303"/>
      <c r="J22" s="285"/>
      <c r="K22" s="318"/>
      <c r="L22" s="319"/>
      <c r="M22" s="297"/>
      <c r="N22" s="319"/>
      <c r="O22" s="318"/>
      <c r="P22" s="319"/>
      <c r="Q22" s="318"/>
      <c r="R22" s="319"/>
      <c r="S22" s="386"/>
      <c r="T22" s="387"/>
      <c r="U22" s="386"/>
      <c r="V22" s="387"/>
      <c r="W22" s="323"/>
      <c r="X22" s="323"/>
      <c r="Y22" s="318"/>
      <c r="Z22" s="319"/>
      <c r="AA22" s="313">
        <f>SUM(AA18:AA21)</f>
        <v>286850</v>
      </c>
      <c r="AS22" s="269" t="s">
        <v>711</v>
      </c>
      <c r="AU22" s="276"/>
      <c r="AV22" s="276"/>
    </row>
    <row r="23" spans="2:64" ht="18.75" customHeight="1" thickBot="1" x14ac:dyDescent="0.3">
      <c r="B23" s="230" t="s">
        <v>673</v>
      </c>
      <c r="C23" s="235"/>
      <c r="D23" s="241">
        <f>SUM(D16,D22)</f>
        <v>406600</v>
      </c>
      <c r="E23" s="241">
        <f>SUM(E16,E22)</f>
        <v>189250</v>
      </c>
      <c r="F23" s="290">
        <f>SUM(F16,F22)</f>
        <v>595850</v>
      </c>
      <c r="G23" s="303"/>
      <c r="H23" s="285"/>
      <c r="I23" s="303"/>
      <c r="J23" s="285"/>
      <c r="K23" s="318"/>
      <c r="L23" s="319"/>
      <c r="M23" s="297"/>
      <c r="N23" s="319"/>
      <c r="O23" s="318"/>
      <c r="P23" s="319"/>
      <c r="Q23" s="318"/>
      <c r="R23" s="319"/>
      <c r="S23" s="386"/>
      <c r="T23" s="387"/>
      <c r="U23" s="386"/>
      <c r="V23" s="387"/>
      <c r="W23" s="323"/>
      <c r="X23" s="323"/>
      <c r="Y23" s="318"/>
      <c r="Z23" s="319"/>
      <c r="AA23" s="314">
        <f>SUM(AA16,AA22)</f>
        <v>591629.6</v>
      </c>
      <c r="AL23" s="277">
        <v>3</v>
      </c>
      <c r="AM23" s="268" t="s">
        <v>708</v>
      </c>
      <c r="AN23" s="268">
        <f>AV28</f>
        <v>150.6</v>
      </c>
      <c r="AS23" s="268" t="str">
        <f>"Retained earnings "&amp;B4</f>
        <v>Retained earnings as at 30 September 2018</v>
      </c>
      <c r="AU23" s="276"/>
      <c r="AV23" s="267">
        <v>2984</v>
      </c>
    </row>
    <row r="24" spans="2:64" ht="18.75" customHeight="1" x14ac:dyDescent="0.25">
      <c r="B24" s="233"/>
      <c r="C24" s="235"/>
      <c r="D24" s="240"/>
      <c r="E24" s="240"/>
      <c r="F24" s="289"/>
      <c r="G24" s="307"/>
      <c r="H24" s="289"/>
      <c r="I24" s="307"/>
      <c r="J24" s="289"/>
      <c r="K24" s="307"/>
      <c r="L24" s="308"/>
      <c r="M24" s="298"/>
      <c r="N24" s="308"/>
      <c r="O24" s="307"/>
      <c r="P24" s="308"/>
      <c r="Q24" s="307"/>
      <c r="R24" s="308"/>
      <c r="S24" s="388"/>
      <c r="T24" s="389"/>
      <c r="U24" s="388"/>
      <c r="V24" s="389"/>
      <c r="W24" s="324"/>
      <c r="X24" s="324"/>
      <c r="Y24" s="307"/>
      <c r="Z24" s="308"/>
      <c r="AA24" s="298"/>
      <c r="AM24" s="268" t="s">
        <v>709</v>
      </c>
      <c r="AO24" s="268">
        <f>AV28</f>
        <v>150.6</v>
      </c>
      <c r="AS24" s="268" t="s">
        <v>751</v>
      </c>
      <c r="AV24" s="267">
        <v>-1029</v>
      </c>
      <c r="BL24" s="402" t="s">
        <v>766</v>
      </c>
    </row>
    <row r="25" spans="2:64" ht="18.75" customHeight="1" x14ac:dyDescent="0.25">
      <c r="B25" s="230" t="s">
        <v>674</v>
      </c>
      <c r="C25" s="235"/>
      <c r="D25" s="236"/>
      <c r="E25" s="236"/>
      <c r="F25" s="285"/>
      <c r="G25" s="303"/>
      <c r="H25" s="285"/>
      <c r="I25" s="303"/>
      <c r="J25" s="285"/>
      <c r="K25" s="303"/>
      <c r="L25" s="304"/>
      <c r="M25" s="295"/>
      <c r="N25" s="304"/>
      <c r="O25" s="303"/>
      <c r="P25" s="304"/>
      <c r="Q25" s="303"/>
      <c r="R25" s="304"/>
      <c r="S25" s="383"/>
      <c r="T25" s="384"/>
      <c r="U25" s="383"/>
      <c r="V25" s="384"/>
      <c r="W25" s="321"/>
      <c r="X25" s="321"/>
      <c r="Y25" s="303"/>
      <c r="Z25" s="304"/>
      <c r="AA25" s="295"/>
      <c r="AS25" s="268" t="s">
        <v>818</v>
      </c>
      <c r="AV25" s="267"/>
      <c r="BL25" s="402" t="s">
        <v>770</v>
      </c>
    </row>
    <row r="26" spans="2:64" ht="18.75" customHeight="1" x14ac:dyDescent="0.25">
      <c r="B26" s="230" t="s">
        <v>675</v>
      </c>
      <c r="C26" s="235"/>
      <c r="D26" s="236"/>
      <c r="E26" s="236"/>
      <c r="F26" s="285"/>
      <c r="G26" s="303"/>
      <c r="H26" s="285"/>
      <c r="I26" s="303"/>
      <c r="J26" s="285"/>
      <c r="K26" s="303"/>
      <c r="L26" s="304"/>
      <c r="M26" s="295"/>
      <c r="N26" s="304"/>
      <c r="O26" s="303"/>
      <c r="P26" s="304"/>
      <c r="Q26" s="303"/>
      <c r="R26" s="304"/>
      <c r="S26" s="383"/>
      <c r="T26" s="384"/>
      <c r="U26" s="383"/>
      <c r="V26" s="384"/>
      <c r="W26" s="321"/>
      <c r="X26" s="321"/>
      <c r="Y26" s="303"/>
      <c r="Z26" s="304"/>
      <c r="AA26" s="295"/>
      <c r="AM26" s="268" t="s">
        <v>825</v>
      </c>
      <c r="AN26" s="268">
        <f>AV31</f>
        <v>0</v>
      </c>
      <c r="AS26" s="268" t="s">
        <v>706</v>
      </c>
      <c r="AU26" s="276"/>
      <c r="AV26" s="424">
        <f>AU14</f>
        <v>3260</v>
      </c>
      <c r="BL26" s="402" t="s">
        <v>824</v>
      </c>
    </row>
    <row r="27" spans="2:64" ht="18.75" customHeight="1" x14ac:dyDescent="0.25">
      <c r="B27" s="233" t="s">
        <v>676</v>
      </c>
      <c r="C27" s="235"/>
      <c r="D27" s="237">
        <v>250000</v>
      </c>
      <c r="E27" s="237">
        <v>50000</v>
      </c>
      <c r="F27" s="286">
        <f>SUM(D27:E27)</f>
        <v>300000</v>
      </c>
      <c r="G27" s="305">
        <f>SUMIF($AM6:$AM12,"DR Share Capital",$AN6:$AN12)</f>
        <v>1000</v>
      </c>
      <c r="H27" s="326">
        <f>-SUMIF($AM6:$AM12,"CR Share Capital",$AO6:$AO12)</f>
        <v>0</v>
      </c>
      <c r="I27" s="305">
        <f>SUMIF($AM18:$AM20,"DR Share Capital",$AN18:$AN20)</f>
        <v>0</v>
      </c>
      <c r="J27" s="326">
        <f>-SUMIF($AM18:$AM20,"CR Share Capital",$AO18:$AO20)</f>
        <v>0</v>
      </c>
      <c r="K27" s="305"/>
      <c r="L27" s="306"/>
      <c r="M27" s="296"/>
      <c r="N27" s="306"/>
      <c r="O27" s="305"/>
      <c r="P27" s="306"/>
      <c r="Q27" s="305"/>
      <c r="R27" s="306"/>
      <c r="S27" s="385"/>
      <c r="T27" s="380"/>
      <c r="U27" s="385"/>
      <c r="V27" s="380"/>
      <c r="W27" s="322"/>
      <c r="X27" s="322"/>
      <c r="Y27" s="305"/>
      <c r="Z27" s="306"/>
      <c r="AA27" s="312">
        <f>F27-SUM(G27:Z27)</f>
        <v>299000</v>
      </c>
      <c r="AM27" s="268" t="s">
        <v>709</v>
      </c>
      <c r="AO27" s="268">
        <f>AV31</f>
        <v>0</v>
      </c>
      <c r="AS27" s="268" t="s">
        <v>707</v>
      </c>
      <c r="AU27" s="276"/>
      <c r="AV27" s="276">
        <f>AV23-AV26-AV24+AV25</f>
        <v>753</v>
      </c>
    </row>
    <row r="28" spans="2:64" ht="18.75" customHeight="1" thickBot="1" x14ac:dyDescent="0.3">
      <c r="B28" s="233" t="s">
        <v>677</v>
      </c>
      <c r="C28" s="235"/>
      <c r="D28" s="237"/>
      <c r="E28" s="237"/>
      <c r="F28" s="286">
        <f>SUM(D28:E28)</f>
        <v>0</v>
      </c>
      <c r="G28" s="305"/>
      <c r="H28" s="326"/>
      <c r="I28" s="305"/>
      <c r="J28" s="326"/>
      <c r="K28" s="305"/>
      <c r="L28" s="306"/>
      <c r="M28" s="296"/>
      <c r="N28" s="306"/>
      <c r="O28" s="305"/>
      <c r="P28" s="306"/>
      <c r="Q28" s="305"/>
      <c r="R28" s="306"/>
      <c r="S28" s="385"/>
      <c r="T28" s="380"/>
      <c r="U28" s="385"/>
      <c r="V28" s="380"/>
      <c r="W28" s="322"/>
      <c r="X28" s="322"/>
      <c r="Y28" s="305"/>
      <c r="Z28" s="306"/>
      <c r="AA28" s="312">
        <f>F28-SUM(G28:Z28)</f>
        <v>0</v>
      </c>
      <c r="AS28" s="268" t="str">
        <f>"NCI share of historical profit (*"&amp;AV6&amp;")"</f>
        <v>NCI share of historical profit (*0.2)</v>
      </c>
      <c r="AV28" s="282">
        <f>AV27*AV6</f>
        <v>150.6</v>
      </c>
    </row>
    <row r="29" spans="2:64" ht="18.75" customHeight="1" thickTop="1" x14ac:dyDescent="0.25">
      <c r="B29" s="233" t="s">
        <v>678</v>
      </c>
      <c r="C29" s="235"/>
      <c r="D29" s="237"/>
      <c r="E29" s="237">
        <v>6250</v>
      </c>
      <c r="F29" s="286">
        <f>SUM(D29:E29)</f>
        <v>6250</v>
      </c>
      <c r="G29" s="305">
        <f>SUMIF($AM4:$AM10,"DR Share Premium",$AN4:$AN10)</f>
        <v>200</v>
      </c>
      <c r="H29" s="326">
        <f>-SUMIF($AM4:$AM10,"CR Share Premium",AO4:AO10)</f>
        <v>0</v>
      </c>
      <c r="I29" s="305"/>
      <c r="J29" s="326"/>
      <c r="K29" s="305"/>
      <c r="L29" s="306"/>
      <c r="M29" s="296"/>
      <c r="N29" s="306"/>
      <c r="O29" s="305"/>
      <c r="P29" s="306"/>
      <c r="Q29" s="305"/>
      <c r="R29" s="306"/>
      <c r="S29" s="385"/>
      <c r="T29" s="380"/>
      <c r="U29" s="385"/>
      <c r="V29" s="380"/>
      <c r="W29" s="322"/>
      <c r="X29" s="322"/>
      <c r="Y29" s="305"/>
      <c r="Z29" s="306"/>
      <c r="AA29" s="312">
        <f>F29-SUM(G29:Z29)</f>
        <v>6050</v>
      </c>
    </row>
    <row r="30" spans="2:64" ht="18.75" customHeight="1" x14ac:dyDescent="0.25">
      <c r="B30" s="233" t="s">
        <v>679</v>
      </c>
      <c r="C30" s="235"/>
      <c r="D30" s="237"/>
      <c r="E30" s="237">
        <v>15000</v>
      </c>
      <c r="F30" s="286">
        <f>SUM(D30:E30)</f>
        <v>15000</v>
      </c>
      <c r="G30" s="305"/>
      <c r="H30" s="326"/>
      <c r="I30" s="305"/>
      <c r="J30" s="326"/>
      <c r="K30" s="305"/>
      <c r="L30" s="306"/>
      <c r="M30" s="296"/>
      <c r="N30" s="306"/>
      <c r="O30" s="305"/>
      <c r="P30" s="306"/>
      <c r="Q30" s="305"/>
      <c r="R30" s="306"/>
      <c r="S30" s="385"/>
      <c r="T30" s="380"/>
      <c r="U30" s="385"/>
      <c r="V30" s="380"/>
      <c r="W30" s="322"/>
      <c r="X30" s="322"/>
      <c r="Y30" s="305"/>
      <c r="Z30" s="306"/>
      <c r="AA30" s="312">
        <f>F30-SUM(G30:Z30)</f>
        <v>15000</v>
      </c>
      <c r="AS30" s="268" t="s">
        <v>826</v>
      </c>
    </row>
    <row r="31" spans="2:64" ht="18.75" customHeight="1" thickBot="1" x14ac:dyDescent="0.3">
      <c r="B31" s="233" t="s">
        <v>515</v>
      </c>
      <c r="C31" s="235"/>
      <c r="D31" s="237">
        <v>33600</v>
      </c>
      <c r="E31" s="237">
        <v>38000</v>
      </c>
      <c r="F31" s="286">
        <f>SUM(D31:E31)</f>
        <v>71600</v>
      </c>
      <c r="G31" s="305">
        <f>SUMIF($AM6:$AM12,"DR Retained Earnings",$AN6:$AN12)</f>
        <v>3260</v>
      </c>
      <c r="H31" s="326">
        <f>-SUMIF($AM6:$AM12,"CR Retained Earnings",AO6:AO12)</f>
        <v>0</v>
      </c>
      <c r="I31" s="305">
        <f>SUMIF($AM18:$AM20,"DR Retained Earnings",$AN18:$AN20)</f>
        <v>652.4</v>
      </c>
      <c r="J31" s="326">
        <f>-SUMIF($AM18:$AM20,"CR Retained Earnings",AQ18:AQ20)</f>
        <v>0</v>
      </c>
      <c r="K31" s="305">
        <f>SUMIF($AM$23:$AM$27,"DR Retained Earnings",$AN$23:$AN$27)</f>
        <v>150.6</v>
      </c>
      <c r="L31" s="306">
        <f>-SUMIF($AM$23:$AM$27,"CR Retained Earnings",$AO$23:$AO$27)</f>
        <v>0</v>
      </c>
      <c r="M31" s="296"/>
      <c r="N31" s="306"/>
      <c r="O31" s="305">
        <f>SUMIF($AM$39:$AM$43,"DR Retained Earnings",$AN$39:$AN$43)</f>
        <v>0</v>
      </c>
      <c r="P31" s="306">
        <f>SUMIF($AM$39:$AM$43,"CR Retained Earnings",$AO$39:$AO$43)</f>
        <v>0</v>
      </c>
      <c r="Q31" s="305">
        <f>SUMIF($AM$46:$AM$50,"DR Retained Earnings",$AN$46:$AN$50)</f>
        <v>0</v>
      </c>
      <c r="R31" s="305">
        <f>-SUMIF($AM$46:$AM$50,"CR Retained Earnings",$AO$46:$AO$50)</f>
        <v>0</v>
      </c>
      <c r="S31" s="385"/>
      <c r="T31" s="380"/>
      <c r="U31" s="385"/>
      <c r="V31" s="380"/>
      <c r="W31" s="322"/>
      <c r="X31" s="322"/>
      <c r="Y31" s="305">
        <f>SUMIF($AM$84:$AM$85,"DR Retained Earnings",$AN$84:$AN$85)</f>
        <v>0</v>
      </c>
      <c r="Z31" s="306">
        <f>-SUMIF($AM$84:$AM$85,"CR Retained Earnings",$AO$84:$AO$85)</f>
        <v>-205.8</v>
      </c>
      <c r="AA31" s="312">
        <f>F31-SUM(G31:Z31)</f>
        <v>67742.8</v>
      </c>
      <c r="AS31" s="268" t="str">
        <f>"NCI share of revaluation reserve (*"&amp;AV6&amp;")"</f>
        <v>NCI share of revaluation reserve (*0.2)</v>
      </c>
      <c r="AV31" s="281">
        <f>AV30*AV6</f>
        <v>0</v>
      </c>
    </row>
    <row r="32" spans="2:64" ht="18.75" customHeight="1" thickTop="1" thickBot="1" x14ac:dyDescent="0.3">
      <c r="B32" s="233"/>
      <c r="C32" s="235"/>
      <c r="D32" s="236"/>
      <c r="E32" s="236"/>
      <c r="F32" s="285"/>
      <c r="G32" s="303"/>
      <c r="H32" s="285"/>
      <c r="I32" s="303"/>
      <c r="J32" s="285"/>
      <c r="K32" s="303"/>
      <c r="L32" s="304"/>
      <c r="M32" s="295"/>
      <c r="N32" s="304"/>
      <c r="O32" s="303"/>
      <c r="P32" s="304"/>
      <c r="Q32" s="303"/>
      <c r="R32" s="304"/>
      <c r="S32" s="383"/>
      <c r="T32" s="384"/>
      <c r="U32" s="383"/>
      <c r="V32" s="384"/>
      <c r="W32" s="321"/>
      <c r="X32" s="321"/>
      <c r="Y32" s="303"/>
      <c r="Z32" s="304"/>
      <c r="AA32" s="295"/>
    </row>
    <row r="33" spans="2:64" ht="18.75" customHeight="1" thickBot="1" x14ac:dyDescent="0.3">
      <c r="B33" s="233"/>
      <c r="C33" s="235"/>
      <c r="D33" s="236"/>
      <c r="E33" s="236"/>
      <c r="F33" s="285"/>
      <c r="G33" s="303"/>
      <c r="H33" s="285"/>
      <c r="I33" s="303"/>
      <c r="J33" s="285"/>
      <c r="K33" s="303"/>
      <c r="L33" s="304"/>
      <c r="M33" s="295"/>
      <c r="N33" s="304"/>
      <c r="O33" s="303"/>
      <c r="P33" s="304"/>
      <c r="Q33" s="303"/>
      <c r="R33" s="304"/>
      <c r="S33" s="383"/>
      <c r="T33" s="384"/>
      <c r="U33" s="383"/>
      <c r="V33" s="384"/>
      <c r="W33" s="321"/>
      <c r="X33" s="321"/>
      <c r="Y33" s="303"/>
      <c r="Z33" s="304"/>
      <c r="AA33" s="295"/>
      <c r="AL33" s="277">
        <v>4</v>
      </c>
      <c r="AM33" s="268" t="s">
        <v>713</v>
      </c>
      <c r="AN33" s="276">
        <f>AV36</f>
        <v>-205.8</v>
      </c>
      <c r="AO33" s="276"/>
    </row>
    <row r="34" spans="2:64" ht="18.75" customHeight="1" x14ac:dyDescent="0.25">
      <c r="B34" s="233" t="s">
        <v>680</v>
      </c>
      <c r="C34" s="235" t="s">
        <v>681</v>
      </c>
      <c r="D34" s="237"/>
      <c r="E34" s="237"/>
      <c r="F34" s="286">
        <f>SUM(D34:E34)</f>
        <v>0</v>
      </c>
      <c r="G34" s="305"/>
      <c r="H34" s="326"/>
      <c r="I34" s="305"/>
      <c r="J34" s="326"/>
      <c r="K34" s="305"/>
      <c r="L34" s="306"/>
      <c r="M34" s="296"/>
      <c r="N34" s="306"/>
      <c r="O34" s="305"/>
      <c r="P34" s="306"/>
      <c r="Q34" s="305"/>
      <c r="R34" s="306"/>
      <c r="S34" s="385"/>
      <c r="T34" s="380"/>
      <c r="U34" s="385"/>
      <c r="V34" s="380"/>
      <c r="W34" s="322"/>
      <c r="X34" s="322"/>
      <c r="Y34" s="305"/>
      <c r="Z34" s="306"/>
      <c r="AA34" s="312">
        <f>F34-SUM(G34:Z34)</f>
        <v>0</v>
      </c>
      <c r="AM34" s="268" t="s">
        <v>709</v>
      </c>
      <c r="AN34" s="276"/>
      <c r="AO34" s="276">
        <f>AV36</f>
        <v>-205.8</v>
      </c>
      <c r="AS34" s="269" t="s">
        <v>710</v>
      </c>
      <c r="BL34" s="402" t="s">
        <v>749</v>
      </c>
    </row>
    <row r="35" spans="2:64" ht="18.75" customHeight="1" x14ac:dyDescent="0.25">
      <c r="B35" s="233"/>
      <c r="C35" s="235"/>
      <c r="D35" s="242">
        <f>SUM(D27:D34)</f>
        <v>283600</v>
      </c>
      <c r="E35" s="242">
        <f>SUM(E27:E34)</f>
        <v>109250</v>
      </c>
      <c r="F35" s="291">
        <f>SUM(F27:F34)</f>
        <v>392850</v>
      </c>
      <c r="G35" s="303"/>
      <c r="H35" s="285"/>
      <c r="I35" s="307"/>
      <c r="J35" s="289"/>
      <c r="K35" s="307"/>
      <c r="L35" s="308"/>
      <c r="M35" s="298"/>
      <c r="N35" s="308"/>
      <c r="O35" s="307"/>
      <c r="P35" s="308"/>
      <c r="Q35" s="307"/>
      <c r="R35" s="308"/>
      <c r="S35" s="388"/>
      <c r="T35" s="389"/>
      <c r="U35" s="388"/>
      <c r="V35" s="389"/>
      <c r="W35" s="324"/>
      <c r="X35" s="324"/>
      <c r="Y35" s="307"/>
      <c r="Z35" s="308"/>
      <c r="AA35" s="315">
        <f>SUM(AA27:AA34)</f>
        <v>387792.8</v>
      </c>
      <c r="AS35" s="268" t="s">
        <v>712</v>
      </c>
      <c r="AV35" s="267">
        <v>-1029</v>
      </c>
    </row>
    <row r="36" spans="2:64" ht="18.75" customHeight="1" thickBot="1" x14ac:dyDescent="0.3">
      <c r="B36" s="230" t="s">
        <v>682</v>
      </c>
      <c r="C36" s="235" t="s">
        <v>683</v>
      </c>
      <c r="D36" s="243"/>
      <c r="E36" s="243"/>
      <c r="F36" s="292">
        <f>SUM(D36:E36)</f>
        <v>0</v>
      </c>
      <c r="G36" s="305">
        <f>SUMIF($AM12:$AM17,"DR SFP - non-controlling interest",$AN12:$AN17)</f>
        <v>0</v>
      </c>
      <c r="H36" s="326">
        <f>-SUMIF($AM12:$AM17,"CR SFP - non-controlling interest",AO12:AO17)</f>
        <v>-892</v>
      </c>
      <c r="I36" s="320"/>
      <c r="J36" s="332"/>
      <c r="K36" s="390">
        <f>-SUMIF($AM$23:$AM$27,"DR SFP - Non-controlling interests",$AN$23:$AN$27)</f>
        <v>0</v>
      </c>
      <c r="L36" s="306">
        <f>-SUMIF($AM$23:$AM$27,"CR SFP - Non-controlling interests",$AO$23:$AO$27)</f>
        <v>-150.6</v>
      </c>
      <c r="M36" s="380">
        <f>-SUMIF($AM$33:$AM$34,"DR SFP - Non-controlling interests",$AN$33:$AN$34)</f>
        <v>0</v>
      </c>
      <c r="N36" s="306">
        <f>-SUMIF($AM$33:$AM$34,"CR SFP - Non-controlling interests",$AO$33:$AO$34)</f>
        <v>205.8</v>
      </c>
      <c r="O36" s="305">
        <f>SUMIF($AM$39:$AM$43,"DR SFP - Non-controlling interests",$AN$39:$AN$43)</f>
        <v>0</v>
      </c>
      <c r="P36" s="306">
        <f>SUMIF($AM$39:$AM$43,"CR SFP - Non-controlling interests",$AO$39:$AO$43)</f>
        <v>0</v>
      </c>
      <c r="Q36" s="305">
        <f>SUMIF($AM$46:$AM$50,"DR SFP - Non-controlling interests",$AN$46:$AN$50)</f>
        <v>0</v>
      </c>
      <c r="R36" s="306">
        <f>SUMIF($AM$46:$AM$50,"CR SFP - Non-controlling interests",$AO$46:$AO$50)</f>
        <v>0</v>
      </c>
      <c r="S36" s="305">
        <f>SUMIF($AM$54:$AM$61,"DR SFP - Non-controlling interests",$AN$54:$AN$61)</f>
        <v>0</v>
      </c>
      <c r="T36" s="306">
        <f>-SUMIF($AM$54:$AM$61,"CR SFP - Non-controlling interests",$AO$54:$AO$61)</f>
        <v>0</v>
      </c>
      <c r="U36" s="305"/>
      <c r="V36" s="306"/>
      <c r="W36" s="322">
        <f>SUMIF($AM$71:$AM$82,"DR SFP - Non-controlling interests",AN$71:AN$82)</f>
        <v>0</v>
      </c>
      <c r="X36" s="322">
        <f>SUMIF($AM$71:$AM$82,"CR SFP - Non-controlling interests",AO$71:AO$82)</f>
        <v>0</v>
      </c>
      <c r="Y36" s="305">
        <f>-SUMIF($AM$84:$AM$85,"DR SFP - Non-controlling interests",$AN$84:$AN$85)</f>
        <v>0</v>
      </c>
      <c r="Z36" s="306">
        <f>-SUMIF($AM$84:$AM$85,"CR SFP - Non-controlling interests",$AO$84:$AO$85)</f>
        <v>0</v>
      </c>
      <c r="AA36" s="312">
        <f>F36-SUM(G36:Z36)</f>
        <v>836.8</v>
      </c>
      <c r="AS36" s="268" t="str">
        <f>"NCI share of current year profit (*"&amp;AV6&amp;")"</f>
        <v>NCI share of current year profit (*0.2)</v>
      </c>
      <c r="AV36" s="282">
        <f>AV35*AV6</f>
        <v>-205.8</v>
      </c>
    </row>
    <row r="37" spans="2:64" ht="18.75" customHeight="1" thickTop="1" x14ac:dyDescent="0.25">
      <c r="B37" s="230"/>
      <c r="C37" s="235"/>
      <c r="D37" s="236"/>
      <c r="E37" s="236"/>
      <c r="F37" s="285"/>
      <c r="G37" s="303"/>
      <c r="H37" s="285"/>
      <c r="I37" s="303"/>
      <c r="J37" s="285"/>
      <c r="K37" s="303"/>
      <c r="L37" s="304"/>
      <c r="M37" s="295"/>
      <c r="N37" s="304"/>
      <c r="O37" s="303"/>
      <c r="P37" s="304"/>
      <c r="Q37" s="303"/>
      <c r="R37" s="304"/>
      <c r="S37" s="383"/>
      <c r="T37" s="384"/>
      <c r="U37" s="383"/>
      <c r="V37" s="384"/>
      <c r="W37" s="321"/>
      <c r="X37" s="321"/>
      <c r="Y37" s="303"/>
      <c r="Z37" s="304"/>
      <c r="AA37" s="295"/>
    </row>
    <row r="38" spans="2:64" ht="18.75" customHeight="1" thickBot="1" x14ac:dyDescent="0.3">
      <c r="B38" s="230"/>
      <c r="C38" s="235"/>
      <c r="D38" s="236"/>
      <c r="E38" s="236"/>
      <c r="F38" s="285"/>
      <c r="G38" s="303"/>
      <c r="H38" s="285"/>
      <c r="I38" s="303"/>
      <c r="J38" s="285"/>
      <c r="K38" s="303"/>
      <c r="L38" s="304"/>
      <c r="M38" s="295"/>
      <c r="N38" s="304"/>
      <c r="O38" s="303"/>
      <c r="P38" s="304"/>
      <c r="Q38" s="303"/>
      <c r="R38" s="304"/>
      <c r="S38" s="383"/>
      <c r="T38" s="384"/>
      <c r="U38" s="383"/>
      <c r="V38" s="384"/>
      <c r="W38" s="321"/>
      <c r="X38" s="321"/>
      <c r="Y38" s="303"/>
      <c r="Z38" s="304"/>
      <c r="AA38" s="295"/>
      <c r="BL38" s="402" t="s">
        <v>772</v>
      </c>
    </row>
    <row r="39" spans="2:64" ht="18.75" customHeight="1" thickBot="1" x14ac:dyDescent="0.3">
      <c r="B39" s="230" t="s">
        <v>684</v>
      </c>
      <c r="C39" s="235"/>
      <c r="D39" s="239">
        <f>D35+D36</f>
        <v>283600</v>
      </c>
      <c r="E39" s="239">
        <f>E35+E36</f>
        <v>109250</v>
      </c>
      <c r="F39" s="288">
        <f>F35+F36</f>
        <v>392850</v>
      </c>
      <c r="G39" s="303"/>
      <c r="H39" s="285"/>
      <c r="I39" s="318"/>
      <c r="J39" s="404"/>
      <c r="K39" s="318"/>
      <c r="L39" s="319"/>
      <c r="M39" s="297"/>
      <c r="N39" s="319"/>
      <c r="O39" s="318"/>
      <c r="P39" s="319"/>
      <c r="Q39" s="318"/>
      <c r="R39" s="319"/>
      <c r="S39" s="386"/>
      <c r="T39" s="387"/>
      <c r="U39" s="386"/>
      <c r="V39" s="387"/>
      <c r="W39" s="323"/>
      <c r="X39" s="323"/>
      <c r="Y39" s="318"/>
      <c r="Z39" s="319"/>
      <c r="AA39" s="313">
        <f>AA35+AA36</f>
        <v>388629.6</v>
      </c>
      <c r="AL39" s="277">
        <v>5</v>
      </c>
      <c r="AM39" s="248" t="s">
        <v>823</v>
      </c>
      <c r="AN39" s="375">
        <f>AV40</f>
        <v>0</v>
      </c>
      <c r="AS39" s="269" t="s">
        <v>767</v>
      </c>
    </row>
    <row r="40" spans="2:64" ht="18.75" customHeight="1" x14ac:dyDescent="0.25">
      <c r="B40" s="233"/>
      <c r="C40" s="235"/>
      <c r="D40" s="236"/>
      <c r="E40" s="236"/>
      <c r="F40" s="285"/>
      <c r="G40" s="303"/>
      <c r="H40" s="285"/>
      <c r="I40" s="303"/>
      <c r="J40" s="285"/>
      <c r="K40" s="303"/>
      <c r="L40" s="304"/>
      <c r="M40" s="295"/>
      <c r="N40" s="304"/>
      <c r="O40" s="303"/>
      <c r="P40" s="304"/>
      <c r="Q40" s="303"/>
      <c r="R40" s="304"/>
      <c r="S40" s="383"/>
      <c r="T40" s="384"/>
      <c r="U40" s="383"/>
      <c r="V40" s="384"/>
      <c r="W40" s="321"/>
      <c r="X40" s="321"/>
      <c r="Y40" s="303"/>
      <c r="Z40" s="304"/>
      <c r="AA40" s="295"/>
      <c r="AM40" s="248" t="s">
        <v>813</v>
      </c>
      <c r="AO40" s="375">
        <f>AV40</f>
        <v>0</v>
      </c>
      <c r="AS40" s="268" t="s">
        <v>768</v>
      </c>
      <c r="AV40" s="376"/>
    </row>
    <row r="41" spans="2:64" ht="18.75" customHeight="1" x14ac:dyDescent="0.25">
      <c r="B41" s="230" t="s">
        <v>82</v>
      </c>
      <c r="C41" s="235"/>
      <c r="D41" s="236"/>
      <c r="E41" s="236"/>
      <c r="F41" s="285"/>
      <c r="G41" s="303"/>
      <c r="H41" s="285"/>
      <c r="I41" s="303"/>
      <c r="J41" s="285"/>
      <c r="K41" s="303"/>
      <c r="L41" s="304"/>
      <c r="M41" s="295"/>
      <c r="N41" s="304"/>
      <c r="O41" s="303"/>
      <c r="P41" s="304"/>
      <c r="Q41" s="303"/>
      <c r="R41" s="304"/>
      <c r="S41" s="383"/>
      <c r="T41" s="384"/>
      <c r="U41" s="383"/>
      <c r="V41" s="384"/>
      <c r="W41" s="321"/>
      <c r="X41" s="321"/>
      <c r="Y41" s="303"/>
      <c r="Z41" s="304"/>
      <c r="AA41" s="295"/>
      <c r="AS41" s="268" t="s">
        <v>815</v>
      </c>
      <c r="AV41" s="267"/>
    </row>
    <row r="42" spans="2:64" ht="18.75" customHeight="1" x14ac:dyDescent="0.25">
      <c r="B42" s="233" t="s">
        <v>685</v>
      </c>
      <c r="C42" s="235" t="s">
        <v>667</v>
      </c>
      <c r="D42" s="237"/>
      <c r="E42" s="237">
        <v>20000</v>
      </c>
      <c r="F42" s="286">
        <f>SUM(D42:E42)</f>
        <v>20000</v>
      </c>
      <c r="G42" s="305"/>
      <c r="H42" s="326"/>
      <c r="I42" s="305"/>
      <c r="J42" s="326"/>
      <c r="K42" s="305"/>
      <c r="L42" s="306"/>
      <c r="M42" s="296"/>
      <c r="N42" s="306"/>
      <c r="O42" s="305"/>
      <c r="P42" s="306"/>
      <c r="Q42" s="305"/>
      <c r="R42" s="306"/>
      <c r="S42" s="385"/>
      <c r="T42" s="380"/>
      <c r="U42" s="385"/>
      <c r="V42" s="380"/>
      <c r="W42" s="322"/>
      <c r="X42" s="322"/>
      <c r="Y42" s="305"/>
      <c r="Z42" s="306"/>
      <c r="AA42" s="312">
        <f>F42-SUM(G42:Z42)</f>
        <v>20000</v>
      </c>
      <c r="AM42" s="248" t="s">
        <v>814</v>
      </c>
      <c r="AN42" s="268">
        <f>AV41</f>
        <v>0</v>
      </c>
    </row>
    <row r="43" spans="2:64" ht="18.75" customHeight="1" x14ac:dyDescent="0.25">
      <c r="B43" s="233" t="s">
        <v>686</v>
      </c>
      <c r="C43" s="235" t="s">
        <v>687</v>
      </c>
      <c r="D43" s="237"/>
      <c r="E43" s="237"/>
      <c r="F43" s="286">
        <f>SUM(D43:E43)</f>
        <v>0</v>
      </c>
      <c r="G43" s="305"/>
      <c r="H43" s="326"/>
      <c r="I43" s="305"/>
      <c r="J43" s="326"/>
      <c r="K43" s="305"/>
      <c r="L43" s="306"/>
      <c r="M43" s="296"/>
      <c r="N43" s="306"/>
      <c r="O43" s="305"/>
      <c r="P43" s="306"/>
      <c r="Q43" s="305"/>
      <c r="R43" s="306"/>
      <c r="S43" s="385"/>
      <c r="T43" s="380"/>
      <c r="U43" s="385"/>
      <c r="V43" s="380"/>
      <c r="W43" s="322"/>
      <c r="X43" s="322"/>
      <c r="Y43" s="305"/>
      <c r="Z43" s="306"/>
      <c r="AA43" s="312">
        <f>F43-SUM(G43:Z43)</f>
        <v>0</v>
      </c>
      <c r="AM43" s="248" t="s">
        <v>813</v>
      </c>
      <c r="AO43" s="268">
        <f>AV41</f>
        <v>0</v>
      </c>
    </row>
    <row r="44" spans="2:64" ht="18.75" customHeight="1" x14ac:dyDescent="0.25">
      <c r="B44" s="233" t="s">
        <v>688</v>
      </c>
      <c r="C44" s="235" t="s">
        <v>667</v>
      </c>
      <c r="D44" s="237"/>
      <c r="E44" s="237"/>
      <c r="F44" s="286">
        <f>SUM(D44:E44)</f>
        <v>0</v>
      </c>
      <c r="G44" s="305"/>
      <c r="H44" s="326"/>
      <c r="I44" s="305"/>
      <c r="J44" s="326"/>
      <c r="K44" s="305"/>
      <c r="L44" s="306"/>
      <c r="M44" s="296"/>
      <c r="N44" s="306"/>
      <c r="O44" s="305"/>
      <c r="P44" s="306"/>
      <c r="Q44" s="305"/>
      <c r="R44" s="306"/>
      <c r="S44" s="385"/>
      <c r="T44" s="380"/>
      <c r="U44" s="385"/>
      <c r="V44" s="380"/>
      <c r="W44" s="322"/>
      <c r="X44" s="322"/>
      <c r="Y44" s="305"/>
      <c r="Z44" s="306"/>
      <c r="AA44" s="312">
        <f>F44-SUM(G44:Z44)</f>
        <v>0</v>
      </c>
    </row>
    <row r="45" spans="2:64" ht="18.75" customHeight="1" thickBot="1" x14ac:dyDescent="0.3">
      <c r="B45" s="230" t="s">
        <v>689</v>
      </c>
      <c r="C45" s="235"/>
      <c r="D45" s="239">
        <f>SUM(D42:D44)</f>
        <v>0</v>
      </c>
      <c r="E45" s="239">
        <f>SUM(E42:E44)</f>
        <v>20000</v>
      </c>
      <c r="F45" s="288">
        <f>SUM(F42:F44)</f>
        <v>20000</v>
      </c>
      <c r="G45" s="303"/>
      <c r="H45" s="285"/>
      <c r="I45" s="318"/>
      <c r="J45" s="404"/>
      <c r="K45" s="318"/>
      <c r="L45" s="319"/>
      <c r="M45" s="297"/>
      <c r="N45" s="319"/>
      <c r="O45" s="318"/>
      <c r="P45" s="319"/>
      <c r="Q45" s="318"/>
      <c r="R45" s="319"/>
      <c r="S45" s="386"/>
      <c r="T45" s="387"/>
      <c r="U45" s="386"/>
      <c r="V45" s="387"/>
      <c r="W45" s="323"/>
      <c r="X45" s="323"/>
      <c r="Y45" s="318"/>
      <c r="Z45" s="319"/>
      <c r="AA45" s="313">
        <f>SUM(AA42:AA44)</f>
        <v>20000</v>
      </c>
    </row>
    <row r="46" spans="2:64" ht="18.75" customHeight="1" thickBot="1" x14ac:dyDescent="0.3">
      <c r="B46" s="233"/>
      <c r="C46" s="235"/>
      <c r="D46" s="236"/>
      <c r="E46" s="236"/>
      <c r="F46" s="285"/>
      <c r="G46" s="303"/>
      <c r="H46" s="285"/>
      <c r="I46" s="303"/>
      <c r="J46" s="285"/>
      <c r="K46" s="303"/>
      <c r="L46" s="304"/>
      <c r="M46" s="295"/>
      <c r="N46" s="304"/>
      <c r="O46" s="303"/>
      <c r="P46" s="304"/>
      <c r="Q46" s="303"/>
      <c r="R46" s="304"/>
      <c r="S46" s="383"/>
      <c r="T46" s="384"/>
      <c r="U46" s="383"/>
      <c r="V46" s="384"/>
      <c r="W46" s="321"/>
      <c r="X46" s="321"/>
      <c r="Y46" s="303"/>
      <c r="Z46" s="304"/>
      <c r="AA46" s="295"/>
      <c r="AL46" s="277">
        <v>6</v>
      </c>
      <c r="AM46" s="268" t="s">
        <v>776</v>
      </c>
      <c r="AN46" s="276">
        <f>AV49</f>
        <v>0</v>
      </c>
      <c r="AO46" s="276"/>
      <c r="AS46" s="269" t="s">
        <v>769</v>
      </c>
    </row>
    <row r="47" spans="2:64" ht="18.75" customHeight="1" x14ac:dyDescent="0.25">
      <c r="B47" s="230" t="s">
        <v>84</v>
      </c>
      <c r="C47" s="235"/>
      <c r="D47" s="236"/>
      <c r="E47" s="236"/>
      <c r="F47" s="285"/>
      <c r="G47" s="303"/>
      <c r="H47" s="285"/>
      <c r="I47" s="303"/>
      <c r="J47" s="285"/>
      <c r="K47" s="303"/>
      <c r="L47" s="304"/>
      <c r="M47" s="295"/>
      <c r="N47" s="304"/>
      <c r="O47" s="303"/>
      <c r="P47" s="304"/>
      <c r="Q47" s="303"/>
      <c r="R47" s="304"/>
      <c r="S47" s="383"/>
      <c r="T47" s="384"/>
      <c r="U47" s="383"/>
      <c r="V47" s="384"/>
      <c r="W47" s="321"/>
      <c r="X47" s="321"/>
      <c r="Y47" s="303"/>
      <c r="Z47" s="304"/>
      <c r="AA47" s="295"/>
      <c r="AM47" s="268" t="s">
        <v>609</v>
      </c>
      <c r="AN47" s="276"/>
      <c r="AO47" s="276">
        <f>AV49</f>
        <v>0</v>
      </c>
      <c r="AS47" s="268" t="s">
        <v>775</v>
      </c>
      <c r="AV47" s="267">
        <f>AV25</f>
        <v>0</v>
      </c>
    </row>
    <row r="48" spans="2:64" ht="18.75" customHeight="1" x14ac:dyDescent="0.25">
      <c r="B48" s="233" t="s">
        <v>86</v>
      </c>
      <c r="C48" s="235"/>
      <c r="D48" s="245">
        <v>123000</v>
      </c>
      <c r="E48" s="245">
        <f>8000+52000</f>
        <v>60000</v>
      </c>
      <c r="F48" s="293">
        <f>SUM(D48:E48)</f>
        <v>183000</v>
      </c>
      <c r="G48" s="305"/>
      <c r="H48" s="326"/>
      <c r="I48" s="305"/>
      <c r="J48" s="326"/>
      <c r="K48" s="305"/>
      <c r="L48" s="306"/>
      <c r="M48" s="296"/>
      <c r="N48" s="306"/>
      <c r="O48" s="305">
        <f>SUMIF($AM$39:$AM$43,"DR Trade payables",$AN$39:$AN$43)</f>
        <v>0</v>
      </c>
      <c r="P48" s="306">
        <f>-SUMIF($AM$39:$AM$67,"CR Trade payables",$AO$39:$AO$67)</f>
        <v>0</v>
      </c>
      <c r="Q48" s="305"/>
      <c r="R48" s="306"/>
      <c r="S48" s="385"/>
      <c r="T48" s="380"/>
      <c r="U48" s="385"/>
      <c r="V48" s="380"/>
      <c r="W48" s="322"/>
      <c r="X48" s="322"/>
      <c r="Y48" s="305"/>
      <c r="Z48" s="306"/>
      <c r="AA48" s="312">
        <f>F48-SUM(G48:Z48)</f>
        <v>183000</v>
      </c>
      <c r="AN48" s="276"/>
      <c r="AO48" s="276"/>
    </row>
    <row r="49" spans="2:64" ht="18.75" customHeight="1" x14ac:dyDescent="0.25">
      <c r="B49" s="233" t="s">
        <v>690</v>
      </c>
      <c r="C49" s="235" t="s">
        <v>667</v>
      </c>
      <c r="D49" s="245"/>
      <c r="E49" s="245"/>
      <c r="F49" s="293">
        <f>SUM(D49:E49)</f>
        <v>0</v>
      </c>
      <c r="G49" s="305"/>
      <c r="H49" s="326"/>
      <c r="I49" s="305"/>
      <c r="J49" s="326"/>
      <c r="K49" s="305"/>
      <c r="L49" s="306"/>
      <c r="M49" s="296"/>
      <c r="N49" s="306"/>
      <c r="O49" s="305"/>
      <c r="P49" s="306"/>
      <c r="Q49" s="305"/>
      <c r="R49" s="306"/>
      <c r="S49" s="385"/>
      <c r="T49" s="380"/>
      <c r="U49" s="385"/>
      <c r="V49" s="380"/>
      <c r="W49" s="322"/>
      <c r="X49" s="322"/>
      <c r="Y49" s="305"/>
      <c r="Z49" s="306"/>
      <c r="AA49" s="312">
        <f>F49-SUM(G49:Z49)</f>
        <v>0</v>
      </c>
      <c r="AM49" s="268" t="s">
        <v>777</v>
      </c>
      <c r="AN49" s="276">
        <f>AV50</f>
        <v>0</v>
      </c>
      <c r="AO49" s="276"/>
      <c r="AS49" s="268" t="s">
        <v>773</v>
      </c>
      <c r="AV49" s="276">
        <f>AV47-AV50</f>
        <v>0</v>
      </c>
    </row>
    <row r="50" spans="2:64" ht="18.75" customHeight="1" x14ac:dyDescent="0.25">
      <c r="B50" s="233" t="s">
        <v>691</v>
      </c>
      <c r="C50" s="235" t="s">
        <v>667</v>
      </c>
      <c r="D50" s="245"/>
      <c r="E50" s="245"/>
      <c r="F50" s="293">
        <f>SUM(D50:E50)</f>
        <v>0</v>
      </c>
      <c r="G50" s="305"/>
      <c r="H50" s="326"/>
      <c r="I50" s="305"/>
      <c r="J50" s="326"/>
      <c r="K50" s="305"/>
      <c r="L50" s="306"/>
      <c r="M50" s="296"/>
      <c r="N50" s="306"/>
      <c r="O50" s="305"/>
      <c r="P50" s="306"/>
      <c r="Q50" s="305"/>
      <c r="R50" s="306"/>
      <c r="S50" s="385"/>
      <c r="T50" s="380"/>
      <c r="U50" s="385"/>
      <c r="V50" s="380"/>
      <c r="W50" s="322"/>
      <c r="X50" s="322"/>
      <c r="Y50" s="305"/>
      <c r="Z50" s="306"/>
      <c r="AA50" s="312">
        <f>F50-SUM(G50:Z50)</f>
        <v>0</v>
      </c>
      <c r="AM50" s="268" t="s">
        <v>609</v>
      </c>
      <c r="AN50" s="276"/>
      <c r="AO50" s="276">
        <f>AV50</f>
        <v>0</v>
      </c>
      <c r="AS50" s="268" t="s">
        <v>774</v>
      </c>
      <c r="AV50" s="276">
        <f>AV47*AV6</f>
        <v>0</v>
      </c>
    </row>
    <row r="51" spans="2:64" ht="18.75" customHeight="1" x14ac:dyDescent="0.25">
      <c r="B51" s="233" t="s">
        <v>87</v>
      </c>
      <c r="C51" s="235"/>
      <c r="D51" s="245"/>
      <c r="E51" s="245"/>
      <c r="F51" s="293">
        <f>SUM(D51:E51)</f>
        <v>0</v>
      </c>
      <c r="G51" s="305"/>
      <c r="H51" s="326"/>
      <c r="I51" s="305"/>
      <c r="J51" s="326"/>
      <c r="K51" s="305"/>
      <c r="L51" s="306"/>
      <c r="M51" s="296"/>
      <c r="N51" s="306"/>
      <c r="O51" s="305"/>
      <c r="P51" s="306"/>
      <c r="Q51" s="305"/>
      <c r="R51" s="306"/>
      <c r="S51" s="385"/>
      <c r="T51" s="380"/>
      <c r="U51" s="385"/>
      <c r="V51" s="380"/>
      <c r="W51" s="322"/>
      <c r="X51" s="322"/>
      <c r="Y51" s="305"/>
      <c r="Z51" s="306"/>
      <c r="AA51" s="312">
        <f>F51-SUM(G51:Z51)</f>
        <v>0</v>
      </c>
    </row>
    <row r="52" spans="2:64" ht="18.75" customHeight="1" x14ac:dyDescent="0.25">
      <c r="B52" s="233" t="s">
        <v>692</v>
      </c>
      <c r="C52" s="235" t="s">
        <v>667</v>
      </c>
      <c r="D52" s="245"/>
      <c r="E52" s="245"/>
      <c r="F52" s="293">
        <f>SUM(D52:E52)</f>
        <v>0</v>
      </c>
      <c r="G52" s="305"/>
      <c r="H52" s="326"/>
      <c r="I52" s="305"/>
      <c r="J52" s="326"/>
      <c r="K52" s="305"/>
      <c r="L52" s="306"/>
      <c r="M52" s="296"/>
      <c r="N52" s="306"/>
      <c r="O52" s="305"/>
      <c r="P52" s="306"/>
      <c r="Q52" s="305"/>
      <c r="R52" s="306"/>
      <c r="S52" s="385"/>
      <c r="T52" s="380"/>
      <c r="U52" s="385"/>
      <c r="V52" s="380"/>
      <c r="W52" s="322"/>
      <c r="X52" s="322"/>
      <c r="Y52" s="305"/>
      <c r="Z52" s="306"/>
      <c r="AA52" s="312">
        <f>F52-SUM(G52:Z52)</f>
        <v>0</v>
      </c>
    </row>
    <row r="53" spans="2:64" ht="18.75" customHeight="1" thickBot="1" x14ac:dyDescent="0.3">
      <c r="B53" s="230" t="s">
        <v>693</v>
      </c>
      <c r="C53" s="235"/>
      <c r="D53" s="239">
        <f>SUM(D48:D52)</f>
        <v>123000</v>
      </c>
      <c r="E53" s="239">
        <f>SUM(E48:E52)</f>
        <v>60000</v>
      </c>
      <c r="F53" s="288">
        <f>SUM(F48:F52)</f>
        <v>183000</v>
      </c>
      <c r="G53" s="303"/>
      <c r="H53" s="285"/>
      <c r="I53" s="303"/>
      <c r="J53" s="285"/>
      <c r="K53" s="303"/>
      <c r="L53" s="304"/>
      <c r="M53" s="295"/>
      <c r="N53" s="304"/>
      <c r="O53" s="303"/>
      <c r="P53" s="304"/>
      <c r="Q53" s="303"/>
      <c r="R53" s="304"/>
      <c r="S53" s="383"/>
      <c r="T53" s="384"/>
      <c r="U53" s="383"/>
      <c r="V53" s="384"/>
      <c r="W53" s="321"/>
      <c r="X53" s="321"/>
      <c r="Y53" s="303"/>
      <c r="Z53" s="304"/>
      <c r="AA53" s="313">
        <f>SUM(AA48:AA52)</f>
        <v>183000</v>
      </c>
      <c r="AS53" s="269" t="s">
        <v>778</v>
      </c>
    </row>
    <row r="54" spans="2:64" ht="18.75" customHeight="1" thickBot="1" x14ac:dyDescent="0.3">
      <c r="B54" s="230" t="s">
        <v>694</v>
      </c>
      <c r="C54" s="235"/>
      <c r="D54" s="239">
        <f>SUM(D45,D53)</f>
        <v>123000</v>
      </c>
      <c r="E54" s="239">
        <f>SUM(E45,E53)</f>
        <v>80000</v>
      </c>
      <c r="F54" s="288">
        <f>SUM(F45,F53)</f>
        <v>203000</v>
      </c>
      <c r="G54" s="303"/>
      <c r="H54" s="285"/>
      <c r="I54" s="303"/>
      <c r="J54" s="285"/>
      <c r="K54" s="303"/>
      <c r="L54" s="304"/>
      <c r="M54" s="295"/>
      <c r="N54" s="304"/>
      <c r="O54" s="303"/>
      <c r="P54" s="304"/>
      <c r="Q54" s="303"/>
      <c r="R54" s="304"/>
      <c r="S54" s="383"/>
      <c r="T54" s="384"/>
      <c r="U54" s="383"/>
      <c r="V54" s="384"/>
      <c r="W54" s="321"/>
      <c r="X54" s="321"/>
      <c r="Y54" s="303"/>
      <c r="Z54" s="304"/>
      <c r="AA54" s="313">
        <f>SUM(AA45,AA53)</f>
        <v>203000</v>
      </c>
      <c r="AL54" s="277">
        <v>7</v>
      </c>
      <c r="AM54" s="268" t="s">
        <v>779</v>
      </c>
      <c r="AN54" s="276">
        <f>AV55</f>
        <v>0</v>
      </c>
      <c r="AS54" s="403" t="s">
        <v>799</v>
      </c>
    </row>
    <row r="55" spans="2:64" ht="18.75" customHeight="1" thickBot="1" x14ac:dyDescent="0.3">
      <c r="B55" s="230" t="s">
        <v>695</v>
      </c>
      <c r="C55" s="235"/>
      <c r="D55" s="241">
        <f>SUM(D39,D54)</f>
        <v>406600</v>
      </c>
      <c r="E55" s="241">
        <f>SUM(E39,E54)</f>
        <v>189250</v>
      </c>
      <c r="F55" s="290">
        <f>SUM(F39,F54)</f>
        <v>595850</v>
      </c>
      <c r="G55" s="309"/>
      <c r="H55" s="355"/>
      <c r="I55" s="309"/>
      <c r="J55" s="355"/>
      <c r="K55" s="309"/>
      <c r="L55" s="310"/>
      <c r="M55" s="334"/>
      <c r="N55" s="310"/>
      <c r="O55" s="309"/>
      <c r="P55" s="310"/>
      <c r="Q55" s="309"/>
      <c r="R55" s="310"/>
      <c r="S55" s="391"/>
      <c r="T55" s="392"/>
      <c r="U55" s="391"/>
      <c r="V55" s="392"/>
      <c r="W55" s="379"/>
      <c r="X55" s="379"/>
      <c r="Y55" s="309"/>
      <c r="Z55" s="310"/>
      <c r="AA55" s="314">
        <f>SUM(AA39,AA54)</f>
        <v>591629.6</v>
      </c>
      <c r="AM55" s="268" t="s">
        <v>787</v>
      </c>
      <c r="AO55" s="275">
        <f>AV55</f>
        <v>0</v>
      </c>
      <c r="AS55" s="268" t="s">
        <v>781</v>
      </c>
      <c r="AV55" s="267"/>
      <c r="BC55" s="280"/>
      <c r="BL55" s="402" t="s">
        <v>780</v>
      </c>
    </row>
    <row r="56" spans="2:64" x14ac:dyDescent="0.25">
      <c r="G56" s="394"/>
      <c r="H56" s="398"/>
      <c r="I56" s="394"/>
      <c r="J56" s="398"/>
      <c r="K56" s="394"/>
      <c r="L56" s="395"/>
      <c r="AM56" s="268" t="s">
        <v>322</v>
      </c>
      <c r="AN56" s="275">
        <f>AV60</f>
        <v>0</v>
      </c>
      <c r="AS56" s="268" t="s">
        <v>782</v>
      </c>
      <c r="AT56" s="274"/>
      <c r="AU56" s="274"/>
      <c r="AV56" s="267"/>
      <c r="BC56" s="280"/>
    </row>
    <row r="57" spans="2:64" x14ac:dyDescent="0.25">
      <c r="G57" s="394"/>
      <c r="H57" s="398"/>
      <c r="I57" s="394"/>
      <c r="J57" s="398"/>
      <c r="K57" s="394"/>
      <c r="L57" s="395"/>
      <c r="AM57" s="268" t="s">
        <v>819</v>
      </c>
      <c r="AO57" s="275">
        <f>AV60</f>
        <v>0</v>
      </c>
      <c r="AS57" s="268" t="s">
        <v>783</v>
      </c>
      <c r="AV57" s="364">
        <f>AV55-AV56</f>
        <v>0</v>
      </c>
    </row>
    <row r="58" spans="2:64" x14ac:dyDescent="0.25">
      <c r="G58" s="394"/>
      <c r="H58" s="398"/>
      <c r="I58" s="394"/>
      <c r="J58" s="398"/>
      <c r="K58" s="394"/>
      <c r="L58" s="395"/>
      <c r="AS58" s="274"/>
      <c r="AT58" s="274"/>
      <c r="AU58" s="274"/>
      <c r="AV58" s="274"/>
    </row>
    <row r="59" spans="2:64" ht="15.75" x14ac:dyDescent="0.25">
      <c r="B59" s="227" t="s">
        <v>654</v>
      </c>
      <c r="C59" s="800" t="s">
        <v>655</v>
      </c>
      <c r="D59" s="232" t="s">
        <v>761</v>
      </c>
      <c r="E59" s="325">
        <v>1</v>
      </c>
      <c r="F59" s="283"/>
      <c r="G59" s="396"/>
      <c r="H59" s="399"/>
      <c r="I59" s="396"/>
      <c r="J59" s="399"/>
      <c r="K59" s="396"/>
      <c r="L59" s="397"/>
      <c r="M59" s="393"/>
      <c r="N59" s="300"/>
      <c r="O59" s="300"/>
      <c r="P59" s="300"/>
      <c r="Q59" s="300"/>
      <c r="R59" s="300"/>
      <c r="S59" s="300"/>
      <c r="T59" s="300"/>
      <c r="U59" s="300"/>
      <c r="V59" s="300"/>
      <c r="W59" s="300"/>
      <c r="X59" s="300"/>
      <c r="Y59" s="300"/>
      <c r="Z59" s="300"/>
      <c r="AA59" s="228"/>
      <c r="AS59" s="268" t="s">
        <v>784</v>
      </c>
      <c r="AT59" s="274"/>
      <c r="AU59" s="274"/>
      <c r="AV59" s="368">
        <f>(150/350)*AV57</f>
        <v>0</v>
      </c>
    </row>
    <row r="60" spans="2:64" ht="16.5" thickBot="1" x14ac:dyDescent="0.3">
      <c r="B60" s="230" t="s">
        <v>13</v>
      </c>
      <c r="C60" s="801"/>
      <c r="D60" s="228"/>
      <c r="E60" s="228"/>
      <c r="F60" s="283"/>
      <c r="G60" s="797">
        <v>1</v>
      </c>
      <c r="H60" s="803"/>
      <c r="I60" s="797">
        <v>2</v>
      </c>
      <c r="J60" s="803"/>
      <c r="K60" s="797">
        <v>3</v>
      </c>
      <c r="L60" s="798"/>
      <c r="M60" s="803">
        <v>4</v>
      </c>
      <c r="N60" s="798"/>
      <c r="O60" s="797">
        <v>5</v>
      </c>
      <c r="P60" s="798"/>
      <c r="Q60" s="797">
        <v>6</v>
      </c>
      <c r="R60" s="798"/>
      <c r="S60" s="797">
        <v>7</v>
      </c>
      <c r="T60" s="798"/>
      <c r="U60" s="803">
        <v>8</v>
      </c>
      <c r="V60" s="803"/>
      <c r="W60" s="803">
        <v>9</v>
      </c>
      <c r="X60" s="798"/>
      <c r="Y60" s="797">
        <v>10</v>
      </c>
      <c r="Z60" s="798"/>
      <c r="AA60" s="311"/>
      <c r="AM60" s="268" t="s">
        <v>777</v>
      </c>
      <c r="AN60" s="275">
        <f>AV63</f>
        <v>0</v>
      </c>
      <c r="AS60" s="268" t="s">
        <v>785</v>
      </c>
      <c r="AT60" s="274"/>
      <c r="AU60" s="274"/>
      <c r="AV60" s="367">
        <f>AV57-AV59</f>
        <v>0</v>
      </c>
    </row>
    <row r="61" spans="2:64" ht="17.25" thickTop="1" thickBot="1" x14ac:dyDescent="0.3">
      <c r="B61" s="231" t="s">
        <v>717</v>
      </c>
      <c r="C61" s="802"/>
      <c r="D61" s="232" t="s">
        <v>657</v>
      </c>
      <c r="E61" s="232" t="s">
        <v>658</v>
      </c>
      <c r="F61" s="284" t="s">
        <v>659</v>
      </c>
      <c r="G61" s="301" t="s">
        <v>718</v>
      </c>
      <c r="H61" s="284" t="s">
        <v>719</v>
      </c>
      <c r="I61" s="301" t="s">
        <v>718</v>
      </c>
      <c r="J61" s="284" t="s">
        <v>719</v>
      </c>
      <c r="K61" s="301" t="s">
        <v>718</v>
      </c>
      <c r="L61" s="302" t="s">
        <v>719</v>
      </c>
      <c r="M61" s="294" t="s">
        <v>718</v>
      </c>
      <c r="N61" s="302" t="s">
        <v>719</v>
      </c>
      <c r="O61" s="301" t="s">
        <v>718</v>
      </c>
      <c r="P61" s="302" t="s">
        <v>719</v>
      </c>
      <c r="Q61" s="301" t="s">
        <v>718</v>
      </c>
      <c r="R61" s="302" t="s">
        <v>719</v>
      </c>
      <c r="S61" s="301" t="s">
        <v>718</v>
      </c>
      <c r="T61" s="302" t="s">
        <v>719</v>
      </c>
      <c r="U61" s="294" t="s">
        <v>718</v>
      </c>
      <c r="V61" s="302" t="s">
        <v>719</v>
      </c>
      <c r="W61" s="301" t="s">
        <v>718</v>
      </c>
      <c r="X61" s="302" t="s">
        <v>719</v>
      </c>
      <c r="Y61" s="301" t="s">
        <v>718</v>
      </c>
      <c r="Z61" s="302" t="s">
        <v>719</v>
      </c>
      <c r="AA61" s="294" t="s">
        <v>662</v>
      </c>
      <c r="AM61" s="268" t="s">
        <v>713</v>
      </c>
      <c r="AO61" s="275">
        <f>AV63</f>
        <v>0</v>
      </c>
      <c r="AS61" s="274"/>
      <c r="AT61" s="274"/>
      <c r="AU61" s="274"/>
      <c r="AV61" s="274"/>
    </row>
    <row r="62" spans="2:64" ht="15.75" x14ac:dyDescent="0.25">
      <c r="B62" s="233"/>
      <c r="C62" s="234" t="s">
        <v>663</v>
      </c>
      <c r="D62" s="232" t="s">
        <v>10</v>
      </c>
      <c r="E62" s="232" t="s">
        <v>10</v>
      </c>
      <c r="F62" s="284" t="s">
        <v>10</v>
      </c>
      <c r="G62" s="301" t="s">
        <v>10</v>
      </c>
      <c r="H62" s="284" t="s">
        <v>10</v>
      </c>
      <c r="I62" s="301" t="s">
        <v>10</v>
      </c>
      <c r="J62" s="284" t="s">
        <v>10</v>
      </c>
      <c r="K62" s="301" t="s">
        <v>10</v>
      </c>
      <c r="L62" s="302" t="s">
        <v>10</v>
      </c>
      <c r="M62" s="294" t="s">
        <v>10</v>
      </c>
      <c r="N62" s="302" t="s">
        <v>10</v>
      </c>
      <c r="O62" s="301" t="s">
        <v>10</v>
      </c>
      <c r="P62" s="302" t="s">
        <v>10</v>
      </c>
      <c r="Q62" s="301" t="s">
        <v>10</v>
      </c>
      <c r="R62" s="302" t="s">
        <v>10</v>
      </c>
      <c r="S62" s="301" t="s">
        <v>10</v>
      </c>
      <c r="T62" s="302" t="s">
        <v>10</v>
      </c>
      <c r="U62" s="294" t="s">
        <v>10</v>
      </c>
      <c r="V62" s="302" t="s">
        <v>10</v>
      </c>
      <c r="W62" s="301" t="s">
        <v>10</v>
      </c>
      <c r="X62" s="302" t="s">
        <v>10</v>
      </c>
      <c r="Y62" s="301" t="s">
        <v>10</v>
      </c>
      <c r="Z62" s="302" t="s">
        <v>10</v>
      </c>
      <c r="AA62" s="294" t="s">
        <v>10</v>
      </c>
    </row>
    <row r="63" spans="2:64" ht="15.75" x14ac:dyDescent="0.25">
      <c r="B63" s="230" t="s">
        <v>58</v>
      </c>
      <c r="C63" s="235"/>
      <c r="D63" s="237"/>
      <c r="E63" s="237"/>
      <c r="F63" s="286">
        <f>SUM(D63:E63)</f>
        <v>0</v>
      </c>
      <c r="G63" s="305"/>
      <c r="H63" s="326"/>
      <c r="I63" s="305"/>
      <c r="J63" s="326"/>
      <c r="K63" s="305"/>
      <c r="L63" s="306"/>
      <c r="M63" s="296"/>
      <c r="N63" s="306"/>
      <c r="O63" s="305">
        <f>SUMIF($AM$39:$AM$43,"DR SPL - Revenue",$AN$39:$AN$43)</f>
        <v>0</v>
      </c>
      <c r="P63" s="306">
        <f>SUMIF($AM$39:$AM$43,"CR SPL - Revenue",$AO$39:$AO$43)</f>
        <v>0</v>
      </c>
      <c r="Q63" s="305">
        <f>SUMIF($AM$46:$AM$50,"DR SPL - Revenue",$AN$46:$AN$50)</f>
        <v>0</v>
      </c>
      <c r="R63" s="306">
        <f>SUMIF($AM$46:$AM$50,"CR SPL - Revenue",$AO$46:$AO$50)</f>
        <v>0</v>
      </c>
      <c r="S63" s="305">
        <f>SUMIF($AM$54:$AM$61,"DR SPL - Revenue",$AN$54:$AN$61)</f>
        <v>0</v>
      </c>
      <c r="T63" s="306">
        <f>SUMIF($AM$54:$AM$61,"CR SPL - Revenue",$AO$54:$AO$61)</f>
        <v>0</v>
      </c>
      <c r="U63" s="322"/>
      <c r="V63" s="322"/>
      <c r="W63" s="322"/>
      <c r="X63" s="322"/>
      <c r="Y63" s="305"/>
      <c r="Z63" s="306"/>
      <c r="AA63" s="312">
        <f>F63-SUM(G63:Z63)</f>
        <v>0</v>
      </c>
      <c r="AS63" s="268" t="s">
        <v>786</v>
      </c>
      <c r="AV63" s="275">
        <f>IF(AS54="Sub -&gt; Parent",AV60*AV6,0)</f>
        <v>0</v>
      </c>
    </row>
    <row r="64" spans="2:64" ht="15.75" x14ac:dyDescent="0.25">
      <c r="B64" s="230"/>
      <c r="C64" s="235"/>
      <c r="D64" s="249"/>
      <c r="E64" s="249"/>
      <c r="F64" s="331"/>
      <c r="G64" s="305"/>
      <c r="H64" s="326"/>
      <c r="I64" s="305"/>
      <c r="J64" s="326"/>
      <c r="K64" s="305"/>
      <c r="L64" s="306"/>
      <c r="M64" s="296"/>
      <c r="N64" s="306"/>
      <c r="O64" s="305"/>
      <c r="P64" s="306"/>
      <c r="Q64" s="305"/>
      <c r="R64" s="306"/>
      <c r="S64" s="385"/>
      <c r="T64" s="380"/>
      <c r="U64" s="322"/>
      <c r="V64" s="322"/>
      <c r="W64" s="322"/>
      <c r="X64" s="322"/>
      <c r="Y64" s="305"/>
      <c r="Z64" s="306"/>
      <c r="AA64" s="295"/>
    </row>
    <row r="65" spans="2:64" ht="16.5" thickBot="1" x14ac:dyDescent="0.3">
      <c r="B65" s="230"/>
      <c r="C65" s="235"/>
      <c r="D65" s="249"/>
      <c r="E65" s="249"/>
      <c r="F65" s="331"/>
      <c r="G65" s="305"/>
      <c r="H65" s="326"/>
      <c r="I65" s="305"/>
      <c r="J65" s="326"/>
      <c r="K65" s="305"/>
      <c r="L65" s="306"/>
      <c r="M65" s="296"/>
      <c r="N65" s="306"/>
      <c r="O65" s="305"/>
      <c r="P65" s="306"/>
      <c r="Q65" s="305"/>
      <c r="R65" s="306"/>
      <c r="S65" s="385"/>
      <c r="T65" s="380"/>
      <c r="U65" s="322"/>
      <c r="V65" s="322"/>
      <c r="W65" s="322"/>
      <c r="X65" s="322"/>
      <c r="Y65" s="305"/>
      <c r="Z65" s="306"/>
      <c r="AA65" s="295"/>
      <c r="AS65" s="269" t="s">
        <v>790</v>
      </c>
    </row>
    <row r="66" spans="2:64" ht="16.5" thickBot="1" x14ac:dyDescent="0.3">
      <c r="B66" s="233" t="s">
        <v>67</v>
      </c>
      <c r="C66" s="235"/>
      <c r="D66" s="238"/>
      <c r="E66" s="238"/>
      <c r="F66" s="287">
        <f>SUM(D66:E66)</f>
        <v>0</v>
      </c>
      <c r="G66" s="305"/>
      <c r="H66" s="326"/>
      <c r="I66" s="305"/>
      <c r="J66" s="326"/>
      <c r="K66" s="305"/>
      <c r="L66" s="306"/>
      <c r="M66" s="296"/>
      <c r="N66" s="306"/>
      <c r="O66" s="305">
        <f>SUMIF($AM$39:$AM$43,"DR SPL - Cost of sales",$AN$39:$AN$43)</f>
        <v>0</v>
      </c>
      <c r="P66" s="306">
        <f>-SUMIF($AM$39:$AM$43,"CR SPL - Cost of sales",$AO$39:$AO$43)</f>
        <v>0</v>
      </c>
      <c r="Q66" s="305">
        <f>SUMIF($AM$46:$AM$50,"DR SPL - Cost of sales",$AN$46:$AN$50)</f>
        <v>0</v>
      </c>
      <c r="R66" s="306">
        <f>-SUMIF($AM$46:$AM$50,"CR SPL - Cost of sales",$AO$46:$AO$50)</f>
        <v>0</v>
      </c>
      <c r="S66" s="305">
        <f>SUMIF($AM$54:$AM$61,"DR SPL - Cost of sales",$AN$54:$AN$61)</f>
        <v>0</v>
      </c>
      <c r="T66" s="306">
        <f>-SUMIF($AM$54:$AM$61,"CR SPL - Cost of sales",$AO$54:$AO$61)</f>
        <v>0</v>
      </c>
      <c r="U66" s="322"/>
      <c r="V66" s="322"/>
      <c r="W66" s="322"/>
      <c r="X66" s="322"/>
      <c r="Y66" s="305"/>
      <c r="Z66" s="306"/>
      <c r="AA66" s="312">
        <f>F66+SUM(G66:Z66)</f>
        <v>0</v>
      </c>
      <c r="AL66" s="277">
        <v>8</v>
      </c>
      <c r="AM66" s="248" t="s">
        <v>791</v>
      </c>
    </row>
    <row r="67" spans="2:64" x14ac:dyDescent="0.25">
      <c r="B67" s="233"/>
      <c r="C67" s="235"/>
      <c r="D67" s="236"/>
      <c r="E67" s="236"/>
      <c r="F67" s="285"/>
      <c r="G67" s="305"/>
      <c r="H67" s="326"/>
      <c r="I67" s="305"/>
      <c r="J67" s="326"/>
      <c r="K67" s="305"/>
      <c r="L67" s="306"/>
      <c r="M67" s="296"/>
      <c r="N67" s="306"/>
      <c r="O67" s="305"/>
      <c r="P67" s="306"/>
      <c r="Q67" s="305"/>
      <c r="R67" s="306"/>
      <c r="S67" s="385"/>
      <c r="T67" s="380"/>
      <c r="U67" s="322"/>
      <c r="V67" s="322"/>
      <c r="W67" s="322"/>
      <c r="X67" s="322"/>
      <c r="Y67" s="305"/>
      <c r="Z67" s="306"/>
      <c r="AA67" s="295"/>
      <c r="AM67" s="248" t="s">
        <v>792</v>
      </c>
    </row>
    <row r="68" spans="2:64" x14ac:dyDescent="0.25">
      <c r="B68" s="233"/>
      <c r="C68" s="235"/>
      <c r="D68" s="249"/>
      <c r="E68" s="249"/>
      <c r="F68" s="331"/>
      <c r="G68" s="305"/>
      <c r="H68" s="326"/>
      <c r="I68" s="305"/>
      <c r="J68" s="326"/>
      <c r="K68" s="305"/>
      <c r="L68" s="306"/>
      <c r="M68" s="296"/>
      <c r="N68" s="306"/>
      <c r="O68" s="305"/>
      <c r="P68" s="306"/>
      <c r="Q68" s="305"/>
      <c r="R68" s="306"/>
      <c r="S68" s="385"/>
      <c r="T68" s="380"/>
      <c r="U68" s="322"/>
      <c r="V68" s="322"/>
      <c r="W68" s="322"/>
      <c r="X68" s="322"/>
      <c r="Y68" s="305"/>
      <c r="Z68" s="306"/>
      <c r="AA68" s="333"/>
    </row>
    <row r="69" spans="2:64" ht="15.75" x14ac:dyDescent="0.25">
      <c r="B69" s="233" t="s">
        <v>720</v>
      </c>
      <c r="C69" s="235"/>
      <c r="D69" s="242">
        <f>D63-D66</f>
        <v>0</v>
      </c>
      <c r="E69" s="242">
        <f>E63-E66</f>
        <v>0</v>
      </c>
      <c r="F69" s="291">
        <f>F63-F66</f>
        <v>0</v>
      </c>
      <c r="G69" s="303"/>
      <c r="H69" s="285"/>
      <c r="I69" s="303"/>
      <c r="J69" s="285"/>
      <c r="K69" s="303"/>
      <c r="L69" s="304"/>
      <c r="M69" s="295"/>
      <c r="N69" s="304"/>
      <c r="O69" s="303"/>
      <c r="P69" s="304"/>
      <c r="Q69" s="303"/>
      <c r="R69" s="304"/>
      <c r="S69" s="383"/>
      <c r="T69" s="384"/>
      <c r="U69" s="321"/>
      <c r="V69" s="321"/>
      <c r="W69" s="321"/>
      <c r="X69" s="321"/>
      <c r="Y69" s="303"/>
      <c r="Z69" s="304"/>
      <c r="AA69" s="315">
        <f>AA63-AA66</f>
        <v>0</v>
      </c>
      <c r="AS69" s="269" t="s">
        <v>793</v>
      </c>
    </row>
    <row r="70" spans="2:64" ht="16.5" thickBot="1" x14ac:dyDescent="0.3">
      <c r="B70" s="233" t="s">
        <v>95</v>
      </c>
      <c r="C70" s="235"/>
      <c r="D70" s="238"/>
      <c r="E70" s="238"/>
      <c r="F70" s="287">
        <f>SUM(D70:E70)</f>
        <v>0</v>
      </c>
      <c r="G70" s="305"/>
      <c r="H70" s="326"/>
      <c r="I70" s="305"/>
      <c r="J70" s="326"/>
      <c r="K70" s="305"/>
      <c r="L70" s="306"/>
      <c r="M70" s="296"/>
      <c r="N70" s="306"/>
      <c r="O70" s="305"/>
      <c r="P70" s="306"/>
      <c r="Q70" s="305"/>
      <c r="R70" s="306"/>
      <c r="S70" s="385"/>
      <c r="T70" s="380"/>
      <c r="U70" s="322"/>
      <c r="V70" s="322"/>
      <c r="W70" s="322">
        <f>SUMIF($AM$71:$AM$82,"DR SPL - gain on sale",AN$71:AN$82)</f>
        <v>0</v>
      </c>
      <c r="X70" s="322">
        <f>SUMIF($AM$71:$AM$82,"CR SPL - gain on sale",AO$71:AO$82)</f>
        <v>0</v>
      </c>
      <c r="Y70" s="305"/>
      <c r="Z70" s="306"/>
      <c r="AA70" s="312">
        <f>F70-G70-G71-G72+H72+H71+H70</f>
        <v>0</v>
      </c>
      <c r="AS70" s="403" t="s">
        <v>799</v>
      </c>
      <c r="BL70" s="402" t="s">
        <v>794</v>
      </c>
    </row>
    <row r="71" spans="2:64" ht="16.5" thickBot="1" x14ac:dyDescent="0.3">
      <c r="B71" s="233"/>
      <c r="C71" s="235"/>
      <c r="D71" s="236"/>
      <c r="E71" s="236"/>
      <c r="F71" s="285"/>
      <c r="G71" s="305"/>
      <c r="H71" s="326"/>
      <c r="I71" s="305"/>
      <c r="J71" s="326"/>
      <c r="K71" s="305"/>
      <c r="L71" s="306"/>
      <c r="M71" s="296"/>
      <c r="N71" s="306"/>
      <c r="O71" s="305"/>
      <c r="P71" s="306"/>
      <c r="Q71" s="305"/>
      <c r="R71" s="306"/>
      <c r="S71" s="385"/>
      <c r="T71" s="380"/>
      <c r="U71" s="322"/>
      <c r="V71" s="322"/>
      <c r="W71" s="322"/>
      <c r="X71" s="322"/>
      <c r="Y71" s="305"/>
      <c r="Z71" s="306"/>
      <c r="AA71" s="295"/>
      <c r="AL71" s="277">
        <v>9</v>
      </c>
      <c r="AM71" s="268" t="s">
        <v>801</v>
      </c>
      <c r="AN71" s="275">
        <f>AV76</f>
        <v>0</v>
      </c>
      <c r="AS71" s="268" t="s">
        <v>797</v>
      </c>
      <c r="AV71" s="376"/>
      <c r="BL71" s="402" t="s">
        <v>795</v>
      </c>
    </row>
    <row r="72" spans="2:64" x14ac:dyDescent="0.25">
      <c r="B72" s="233"/>
      <c r="C72" s="235"/>
      <c r="D72" s="236"/>
      <c r="E72" s="236"/>
      <c r="F72" s="285"/>
      <c r="G72" s="305"/>
      <c r="H72" s="326"/>
      <c r="I72" s="305"/>
      <c r="J72" s="326"/>
      <c r="K72" s="305"/>
      <c r="L72" s="306"/>
      <c r="M72" s="296"/>
      <c r="N72" s="306"/>
      <c r="O72" s="305"/>
      <c r="P72" s="306"/>
      <c r="Q72" s="305"/>
      <c r="R72" s="306"/>
      <c r="S72" s="385"/>
      <c r="T72" s="380"/>
      <c r="U72" s="322"/>
      <c r="V72" s="322"/>
      <c r="W72" s="322"/>
      <c r="X72" s="322"/>
      <c r="Y72" s="305"/>
      <c r="Z72" s="306"/>
      <c r="AA72" s="295"/>
      <c r="AM72" s="268" t="str">
        <f>IF(AN71-AO73&gt;0,"CR PPE - Cost","DR PPE - Cost")</f>
        <v>DR PPE - Cost</v>
      </c>
      <c r="AN72" s="275">
        <f>IF($AN$71-$AO$73&gt;0,0,$AO$73-$AN$71)</f>
        <v>0</v>
      </c>
      <c r="AO72" s="275">
        <f>IF($AN$71-$AO$73&lt;0,0,$AN$71-$AO$73)</f>
        <v>0</v>
      </c>
      <c r="BL72" s="402" t="s">
        <v>796</v>
      </c>
    </row>
    <row r="73" spans="2:64" x14ac:dyDescent="0.25">
      <c r="B73" s="233" t="s">
        <v>721</v>
      </c>
      <c r="C73" s="235"/>
      <c r="D73" s="250"/>
      <c r="E73" s="250"/>
      <c r="F73" s="354">
        <f>SUM(D73:E73)</f>
        <v>0</v>
      </c>
      <c r="G73" s="305"/>
      <c r="H73" s="326"/>
      <c r="I73" s="305"/>
      <c r="J73" s="326"/>
      <c r="K73" s="305"/>
      <c r="L73" s="306"/>
      <c r="M73" s="296"/>
      <c r="N73" s="306"/>
      <c r="O73" s="305"/>
      <c r="P73" s="306"/>
      <c r="Q73" s="305"/>
      <c r="R73" s="306"/>
      <c r="S73" s="385"/>
      <c r="T73" s="380"/>
      <c r="U73" s="322"/>
      <c r="V73" s="322"/>
      <c r="W73" s="322"/>
      <c r="X73" s="322"/>
      <c r="Y73" s="305"/>
      <c r="Z73" s="306"/>
      <c r="AA73" s="312">
        <f>F73+G73+G74+G75-H75-H74-H73</f>
        <v>0</v>
      </c>
      <c r="AM73" s="268" t="s">
        <v>802</v>
      </c>
      <c r="AO73" s="275">
        <f>AV74</f>
        <v>0</v>
      </c>
      <c r="AS73" s="268" t="s">
        <v>193</v>
      </c>
      <c r="AV73" s="267"/>
      <c r="BL73" s="402" t="s">
        <v>812</v>
      </c>
    </row>
    <row r="74" spans="2:64" x14ac:dyDescent="0.25">
      <c r="B74" s="233"/>
      <c r="C74" s="235"/>
      <c r="D74" s="236"/>
      <c r="E74" s="236"/>
      <c r="F74" s="285"/>
      <c r="G74" s="305"/>
      <c r="H74" s="326"/>
      <c r="I74" s="305"/>
      <c r="J74" s="326"/>
      <c r="K74" s="305"/>
      <c r="L74" s="306"/>
      <c r="M74" s="296"/>
      <c r="N74" s="306"/>
      <c r="O74" s="305"/>
      <c r="P74" s="306"/>
      <c r="Q74" s="305"/>
      <c r="R74" s="306"/>
      <c r="S74" s="385"/>
      <c r="T74" s="380"/>
      <c r="U74" s="322"/>
      <c r="V74" s="322"/>
      <c r="W74" s="322"/>
      <c r="X74" s="322"/>
      <c r="Y74" s="305"/>
      <c r="Z74" s="306"/>
      <c r="AA74" s="295"/>
      <c r="AS74" s="268" t="s">
        <v>806</v>
      </c>
      <c r="AV74" s="267"/>
    </row>
    <row r="75" spans="2:64" x14ac:dyDescent="0.25">
      <c r="B75" s="233"/>
      <c r="C75" s="235"/>
      <c r="D75" s="236"/>
      <c r="E75" s="236"/>
      <c r="F75" s="285"/>
      <c r="G75" s="305"/>
      <c r="H75" s="326"/>
      <c r="I75" s="305"/>
      <c r="J75" s="326"/>
      <c r="K75" s="305"/>
      <c r="L75" s="306"/>
      <c r="M75" s="296"/>
      <c r="N75" s="306"/>
      <c r="O75" s="305"/>
      <c r="P75" s="306"/>
      <c r="Q75" s="305"/>
      <c r="R75" s="306"/>
      <c r="S75" s="385"/>
      <c r="T75" s="380"/>
      <c r="U75" s="322"/>
      <c r="V75" s="322"/>
      <c r="W75" s="322"/>
      <c r="X75" s="322"/>
      <c r="Y75" s="305"/>
      <c r="Z75" s="306"/>
      <c r="AA75" s="295"/>
      <c r="AM75" s="268" t="s">
        <v>821</v>
      </c>
      <c r="AN75" s="275">
        <f>AV77</f>
        <v>0</v>
      </c>
      <c r="AS75" s="268" t="s">
        <v>798</v>
      </c>
      <c r="AV75" s="377">
        <f>AV73-AV74</f>
        <v>0</v>
      </c>
    </row>
    <row r="76" spans="2:64" x14ac:dyDescent="0.25">
      <c r="B76" s="233" t="s">
        <v>722</v>
      </c>
      <c r="C76" s="235"/>
      <c r="D76" s="250"/>
      <c r="E76" s="250"/>
      <c r="F76" s="354">
        <f>SUM(D76:E76)</f>
        <v>0</v>
      </c>
      <c r="G76" s="305"/>
      <c r="H76" s="326"/>
      <c r="I76" s="305"/>
      <c r="J76" s="326"/>
      <c r="K76" s="305"/>
      <c r="L76" s="306"/>
      <c r="M76" s="296"/>
      <c r="N76" s="306"/>
      <c r="O76" s="305">
        <f>SUMIF($AM$18:$AM$20,"DR SPL - Impairment loss",$AN$18:$AN$20)</f>
        <v>0</v>
      </c>
      <c r="P76" s="306">
        <f>SUMIF($AM$18:$AM$20,"CR SPL - Impairment loss",$AN$18:$AN$20)</f>
        <v>0</v>
      </c>
      <c r="Q76" s="305">
        <f>SUMIF($AM$46:$AM$50,"DR SPL - Impairment loss",$AN$46:$AN$50)</f>
        <v>0</v>
      </c>
      <c r="R76" s="306">
        <f>SUMIF($AM$46:$AM$50,"CR SPL - Impairment loss",$AN$46:$AN$50)</f>
        <v>0</v>
      </c>
      <c r="S76" s="385"/>
      <c r="T76" s="380"/>
      <c r="U76" s="322"/>
      <c r="V76" s="322"/>
      <c r="W76" s="322">
        <f>SUMIF($AM$71:$AM$82,"DR SPL - depreciation charge",AN$71:AN$82)</f>
        <v>0</v>
      </c>
      <c r="X76" s="322">
        <f>SUMIF($AM$71:$AM$82,"CR SPL - depreciation charge",AO$71:AO$82)</f>
        <v>0</v>
      </c>
      <c r="Y76" s="305"/>
      <c r="Z76" s="306"/>
      <c r="AA76" s="312">
        <f>F76+SUM(G76:Z76)</f>
        <v>0</v>
      </c>
      <c r="AM76" s="268" t="s">
        <v>822</v>
      </c>
      <c r="AO76" s="275">
        <f>AV77</f>
        <v>0</v>
      </c>
      <c r="AS76" s="268" t="s">
        <v>800</v>
      </c>
      <c r="AV76" s="364">
        <f>AV71-AV75</f>
        <v>0</v>
      </c>
    </row>
    <row r="77" spans="2:64" ht="15.75" x14ac:dyDescent="0.25">
      <c r="B77" s="233"/>
      <c r="C77" s="235"/>
      <c r="D77" s="236"/>
      <c r="E77" s="236"/>
      <c r="F77" s="285"/>
      <c r="G77" s="305"/>
      <c r="H77" s="326"/>
      <c r="I77" s="305"/>
      <c r="J77" s="326"/>
      <c r="K77" s="305"/>
      <c r="L77" s="306"/>
      <c r="M77" s="296"/>
      <c r="N77" s="306"/>
      <c r="O77" s="305"/>
      <c r="P77" s="306"/>
      <c r="Q77" s="305"/>
      <c r="R77" s="306"/>
      <c r="S77" s="385"/>
      <c r="T77" s="380"/>
      <c r="U77" s="322"/>
      <c r="V77" s="322"/>
      <c r="W77" s="322"/>
      <c r="X77" s="322"/>
      <c r="Y77" s="305"/>
      <c r="Z77" s="306"/>
      <c r="AA77" s="295"/>
      <c r="AS77" s="269" t="s">
        <v>820</v>
      </c>
      <c r="AV77" s="275">
        <f>AV76*AV6</f>
        <v>0</v>
      </c>
    </row>
    <row r="78" spans="2:64" x14ac:dyDescent="0.25">
      <c r="B78" s="233"/>
      <c r="C78" s="235"/>
      <c r="D78" s="236"/>
      <c r="E78" s="236"/>
      <c r="F78" s="285"/>
      <c r="G78" s="305"/>
      <c r="H78" s="326"/>
      <c r="I78" s="305"/>
      <c r="J78" s="326"/>
      <c r="K78" s="305"/>
      <c r="L78" s="306"/>
      <c r="M78" s="296"/>
      <c r="N78" s="306"/>
      <c r="O78" s="305"/>
      <c r="P78" s="306"/>
      <c r="Q78" s="305"/>
      <c r="R78" s="306"/>
      <c r="S78" s="385"/>
      <c r="T78" s="380"/>
      <c r="U78" s="322"/>
      <c r="V78" s="322"/>
      <c r="W78" s="322"/>
      <c r="X78" s="322"/>
      <c r="Y78" s="305"/>
      <c r="Z78" s="306"/>
      <c r="AA78" s="295"/>
      <c r="AM78" s="268" t="s">
        <v>808</v>
      </c>
      <c r="AN78" s="275">
        <f>AV80</f>
        <v>0</v>
      </c>
      <c r="AS78" s="268" t="s">
        <v>803</v>
      </c>
      <c r="AV78" s="267"/>
    </row>
    <row r="79" spans="2:64" x14ac:dyDescent="0.25">
      <c r="B79" s="233"/>
      <c r="C79" s="235"/>
      <c r="D79" s="236"/>
      <c r="E79" s="236"/>
      <c r="F79" s="285"/>
      <c r="G79" s="305"/>
      <c r="H79" s="326"/>
      <c r="I79" s="305"/>
      <c r="J79" s="326"/>
      <c r="K79" s="305"/>
      <c r="L79" s="306"/>
      <c r="M79" s="296"/>
      <c r="N79" s="306"/>
      <c r="O79" s="305"/>
      <c r="P79" s="306"/>
      <c r="Q79" s="305"/>
      <c r="R79" s="306"/>
      <c r="S79" s="385"/>
      <c r="T79" s="380"/>
      <c r="U79" s="322"/>
      <c r="V79" s="322"/>
      <c r="W79" s="322"/>
      <c r="X79" s="322"/>
      <c r="Y79" s="305"/>
      <c r="Z79" s="306"/>
      <c r="AA79" s="295"/>
      <c r="AM79" s="268" t="s">
        <v>809</v>
      </c>
      <c r="AO79" s="275">
        <f>AV80</f>
        <v>0</v>
      </c>
      <c r="AS79" s="268" t="s">
        <v>804</v>
      </c>
      <c r="AV79" s="267"/>
    </row>
    <row r="80" spans="2:64" x14ac:dyDescent="0.25">
      <c r="B80" s="233"/>
      <c r="C80" s="235"/>
      <c r="D80" s="236"/>
      <c r="E80" s="236"/>
      <c r="F80" s="285"/>
      <c r="G80" s="305"/>
      <c r="H80" s="326"/>
      <c r="I80" s="305"/>
      <c r="J80" s="326"/>
      <c r="K80" s="305"/>
      <c r="L80" s="306"/>
      <c r="M80" s="296"/>
      <c r="N80" s="306"/>
      <c r="O80" s="305"/>
      <c r="P80" s="306"/>
      <c r="Q80" s="305"/>
      <c r="R80" s="306"/>
      <c r="S80" s="385"/>
      <c r="T80" s="380"/>
      <c r="U80" s="322"/>
      <c r="V80" s="322"/>
      <c r="W80" s="322"/>
      <c r="X80" s="322"/>
      <c r="Y80" s="305"/>
      <c r="Z80" s="306"/>
      <c r="AA80" s="295"/>
      <c r="AS80" s="268" t="s">
        <v>805</v>
      </c>
      <c r="AV80" s="377">
        <f>AV78-AV79</f>
        <v>0</v>
      </c>
    </row>
    <row r="81" spans="2:48" ht="16.5" thickBot="1" x14ac:dyDescent="0.3">
      <c r="B81" s="233" t="s">
        <v>723</v>
      </c>
      <c r="C81" s="235"/>
      <c r="D81" s="237"/>
      <c r="E81" s="237"/>
      <c r="F81" s="286">
        <f>SUM(D81:E81)</f>
        <v>0</v>
      </c>
      <c r="G81" s="305"/>
      <c r="H81" s="326"/>
      <c r="I81" s="305"/>
      <c r="J81" s="326"/>
      <c r="K81" s="305"/>
      <c r="L81" s="306"/>
      <c r="M81" s="296"/>
      <c r="N81" s="306"/>
      <c r="O81" s="305"/>
      <c r="P81" s="306"/>
      <c r="Q81" s="305"/>
      <c r="R81" s="306"/>
      <c r="S81" s="385"/>
      <c r="T81" s="380"/>
      <c r="U81" s="322"/>
      <c r="V81" s="322"/>
      <c r="W81" s="322"/>
      <c r="X81" s="322"/>
      <c r="Y81" s="305"/>
      <c r="Z81" s="306"/>
      <c r="AA81" s="312">
        <f>F81+G81+G82+G83-H83-H82-H81</f>
        <v>0</v>
      </c>
      <c r="AM81" s="268" t="s">
        <v>810</v>
      </c>
      <c r="AN81" s="275">
        <f>AV81</f>
        <v>0</v>
      </c>
      <c r="AS81" s="269" t="s">
        <v>807</v>
      </c>
      <c r="AV81" s="378">
        <f>IF(AS70="Parent -&gt; Sub",AV80*AV6,0)</f>
        <v>0</v>
      </c>
    </row>
    <row r="82" spans="2:48" ht="15.75" thickTop="1" x14ac:dyDescent="0.25">
      <c r="B82" s="233"/>
      <c r="C82" s="235"/>
      <c r="D82" s="236"/>
      <c r="E82" s="236"/>
      <c r="F82" s="285"/>
      <c r="G82" s="305"/>
      <c r="H82" s="326"/>
      <c r="I82" s="305"/>
      <c r="J82" s="326"/>
      <c r="K82" s="305"/>
      <c r="L82" s="306"/>
      <c r="M82" s="296"/>
      <c r="N82" s="306"/>
      <c r="O82" s="305"/>
      <c r="P82" s="306"/>
      <c r="Q82" s="305"/>
      <c r="R82" s="306"/>
      <c r="S82" s="385"/>
      <c r="T82" s="380"/>
      <c r="U82" s="322"/>
      <c r="V82" s="322"/>
      <c r="W82" s="322"/>
      <c r="X82" s="322"/>
      <c r="Y82" s="305"/>
      <c r="Z82" s="306"/>
      <c r="AA82" s="295"/>
      <c r="AM82" s="268" t="s">
        <v>700</v>
      </c>
      <c r="AO82" s="275">
        <f>AV81</f>
        <v>0</v>
      </c>
    </row>
    <row r="83" spans="2:48" ht="15.75" thickBot="1" x14ac:dyDescent="0.3">
      <c r="B83" s="233"/>
      <c r="C83" s="235"/>
      <c r="D83" s="236"/>
      <c r="E83" s="236"/>
      <c r="F83" s="285"/>
      <c r="G83" s="305"/>
      <c r="H83" s="326"/>
      <c r="I83" s="305"/>
      <c r="J83" s="326"/>
      <c r="K83" s="305"/>
      <c r="L83" s="306"/>
      <c r="M83" s="296"/>
      <c r="N83" s="306"/>
      <c r="O83" s="305"/>
      <c r="P83" s="306"/>
      <c r="Q83" s="305"/>
      <c r="R83" s="306"/>
      <c r="S83" s="385"/>
      <c r="T83" s="380"/>
      <c r="U83" s="322"/>
      <c r="V83" s="322"/>
      <c r="W83" s="322"/>
      <c r="X83" s="322"/>
      <c r="Y83" s="305"/>
      <c r="Z83" s="306"/>
      <c r="AA83" s="295"/>
    </row>
    <row r="84" spans="2:48" ht="16.5" thickBot="1" x14ac:dyDescent="0.3">
      <c r="B84" s="233" t="s">
        <v>631</v>
      </c>
      <c r="C84" s="235"/>
      <c r="D84" s="250"/>
      <c r="E84" s="250"/>
      <c r="F84" s="354">
        <f>SUM(D84:E84)</f>
        <v>0</v>
      </c>
      <c r="G84" s="305"/>
      <c r="H84" s="326"/>
      <c r="I84" s="305"/>
      <c r="J84" s="326"/>
      <c r="K84" s="305"/>
      <c r="L84" s="306"/>
      <c r="M84" s="296"/>
      <c r="N84" s="306"/>
      <c r="O84" s="305"/>
      <c r="P84" s="306"/>
      <c r="Q84" s="305"/>
      <c r="R84" s="306"/>
      <c r="S84" s="385"/>
      <c r="T84" s="380"/>
      <c r="U84" s="322"/>
      <c r="V84" s="322"/>
      <c r="W84" s="322"/>
      <c r="X84" s="322"/>
      <c r="Y84" s="305"/>
      <c r="Z84" s="306"/>
      <c r="AA84" s="312">
        <f>F84+G84+G85+G86-H86-H85-H84</f>
        <v>0</v>
      </c>
      <c r="AL84" s="277">
        <v>10</v>
      </c>
      <c r="AM84" s="268" t="str">
        <f>IF(AN84&lt;&gt;0,"DR Retained earnings","CR Retained earnings")</f>
        <v>CR Retained earnings</v>
      </c>
      <c r="AN84" s="276">
        <f>IF($AV$91&gt;0,$AV$91,0)</f>
        <v>0</v>
      </c>
      <c r="AO84" s="276">
        <f>IF($AV$91&lt;0,-$AV$91,0)</f>
        <v>205.8</v>
      </c>
      <c r="AS84" s="269" t="s">
        <v>716</v>
      </c>
    </row>
    <row r="85" spans="2:48" x14ac:dyDescent="0.25">
      <c r="B85" s="233"/>
      <c r="C85" s="235"/>
      <c r="D85" s="236"/>
      <c r="E85" s="236"/>
      <c r="F85" s="285"/>
      <c r="G85" s="305"/>
      <c r="H85" s="326"/>
      <c r="I85" s="305"/>
      <c r="J85" s="326"/>
      <c r="K85" s="305"/>
      <c r="L85" s="306"/>
      <c r="M85" s="296"/>
      <c r="N85" s="306"/>
      <c r="O85" s="305"/>
      <c r="P85" s="306"/>
      <c r="Q85" s="305"/>
      <c r="R85" s="306"/>
      <c r="S85" s="385"/>
      <c r="T85" s="380"/>
      <c r="U85" s="322"/>
      <c r="V85" s="322"/>
      <c r="W85" s="322"/>
      <c r="X85" s="322"/>
      <c r="Y85" s="305"/>
      <c r="Z85" s="306"/>
      <c r="AA85" s="295"/>
      <c r="AM85" s="268" t="str">
        <f>IF(AN85&lt;&gt;0,"DR SPL","CR SPL")</f>
        <v>DR SPL</v>
      </c>
      <c r="AN85" s="276">
        <f>IF($AV$91&lt;0,-$AV$91,0)</f>
        <v>205.8</v>
      </c>
      <c r="AO85" s="276">
        <f>IF($AV$91&gt;0,$AV$91,0)</f>
        <v>0</v>
      </c>
      <c r="AS85" s="268" t="s">
        <v>714</v>
      </c>
      <c r="AV85" s="275">
        <f>AV19</f>
        <v>0</v>
      </c>
    </row>
    <row r="86" spans="2:48" x14ac:dyDescent="0.25">
      <c r="B86" s="233"/>
      <c r="C86" s="235"/>
      <c r="D86" s="236"/>
      <c r="E86" s="236"/>
      <c r="F86" s="285"/>
      <c r="G86" s="305"/>
      <c r="H86" s="326"/>
      <c r="I86" s="305"/>
      <c r="J86" s="326"/>
      <c r="K86" s="305"/>
      <c r="L86" s="306"/>
      <c r="M86" s="296"/>
      <c r="N86" s="306"/>
      <c r="O86" s="305"/>
      <c r="P86" s="306"/>
      <c r="Q86" s="305"/>
      <c r="R86" s="306"/>
      <c r="S86" s="385"/>
      <c r="T86" s="380"/>
      <c r="U86" s="322"/>
      <c r="V86" s="322"/>
      <c r="W86" s="322"/>
      <c r="X86" s="322"/>
      <c r="Y86" s="305"/>
      <c r="Z86" s="306"/>
      <c r="AA86" s="295"/>
      <c r="AS86" s="268" t="s">
        <v>715</v>
      </c>
      <c r="AV86" s="276">
        <f>AV36</f>
        <v>-205.8</v>
      </c>
    </row>
    <row r="87" spans="2:48" x14ac:dyDescent="0.25">
      <c r="B87" s="233" t="s">
        <v>647</v>
      </c>
      <c r="C87" s="235"/>
      <c r="D87" s="237"/>
      <c r="E87" s="237"/>
      <c r="F87" s="286">
        <f>SUM(D87:E87)</f>
        <v>0</v>
      </c>
      <c r="G87" s="305"/>
      <c r="H87" s="326"/>
      <c r="I87" s="305"/>
      <c r="J87" s="326"/>
      <c r="K87" s="305"/>
      <c r="L87" s="306"/>
      <c r="M87" s="296"/>
      <c r="N87" s="306"/>
      <c r="O87" s="305">
        <f>SUMIF($AM$39:$AM$43,"DR Finance Income",$AN$39:$AN$43)</f>
        <v>0</v>
      </c>
      <c r="P87" s="306">
        <f>-SUMIF($AM$39:$AM$43,"CR Finance Income",$AO$39:$AO$43)</f>
        <v>0</v>
      </c>
      <c r="Q87" s="305">
        <f>SUMIF($AM$46:$AM$50,"DR Finance Income",$AN$46:$AN$50)</f>
        <v>0</v>
      </c>
      <c r="R87" s="306">
        <f>-SUMIF($AM$46:$AM$50,"CR Finance Income",$AO$46:$AO$50)</f>
        <v>0</v>
      </c>
      <c r="S87" s="385"/>
      <c r="T87" s="380"/>
      <c r="U87" s="322"/>
      <c r="V87" s="322"/>
      <c r="W87" s="322"/>
      <c r="X87" s="322"/>
      <c r="Y87" s="305"/>
      <c r="Z87" s="306"/>
      <c r="AA87" s="312">
        <f>F87-SUM(G87:Z87)</f>
        <v>0</v>
      </c>
      <c r="AS87" s="268" t="s">
        <v>817</v>
      </c>
      <c r="AV87" s="276">
        <f>AV49</f>
        <v>0</v>
      </c>
    </row>
    <row r="88" spans="2:48" x14ac:dyDescent="0.25">
      <c r="B88" s="233"/>
      <c r="C88" s="235"/>
      <c r="D88" s="236"/>
      <c r="E88" s="236"/>
      <c r="F88" s="285"/>
      <c r="G88" s="305"/>
      <c r="H88" s="326"/>
      <c r="I88" s="305"/>
      <c r="J88" s="326"/>
      <c r="K88" s="305"/>
      <c r="L88" s="306"/>
      <c r="M88" s="296"/>
      <c r="N88" s="306"/>
      <c r="O88" s="305"/>
      <c r="P88" s="306"/>
      <c r="Q88" s="305"/>
      <c r="R88" s="306"/>
      <c r="S88" s="385"/>
      <c r="T88" s="380"/>
      <c r="U88" s="322"/>
      <c r="V88" s="322"/>
      <c r="W88" s="322"/>
      <c r="X88" s="322"/>
      <c r="Y88" s="305"/>
      <c r="Z88" s="306"/>
      <c r="AA88" s="295"/>
      <c r="AS88" s="268" t="s">
        <v>788</v>
      </c>
      <c r="AV88" s="275">
        <f>AN54-AO55</f>
        <v>0</v>
      </c>
    </row>
    <row r="89" spans="2:48" x14ac:dyDescent="0.25">
      <c r="B89" s="233"/>
      <c r="C89" s="235"/>
      <c r="D89" s="251"/>
      <c r="E89" s="251"/>
      <c r="F89" s="355"/>
      <c r="G89" s="305"/>
      <c r="H89" s="326"/>
      <c r="I89" s="305"/>
      <c r="J89" s="326"/>
      <c r="K89" s="305"/>
      <c r="L89" s="306"/>
      <c r="M89" s="296"/>
      <c r="N89" s="306"/>
      <c r="O89" s="305"/>
      <c r="P89" s="306"/>
      <c r="Q89" s="305"/>
      <c r="R89" s="306"/>
      <c r="S89" s="385"/>
      <c r="T89" s="380"/>
      <c r="U89" s="322"/>
      <c r="V89" s="322"/>
      <c r="W89" s="322"/>
      <c r="X89" s="322"/>
      <c r="Y89" s="305"/>
      <c r="Z89" s="306"/>
      <c r="AA89" s="334"/>
      <c r="AS89" s="268" t="s">
        <v>816</v>
      </c>
      <c r="AV89" s="275">
        <f>AN56</f>
        <v>0</v>
      </c>
    </row>
    <row r="90" spans="2:48" ht="15.75" x14ac:dyDescent="0.25">
      <c r="B90" s="230" t="s">
        <v>724</v>
      </c>
      <c r="C90" s="235" t="s">
        <v>725</v>
      </c>
      <c r="D90" s="244">
        <f>D69+D70-D73-D76-D81-D84+D87</f>
        <v>0</v>
      </c>
      <c r="E90" s="244">
        <f>E69+E70-E73-E76-E81-E84+E87</f>
        <v>0</v>
      </c>
      <c r="F90" s="292">
        <f>F69+F70-F73-F76-F81-F84+F87</f>
        <v>0</v>
      </c>
      <c r="G90" s="303"/>
      <c r="H90" s="285"/>
      <c r="I90" s="303"/>
      <c r="J90" s="285"/>
      <c r="K90" s="303"/>
      <c r="L90" s="304"/>
      <c r="M90" s="295"/>
      <c r="N90" s="304"/>
      <c r="O90" s="303"/>
      <c r="P90" s="304"/>
      <c r="Q90" s="303"/>
      <c r="R90" s="304"/>
      <c r="S90" s="383"/>
      <c r="T90" s="384"/>
      <c r="U90" s="321"/>
      <c r="V90" s="321"/>
      <c r="W90" s="321"/>
      <c r="X90" s="321"/>
      <c r="Y90" s="303"/>
      <c r="Z90" s="304"/>
      <c r="AA90" s="316">
        <f>AA69+AA70-AA73-AA76-AA81-AA84+AA87</f>
        <v>0</v>
      </c>
      <c r="AS90" s="268" t="s">
        <v>789</v>
      </c>
      <c r="AV90" s="275">
        <f>-AO61</f>
        <v>0</v>
      </c>
    </row>
    <row r="91" spans="2:48" ht="15.75" thickBot="1" x14ac:dyDescent="0.3">
      <c r="B91" s="233" t="s">
        <v>1</v>
      </c>
      <c r="C91" s="235" t="s">
        <v>726</v>
      </c>
      <c r="D91" s="252"/>
      <c r="E91" s="252"/>
      <c r="F91" s="356">
        <f>SUM(D91:E91)</f>
        <v>0</v>
      </c>
      <c r="G91" s="344"/>
      <c r="H91" s="327"/>
      <c r="I91" s="344"/>
      <c r="J91" s="327"/>
      <c r="K91" s="344"/>
      <c r="L91" s="345"/>
      <c r="M91" s="361"/>
      <c r="N91" s="345"/>
      <c r="O91" s="344"/>
      <c r="P91" s="345"/>
      <c r="Q91" s="344"/>
      <c r="R91" s="345"/>
      <c r="S91" s="405"/>
      <c r="T91" s="406"/>
      <c r="U91" s="369"/>
      <c r="V91" s="369"/>
      <c r="W91" s="369"/>
      <c r="X91" s="369"/>
      <c r="Y91" s="344"/>
      <c r="Z91" s="345"/>
      <c r="AA91" s="335">
        <f>F91+G91+G92+G93-H93-H92-H91</f>
        <v>0</v>
      </c>
      <c r="AV91" s="282">
        <f>SUM(AV85:AV90)</f>
        <v>-205.8</v>
      </c>
    </row>
    <row r="92" spans="2:48" ht="15.75" thickTop="1" x14ac:dyDescent="0.25">
      <c r="B92" s="253"/>
      <c r="C92" s="235"/>
      <c r="D92" s="240"/>
      <c r="E92" s="240"/>
      <c r="F92" s="289"/>
      <c r="G92" s="344"/>
      <c r="H92" s="327"/>
      <c r="I92" s="344"/>
      <c r="J92" s="327"/>
      <c r="K92" s="344"/>
      <c r="L92" s="345"/>
      <c r="M92" s="361"/>
      <c r="N92" s="345"/>
      <c r="O92" s="344"/>
      <c r="P92" s="345"/>
      <c r="Q92" s="344"/>
      <c r="R92" s="345"/>
      <c r="S92" s="405"/>
      <c r="T92" s="406"/>
      <c r="U92" s="369"/>
      <c r="V92" s="369"/>
      <c r="W92" s="369"/>
      <c r="X92" s="369"/>
      <c r="Y92" s="344"/>
      <c r="Z92" s="345"/>
      <c r="AA92" s="298"/>
    </row>
    <row r="93" spans="2:48" ht="15.75" thickBot="1" x14ac:dyDescent="0.3">
      <c r="B93" s="253"/>
      <c r="C93" s="235"/>
      <c r="D93" s="236"/>
      <c r="E93" s="236"/>
      <c r="F93" s="285"/>
      <c r="G93" s="344"/>
      <c r="H93" s="327"/>
      <c r="I93" s="344"/>
      <c r="J93" s="327"/>
      <c r="K93" s="344"/>
      <c r="L93" s="345"/>
      <c r="M93" s="361"/>
      <c r="N93" s="345"/>
      <c r="O93" s="344"/>
      <c r="P93" s="345"/>
      <c r="Q93" s="344"/>
      <c r="R93" s="345"/>
      <c r="S93" s="405"/>
      <c r="T93" s="406"/>
      <c r="U93" s="369"/>
      <c r="V93" s="369"/>
      <c r="W93" s="369"/>
      <c r="X93" s="369"/>
      <c r="Y93" s="344"/>
      <c r="Z93" s="345"/>
      <c r="AA93" s="295"/>
    </row>
    <row r="94" spans="2:48" ht="16.5" thickBot="1" x14ac:dyDescent="0.3">
      <c r="B94" s="254" t="s">
        <v>727</v>
      </c>
      <c r="C94" s="235" t="s">
        <v>725</v>
      </c>
      <c r="D94" s="255">
        <f>D90-D91</f>
        <v>0</v>
      </c>
      <c r="E94" s="255">
        <f>E90-E91</f>
        <v>0</v>
      </c>
      <c r="F94" s="357">
        <f>F90-F91</f>
        <v>0</v>
      </c>
      <c r="G94" s="346"/>
      <c r="H94" s="328"/>
      <c r="I94" s="346"/>
      <c r="J94" s="328"/>
      <c r="K94" s="346"/>
      <c r="L94" s="347"/>
      <c r="M94" s="362"/>
      <c r="N94" s="347"/>
      <c r="O94" s="346"/>
      <c r="P94" s="347"/>
      <c r="Q94" s="346"/>
      <c r="R94" s="347"/>
      <c r="S94" s="407"/>
      <c r="T94" s="408"/>
      <c r="U94" s="370"/>
      <c r="V94" s="370"/>
      <c r="W94" s="370"/>
      <c r="X94" s="370"/>
      <c r="Y94" s="346"/>
      <c r="Z94" s="347"/>
      <c r="AA94" s="317">
        <f>AA90-AA91</f>
        <v>0</v>
      </c>
      <c r="AL94" s="277">
        <v>10</v>
      </c>
      <c r="AM94" s="268" t="s">
        <v>289</v>
      </c>
      <c r="AN94" s="275">
        <f>AV95</f>
        <v>3000</v>
      </c>
      <c r="AO94" s="275"/>
      <c r="AS94" s="269" t="s">
        <v>836</v>
      </c>
    </row>
    <row r="95" spans="2:48" x14ac:dyDescent="0.25">
      <c r="B95" s="233" t="s">
        <v>728</v>
      </c>
      <c r="C95" s="235" t="s">
        <v>729</v>
      </c>
      <c r="D95" s="256"/>
      <c r="E95" s="256"/>
      <c r="F95" s="358">
        <f>SUM(D95:E95)</f>
        <v>0</v>
      </c>
      <c r="G95" s="348"/>
      <c r="H95" s="329"/>
      <c r="I95" s="348"/>
      <c r="J95" s="329"/>
      <c r="K95" s="348"/>
      <c r="L95" s="349"/>
      <c r="M95" s="363"/>
      <c r="N95" s="349"/>
      <c r="O95" s="348"/>
      <c r="P95" s="349"/>
      <c r="Q95" s="348"/>
      <c r="R95" s="349"/>
      <c r="S95" s="409"/>
      <c r="T95" s="410"/>
      <c r="U95" s="372"/>
      <c r="V95" s="372"/>
      <c r="W95" s="372"/>
      <c r="X95" s="372"/>
      <c r="Y95" s="348"/>
      <c r="Z95" s="349"/>
      <c r="AA95" s="336">
        <f>F95+G95-H95</f>
        <v>0</v>
      </c>
      <c r="AM95" s="268" t="s">
        <v>838</v>
      </c>
      <c r="AN95" s="275">
        <f>AV98</f>
        <v>836.80000000000007</v>
      </c>
      <c r="AO95" s="275"/>
      <c r="AS95" s="268" t="s">
        <v>154</v>
      </c>
      <c r="AV95" s="267">
        <v>3000</v>
      </c>
    </row>
    <row r="96" spans="2:48" ht="15.75" x14ac:dyDescent="0.25">
      <c r="B96" s="230" t="s">
        <v>730</v>
      </c>
      <c r="C96" s="235" t="s">
        <v>725</v>
      </c>
      <c r="D96" s="258">
        <f>D94-D95</f>
        <v>0</v>
      </c>
      <c r="E96" s="258">
        <f>E94-E95</f>
        <v>0</v>
      </c>
      <c r="F96" s="359">
        <f>F94-F95</f>
        <v>0</v>
      </c>
      <c r="G96" s="350"/>
      <c r="H96" s="330"/>
      <c r="I96" s="350"/>
      <c r="J96" s="330"/>
      <c r="K96" s="350"/>
      <c r="L96" s="351"/>
      <c r="M96" s="338"/>
      <c r="N96" s="351"/>
      <c r="O96" s="350"/>
      <c r="P96" s="351"/>
      <c r="Q96" s="350"/>
      <c r="R96" s="351"/>
      <c r="S96" s="411"/>
      <c r="T96" s="412"/>
      <c r="U96" s="371"/>
      <c r="V96" s="371"/>
      <c r="W96" s="371"/>
      <c r="X96" s="371"/>
      <c r="Y96" s="350"/>
      <c r="Z96" s="351"/>
      <c r="AA96" s="337">
        <f>AA94-AA95</f>
        <v>0</v>
      </c>
      <c r="AM96" s="268" t="s">
        <v>704</v>
      </c>
      <c r="AN96" s="275"/>
      <c r="AO96" s="275">
        <f>AV96</f>
        <v>279.60000000000002</v>
      </c>
      <c r="AS96" s="268" t="s">
        <v>837</v>
      </c>
      <c r="AV96" s="424">
        <f>AV16-AV19-AV20</f>
        <v>279.60000000000002</v>
      </c>
    </row>
    <row r="97" spans="2:49" x14ac:dyDescent="0.25">
      <c r="B97" s="233"/>
      <c r="C97" s="235"/>
      <c r="D97" s="259"/>
      <c r="E97" s="259"/>
      <c r="F97" s="330"/>
      <c r="G97" s="350"/>
      <c r="H97" s="330"/>
      <c r="I97" s="350"/>
      <c r="J97" s="330"/>
      <c r="K97" s="350"/>
      <c r="L97" s="351"/>
      <c r="M97" s="338"/>
      <c r="N97" s="351"/>
      <c r="O97" s="350"/>
      <c r="P97" s="351"/>
      <c r="Q97" s="350"/>
      <c r="R97" s="351"/>
      <c r="S97" s="411"/>
      <c r="T97" s="412"/>
      <c r="U97" s="371"/>
      <c r="V97" s="371"/>
      <c r="W97" s="371"/>
      <c r="X97" s="371"/>
      <c r="Y97" s="350"/>
      <c r="Z97" s="351"/>
      <c r="AA97" s="338"/>
      <c r="AM97" s="268" t="s">
        <v>839</v>
      </c>
      <c r="AN97" s="275"/>
      <c r="AO97" s="275">
        <f>AV97</f>
        <v>4184</v>
      </c>
      <c r="AS97" s="268" t="s">
        <v>865</v>
      </c>
      <c r="AV97" s="267">
        <v>4184</v>
      </c>
    </row>
    <row r="98" spans="2:49" ht="25.5" customHeight="1" x14ac:dyDescent="0.25">
      <c r="B98" s="230" t="s">
        <v>3</v>
      </c>
      <c r="C98" s="235"/>
      <c r="D98" s="259"/>
      <c r="E98" s="259"/>
      <c r="F98" s="330"/>
      <c r="G98" s="350"/>
      <c r="H98" s="330"/>
      <c r="I98" s="350"/>
      <c r="J98" s="330"/>
      <c r="K98" s="350"/>
      <c r="L98" s="351"/>
      <c r="M98" s="338"/>
      <c r="N98" s="351"/>
      <c r="O98" s="350"/>
      <c r="P98" s="351"/>
      <c r="Q98" s="350"/>
      <c r="R98" s="351"/>
      <c r="S98" s="411"/>
      <c r="T98" s="412"/>
      <c r="U98" s="371"/>
      <c r="V98" s="371"/>
      <c r="W98" s="371"/>
      <c r="X98" s="371"/>
      <c r="Y98" s="350"/>
      <c r="Z98" s="351"/>
      <c r="AA98" s="338"/>
      <c r="AM98" s="268" t="str">
        <f>IF(AV100&gt;0,"CR SPL - gain on disposal","DR SPL - loss on disposal")</f>
        <v>DR SPL - loss on disposal</v>
      </c>
      <c r="AN98" s="275">
        <f>IF(AV100&lt;0,-AV100,0)</f>
        <v>626.79999999999973</v>
      </c>
      <c r="AO98" s="275">
        <f>IF(AV100&gt;0,AV100,0)</f>
        <v>0</v>
      </c>
      <c r="AS98" s="268" t="s">
        <v>867</v>
      </c>
      <c r="AV98" s="275">
        <f>AV97*AV6</f>
        <v>836.80000000000007</v>
      </c>
      <c r="AW98" s="402" t="s">
        <v>864</v>
      </c>
    </row>
    <row r="99" spans="2:49" ht="15.75" x14ac:dyDescent="0.25">
      <c r="B99" s="230" t="s">
        <v>4</v>
      </c>
      <c r="C99" s="235"/>
      <c r="D99" s="259"/>
      <c r="E99" s="259"/>
      <c r="F99" s="330"/>
      <c r="G99" s="350"/>
      <c r="H99" s="330"/>
      <c r="I99" s="350"/>
      <c r="J99" s="330"/>
      <c r="K99" s="350"/>
      <c r="L99" s="351"/>
      <c r="M99" s="338"/>
      <c r="N99" s="351"/>
      <c r="O99" s="350"/>
      <c r="P99" s="351"/>
      <c r="Q99" s="350"/>
      <c r="R99" s="351"/>
      <c r="S99" s="411"/>
      <c r="T99" s="412"/>
      <c r="U99" s="371"/>
      <c r="V99" s="371"/>
      <c r="W99" s="371"/>
      <c r="X99" s="371"/>
      <c r="Y99" s="350"/>
      <c r="Z99" s="351"/>
      <c r="AA99" s="338"/>
      <c r="AS99" s="268" t="s">
        <v>866</v>
      </c>
      <c r="AV99" s="424">
        <f>AV97-AV98</f>
        <v>3347.2</v>
      </c>
    </row>
    <row r="100" spans="2:49" ht="15.75" thickBot="1" x14ac:dyDescent="0.3">
      <c r="B100" s="233" t="s">
        <v>731</v>
      </c>
      <c r="C100" s="235" t="s">
        <v>732</v>
      </c>
      <c r="D100" s="245"/>
      <c r="E100" s="245"/>
      <c r="F100" s="293">
        <f>SUM(D100:E100)</f>
        <v>0</v>
      </c>
      <c r="G100" s="348"/>
      <c r="H100" s="329"/>
      <c r="I100" s="348"/>
      <c r="J100" s="329"/>
      <c r="K100" s="348"/>
      <c r="L100" s="349"/>
      <c r="M100" s="363"/>
      <c r="N100" s="349"/>
      <c r="O100" s="348"/>
      <c r="P100" s="349"/>
      <c r="Q100" s="348"/>
      <c r="R100" s="349"/>
      <c r="S100" s="409"/>
      <c r="T100" s="410"/>
      <c r="U100" s="372"/>
      <c r="V100" s="372"/>
      <c r="W100" s="372"/>
      <c r="X100" s="372"/>
      <c r="Y100" s="348"/>
      <c r="Z100" s="349"/>
      <c r="AA100" s="317">
        <f>F100-G100+H100</f>
        <v>0</v>
      </c>
      <c r="AS100" s="268" t="s">
        <v>871</v>
      </c>
      <c r="AV100" s="282">
        <f>AV95-AV96-AV99</f>
        <v>-626.79999999999973</v>
      </c>
    </row>
    <row r="101" spans="2:49" ht="15.75" thickTop="1" x14ac:dyDescent="0.25">
      <c r="B101" s="233" t="s">
        <v>733</v>
      </c>
      <c r="C101" s="235" t="s">
        <v>732</v>
      </c>
      <c r="D101" s="245"/>
      <c r="E101" s="245"/>
      <c r="F101" s="293">
        <f>SUM(D101:E101)</f>
        <v>0</v>
      </c>
      <c r="G101" s="348"/>
      <c r="H101" s="329"/>
      <c r="I101" s="348"/>
      <c r="J101" s="329"/>
      <c r="K101" s="348"/>
      <c r="L101" s="349"/>
      <c r="M101" s="363"/>
      <c r="N101" s="349"/>
      <c r="O101" s="348"/>
      <c r="P101" s="349"/>
      <c r="Q101" s="348"/>
      <c r="R101" s="349"/>
      <c r="S101" s="409"/>
      <c r="T101" s="410"/>
      <c r="U101" s="372"/>
      <c r="V101" s="372"/>
      <c r="W101" s="372"/>
      <c r="X101" s="372"/>
      <c r="Y101" s="348"/>
      <c r="Z101" s="349"/>
      <c r="AA101" s="317">
        <f>F101-G101+H101</f>
        <v>0</v>
      </c>
    </row>
    <row r="102" spans="2:49" ht="30" x14ac:dyDescent="0.25">
      <c r="B102" s="233" t="s">
        <v>734</v>
      </c>
      <c r="C102" s="235" t="s">
        <v>735</v>
      </c>
      <c r="D102" s="245"/>
      <c r="E102" s="245"/>
      <c r="F102" s="293">
        <f>SUM(D102:E102)</f>
        <v>0</v>
      </c>
      <c r="G102" s="348"/>
      <c r="H102" s="329"/>
      <c r="I102" s="348"/>
      <c r="J102" s="329"/>
      <c r="K102" s="348"/>
      <c r="L102" s="349"/>
      <c r="M102" s="363"/>
      <c r="N102" s="349"/>
      <c r="O102" s="348"/>
      <c r="P102" s="349"/>
      <c r="Q102" s="348"/>
      <c r="R102" s="349"/>
      <c r="S102" s="409"/>
      <c r="T102" s="410"/>
      <c r="U102" s="372"/>
      <c r="V102" s="372"/>
      <c r="W102" s="372"/>
      <c r="X102" s="372"/>
      <c r="Y102" s="348"/>
      <c r="Z102" s="349"/>
      <c r="AA102" s="317">
        <f>F102-G102+H102</f>
        <v>0</v>
      </c>
    </row>
    <row r="103" spans="2:49" x14ac:dyDescent="0.25">
      <c r="B103" s="233" t="s">
        <v>736</v>
      </c>
      <c r="C103" s="235" t="s">
        <v>726</v>
      </c>
      <c r="D103" s="256"/>
      <c r="E103" s="256"/>
      <c r="F103" s="358">
        <f>SUM(D103:E103)</f>
        <v>0</v>
      </c>
      <c r="G103" s="348"/>
      <c r="H103" s="329"/>
      <c r="I103" s="348"/>
      <c r="J103" s="329"/>
      <c r="K103" s="348"/>
      <c r="L103" s="349"/>
      <c r="M103" s="363"/>
      <c r="N103" s="349"/>
      <c r="O103" s="348"/>
      <c r="P103" s="349"/>
      <c r="Q103" s="348"/>
      <c r="R103" s="349"/>
      <c r="S103" s="409"/>
      <c r="T103" s="410"/>
      <c r="U103" s="372"/>
      <c r="V103" s="372"/>
      <c r="W103" s="372"/>
      <c r="X103" s="372"/>
      <c r="Y103" s="348"/>
      <c r="Z103" s="349"/>
      <c r="AA103" s="336">
        <f>F103+G103-H103</f>
        <v>0</v>
      </c>
    </row>
    <row r="104" spans="2:49" x14ac:dyDescent="0.25">
      <c r="B104" s="233"/>
      <c r="C104" s="235"/>
      <c r="D104" s="258">
        <f>D100+D101+D102-D103</f>
        <v>0</v>
      </c>
      <c r="E104" s="258">
        <f>E100+E101+E102-E103</f>
        <v>0</v>
      </c>
      <c r="F104" s="359">
        <f>F100+F101+F102-F103</f>
        <v>0</v>
      </c>
      <c r="G104" s="350"/>
      <c r="H104" s="330"/>
      <c r="I104" s="350"/>
      <c r="J104" s="330"/>
      <c r="K104" s="350"/>
      <c r="L104" s="351"/>
      <c r="M104" s="338"/>
      <c r="N104" s="351"/>
      <c r="O104" s="350"/>
      <c r="P104" s="351"/>
      <c r="Q104" s="350"/>
      <c r="R104" s="351"/>
      <c r="S104" s="411"/>
      <c r="T104" s="412"/>
      <c r="U104" s="371"/>
      <c r="V104" s="371"/>
      <c r="W104" s="371"/>
      <c r="X104" s="371"/>
      <c r="Y104" s="350"/>
      <c r="Z104" s="351"/>
      <c r="AA104" s="337">
        <f>AA100+AA101+AA102-AA103</f>
        <v>0</v>
      </c>
    </row>
    <row r="105" spans="2:49" ht="15.75" x14ac:dyDescent="0.25">
      <c r="B105" s="230" t="s">
        <v>30</v>
      </c>
      <c r="C105" s="235"/>
      <c r="D105" s="259"/>
      <c r="E105" s="259"/>
      <c r="F105" s="330"/>
      <c r="G105" s="350"/>
      <c r="H105" s="330"/>
      <c r="I105" s="350"/>
      <c r="J105" s="330"/>
      <c r="K105" s="350"/>
      <c r="L105" s="351"/>
      <c r="M105" s="338"/>
      <c r="N105" s="351"/>
      <c r="O105" s="350"/>
      <c r="P105" s="351"/>
      <c r="Q105" s="350"/>
      <c r="R105" s="351"/>
      <c r="S105" s="411"/>
      <c r="T105" s="412"/>
      <c r="U105" s="371"/>
      <c r="V105" s="371"/>
      <c r="W105" s="371"/>
      <c r="X105" s="371"/>
      <c r="Y105" s="350"/>
      <c r="Z105" s="351"/>
      <c r="AA105" s="338"/>
    </row>
    <row r="106" spans="2:49" x14ac:dyDescent="0.25">
      <c r="B106" s="233" t="s">
        <v>32</v>
      </c>
      <c r="C106" s="235" t="s">
        <v>732</v>
      </c>
      <c r="D106" s="245"/>
      <c r="E106" s="245"/>
      <c r="F106" s="293">
        <f>SUM(D106:E106)</f>
        <v>0</v>
      </c>
      <c r="G106" s="348"/>
      <c r="H106" s="329"/>
      <c r="I106" s="348"/>
      <c r="J106" s="329"/>
      <c r="K106" s="348"/>
      <c r="L106" s="349"/>
      <c r="M106" s="363"/>
      <c r="N106" s="349"/>
      <c r="O106" s="348"/>
      <c r="P106" s="349"/>
      <c r="Q106" s="348"/>
      <c r="R106" s="349"/>
      <c r="S106" s="409"/>
      <c r="T106" s="410"/>
      <c r="U106" s="372"/>
      <c r="V106" s="372"/>
      <c r="W106" s="372"/>
      <c r="X106" s="372"/>
      <c r="Y106" s="348"/>
      <c r="Z106" s="349"/>
      <c r="AA106" s="317">
        <f>F106-G106+H106</f>
        <v>0</v>
      </c>
    </row>
    <row r="107" spans="2:49" x14ac:dyDescent="0.25">
      <c r="B107" s="233" t="s">
        <v>737</v>
      </c>
      <c r="C107" s="235" t="s">
        <v>726</v>
      </c>
      <c r="D107" s="256"/>
      <c r="E107" s="256"/>
      <c r="F107" s="358">
        <f>SUM(D107:E107)</f>
        <v>0</v>
      </c>
      <c r="G107" s="348"/>
      <c r="H107" s="329"/>
      <c r="I107" s="348"/>
      <c r="J107" s="329"/>
      <c r="K107" s="348"/>
      <c r="L107" s="349"/>
      <c r="M107" s="363"/>
      <c r="N107" s="349"/>
      <c r="O107" s="348"/>
      <c r="P107" s="349"/>
      <c r="Q107" s="348"/>
      <c r="R107" s="349"/>
      <c r="S107" s="409"/>
      <c r="T107" s="410"/>
      <c r="U107" s="372"/>
      <c r="V107" s="372"/>
      <c r="W107" s="372"/>
      <c r="X107" s="372"/>
      <c r="Y107" s="348"/>
      <c r="Z107" s="349"/>
      <c r="AA107" s="336">
        <f>F107+G107-H107</f>
        <v>0</v>
      </c>
    </row>
    <row r="108" spans="2:49" x14ac:dyDescent="0.25">
      <c r="B108" s="233"/>
      <c r="C108" s="235"/>
      <c r="D108" s="257">
        <f>D106-D107</f>
        <v>0</v>
      </c>
      <c r="E108" s="257">
        <f>E106-E107</f>
        <v>0</v>
      </c>
      <c r="F108" s="358">
        <f>F106-F107</f>
        <v>0</v>
      </c>
      <c r="G108" s="350"/>
      <c r="H108" s="330"/>
      <c r="I108" s="350"/>
      <c r="J108" s="330"/>
      <c r="K108" s="350"/>
      <c r="L108" s="351"/>
      <c r="M108" s="338"/>
      <c r="N108" s="351"/>
      <c r="O108" s="350"/>
      <c r="P108" s="351"/>
      <c r="Q108" s="350"/>
      <c r="R108" s="351"/>
      <c r="S108" s="411"/>
      <c r="T108" s="412"/>
      <c r="U108" s="371"/>
      <c r="V108" s="371"/>
      <c r="W108" s="371"/>
      <c r="X108" s="371"/>
      <c r="Y108" s="350"/>
      <c r="Z108" s="351"/>
      <c r="AA108" s="336">
        <f>AA106-AA107</f>
        <v>0</v>
      </c>
    </row>
    <row r="109" spans="2:49" ht="15.75" x14ac:dyDescent="0.25">
      <c r="B109" s="230" t="s">
        <v>8</v>
      </c>
      <c r="C109" s="235"/>
      <c r="D109" s="257">
        <f>SUM(D104,D108)</f>
        <v>0</v>
      </c>
      <c r="E109" s="257">
        <f>SUM(E104,E108)</f>
        <v>0</v>
      </c>
      <c r="F109" s="358">
        <f>SUM(F104,F108)</f>
        <v>0</v>
      </c>
      <c r="G109" s="350"/>
      <c r="H109" s="330"/>
      <c r="I109" s="350"/>
      <c r="J109" s="330"/>
      <c r="K109" s="350"/>
      <c r="L109" s="351"/>
      <c r="M109" s="338"/>
      <c r="N109" s="351"/>
      <c r="O109" s="350"/>
      <c r="P109" s="351"/>
      <c r="Q109" s="350"/>
      <c r="R109" s="351"/>
      <c r="S109" s="411"/>
      <c r="T109" s="412"/>
      <c r="U109" s="371"/>
      <c r="V109" s="371"/>
      <c r="W109" s="371"/>
      <c r="X109" s="371"/>
      <c r="Y109" s="350"/>
      <c r="Z109" s="351"/>
      <c r="AA109" s="336">
        <f>AA104+AA108</f>
        <v>0</v>
      </c>
    </row>
    <row r="110" spans="2:49" ht="16.5" thickBot="1" x14ac:dyDescent="0.3">
      <c r="B110" s="254" t="s">
        <v>9</v>
      </c>
      <c r="C110" s="260"/>
      <c r="D110" s="261">
        <f>D96+D109</f>
        <v>0</v>
      </c>
      <c r="E110" s="261">
        <f>E96+E109</f>
        <v>0</v>
      </c>
      <c r="F110" s="360">
        <f>F96+F109</f>
        <v>0</v>
      </c>
      <c r="G110" s="346"/>
      <c r="H110" s="328"/>
      <c r="I110" s="346"/>
      <c r="J110" s="328"/>
      <c r="K110" s="346"/>
      <c r="L110" s="347"/>
      <c r="M110" s="362"/>
      <c r="N110" s="347"/>
      <c r="O110" s="346"/>
      <c r="P110" s="347"/>
      <c r="Q110" s="346"/>
      <c r="R110" s="347"/>
      <c r="S110" s="407"/>
      <c r="T110" s="408"/>
      <c r="U110" s="370"/>
      <c r="V110" s="370"/>
      <c r="W110" s="370"/>
      <c r="X110" s="370"/>
      <c r="Y110" s="346"/>
      <c r="Z110" s="347"/>
      <c r="AA110" s="339">
        <f>AA96+AA109</f>
        <v>0</v>
      </c>
    </row>
    <row r="111" spans="2:49" x14ac:dyDescent="0.25">
      <c r="B111" s="233"/>
      <c r="C111" s="260"/>
      <c r="D111" s="240"/>
      <c r="E111" s="240"/>
      <c r="F111" s="289"/>
      <c r="G111" s="303"/>
      <c r="H111" s="285"/>
      <c r="I111" s="303"/>
      <c r="J111" s="285"/>
      <c r="K111" s="303"/>
      <c r="L111" s="304"/>
      <c r="M111" s="295"/>
      <c r="N111" s="304"/>
      <c r="O111" s="303"/>
      <c r="P111" s="304"/>
      <c r="Q111" s="303"/>
      <c r="R111" s="304"/>
      <c r="S111" s="383"/>
      <c r="T111" s="384"/>
      <c r="U111" s="321"/>
      <c r="V111" s="321"/>
      <c r="W111" s="321"/>
      <c r="X111" s="321"/>
      <c r="Y111" s="303"/>
      <c r="Z111" s="304"/>
      <c r="AA111" s="298"/>
    </row>
    <row r="112" spans="2:49" x14ac:dyDescent="0.25">
      <c r="B112" s="233" t="s">
        <v>738</v>
      </c>
      <c r="C112" s="235" t="s">
        <v>725</v>
      </c>
      <c r="D112" s="236"/>
      <c r="E112" s="236"/>
      <c r="F112" s="285"/>
      <c r="G112" s="303"/>
      <c r="H112" s="285"/>
      <c r="I112" s="303"/>
      <c r="J112" s="285"/>
      <c r="K112" s="303"/>
      <c r="L112" s="304"/>
      <c r="M112" s="295"/>
      <c r="N112" s="304"/>
      <c r="O112" s="303"/>
      <c r="P112" s="304"/>
      <c r="Q112" s="303"/>
      <c r="R112" s="304"/>
      <c r="S112" s="383"/>
      <c r="T112" s="384"/>
      <c r="U112" s="321"/>
      <c r="V112" s="321"/>
      <c r="W112" s="321"/>
      <c r="X112" s="321"/>
      <c r="Y112" s="303"/>
      <c r="Z112" s="304"/>
      <c r="AA112" s="295"/>
    </row>
    <row r="113" spans="2:27" x14ac:dyDescent="0.25">
      <c r="B113" s="262" t="s">
        <v>739</v>
      </c>
      <c r="C113" s="260"/>
      <c r="D113" s="236"/>
      <c r="E113" s="236"/>
      <c r="F113" s="285"/>
      <c r="G113" s="352"/>
      <c r="H113" s="331"/>
      <c r="I113" s="352"/>
      <c r="J113" s="331"/>
      <c r="K113" s="352"/>
      <c r="L113" s="353"/>
      <c r="M113" s="333"/>
      <c r="N113" s="353"/>
      <c r="O113" s="352"/>
      <c r="P113" s="353"/>
      <c r="Q113" s="352"/>
      <c r="R113" s="353"/>
      <c r="S113" s="413"/>
      <c r="T113" s="414"/>
      <c r="U113" s="373"/>
      <c r="V113" s="373"/>
      <c r="W113" s="321"/>
      <c r="X113" s="321"/>
      <c r="Y113" s="352"/>
      <c r="Z113" s="353"/>
      <c r="AA113" s="335">
        <f>AA115-AA114</f>
        <v>205.8</v>
      </c>
    </row>
    <row r="114" spans="2:27" x14ac:dyDescent="0.25">
      <c r="B114" s="263" t="s">
        <v>682</v>
      </c>
      <c r="C114" s="260"/>
      <c r="D114" s="236"/>
      <c r="E114" s="236"/>
      <c r="F114" s="285"/>
      <c r="G114" s="305"/>
      <c r="H114" s="326"/>
      <c r="I114" s="305"/>
      <c r="J114" s="326"/>
      <c r="K114" s="305"/>
      <c r="L114" s="306"/>
      <c r="M114" s="296">
        <f>Consol!AN33</f>
        <v>-205.8</v>
      </c>
      <c r="N114" s="306"/>
      <c r="O114" s="305">
        <f>SUMIF($AM$39:$AM$61,"DR SPL - Non-controlling interests",$AN$39:$AN$61)</f>
        <v>0</v>
      </c>
      <c r="P114" s="306">
        <f>-SUMIF($AM$39:$AM$61,"DR SPL - Non-controlling interests",$AO$39:$AO$61)</f>
        <v>0</v>
      </c>
      <c r="Q114" s="305">
        <f>SUMIF($AM$39:$AM$61,"DR SPL - Non-controlling interests",$AN$39:$AN$61)</f>
        <v>0</v>
      </c>
      <c r="R114" s="306">
        <f>-SUMIF($AM$39:$AM$61,"DR SPL - Non-controlling interests",$AO$39:$AO$61)</f>
        <v>0</v>
      </c>
      <c r="S114" s="305">
        <f>SUMIF($AM$54:$AM$61,"DR SPL - Non-controlling interests",$AN$54:$AN$61)</f>
        <v>0</v>
      </c>
      <c r="T114" s="306">
        <f>-SUMIF($AM$54:$AM$61,"DR SPL - Non-controlling interests",$AO$54:$AO$61)</f>
        <v>0</v>
      </c>
      <c r="U114" s="322"/>
      <c r="V114" s="322"/>
      <c r="W114" s="305">
        <f>SUMIF($AM$71:$AM$82,"DR SPL - Non-controlling interests",$AN$71:$AN$82)</f>
        <v>0</v>
      </c>
      <c r="X114" s="306">
        <f>SUMIF($AM$71:$AM$82,"CR SPL - Non-controlling interests",$AO$71:$AO$82)</f>
        <v>0</v>
      </c>
      <c r="Y114" s="305"/>
      <c r="Z114" s="306"/>
      <c r="AA114" s="298">
        <f>SUM(G114:P114)</f>
        <v>-205.8</v>
      </c>
    </row>
    <row r="115" spans="2:27" ht="15.75" thickBot="1" x14ac:dyDescent="0.3">
      <c r="B115" s="233"/>
      <c r="C115" s="260"/>
      <c r="D115" s="236"/>
      <c r="E115" s="236"/>
      <c r="F115" s="285"/>
      <c r="G115" s="303"/>
      <c r="H115" s="285"/>
      <c r="I115" s="303"/>
      <c r="J115" s="285"/>
      <c r="K115" s="303"/>
      <c r="L115" s="304"/>
      <c r="M115" s="295"/>
      <c r="N115" s="304"/>
      <c r="O115" s="303"/>
      <c r="P115" s="304"/>
      <c r="Q115" s="303"/>
      <c r="R115" s="304"/>
      <c r="S115" s="383"/>
      <c r="T115" s="384"/>
      <c r="U115" s="321"/>
      <c r="V115" s="321"/>
      <c r="W115" s="321"/>
      <c r="X115" s="321"/>
      <c r="Y115" s="303"/>
      <c r="Z115" s="304"/>
      <c r="AA115" s="314">
        <f>AA110</f>
        <v>0</v>
      </c>
    </row>
    <row r="116" spans="2:27" x14ac:dyDescent="0.25">
      <c r="B116" s="233" t="s">
        <v>740</v>
      </c>
      <c r="C116" s="260"/>
      <c r="D116" s="236"/>
      <c r="E116" s="236"/>
      <c r="F116" s="285"/>
      <c r="G116" s="303"/>
      <c r="H116" s="285"/>
      <c r="I116" s="303"/>
      <c r="J116" s="285"/>
      <c r="K116" s="303"/>
      <c r="L116" s="304"/>
      <c r="M116" s="295"/>
      <c r="N116" s="304"/>
      <c r="O116" s="303"/>
      <c r="P116" s="304"/>
      <c r="Q116" s="303"/>
      <c r="R116" s="304"/>
      <c r="S116" s="383"/>
      <c r="T116" s="384"/>
      <c r="U116" s="321"/>
      <c r="V116" s="321"/>
      <c r="W116" s="321"/>
      <c r="X116" s="321"/>
      <c r="Y116" s="303"/>
      <c r="Z116" s="304"/>
      <c r="AA116" s="298"/>
    </row>
    <row r="117" spans="2:27" x14ac:dyDescent="0.25">
      <c r="B117" s="263" t="s">
        <v>739</v>
      </c>
      <c r="C117" s="260"/>
      <c r="D117" s="236"/>
      <c r="E117" s="236"/>
      <c r="F117" s="285"/>
      <c r="G117" s="303"/>
      <c r="H117" s="285"/>
      <c r="I117" s="303"/>
      <c r="J117" s="285"/>
      <c r="K117" s="303"/>
      <c r="L117" s="304"/>
      <c r="M117" s="295"/>
      <c r="N117" s="304"/>
      <c r="O117" s="303"/>
      <c r="P117" s="304"/>
      <c r="Q117" s="303"/>
      <c r="R117" s="304"/>
      <c r="S117" s="383"/>
      <c r="T117" s="384"/>
      <c r="U117" s="321"/>
      <c r="V117" s="321"/>
      <c r="W117" s="321"/>
      <c r="X117" s="321"/>
      <c r="Y117" s="303"/>
      <c r="Z117" s="304"/>
      <c r="AA117" s="335">
        <f>AA119-AA118</f>
        <v>0</v>
      </c>
    </row>
    <row r="118" spans="2:27" x14ac:dyDescent="0.25">
      <c r="B118" s="263" t="s">
        <v>682</v>
      </c>
      <c r="C118" s="260"/>
      <c r="D118" s="236"/>
      <c r="E118" s="236"/>
      <c r="F118" s="285"/>
      <c r="G118" s="305"/>
      <c r="H118" s="326"/>
      <c r="I118" s="305"/>
      <c r="J118" s="326"/>
      <c r="K118" s="305"/>
      <c r="L118" s="306"/>
      <c r="M118" s="296"/>
      <c r="N118" s="306"/>
      <c r="O118" s="305"/>
      <c r="P118" s="306"/>
      <c r="Q118" s="305"/>
      <c r="R118" s="306"/>
      <c r="S118" s="385"/>
      <c r="T118" s="380"/>
      <c r="U118" s="322"/>
      <c r="V118" s="322"/>
      <c r="W118" s="322"/>
      <c r="X118" s="322"/>
      <c r="Y118" s="305"/>
      <c r="Z118" s="306"/>
      <c r="AA118" s="340">
        <f>G118-H118</f>
        <v>0</v>
      </c>
    </row>
    <row r="119" spans="2:27" ht="15.75" thickBot="1" x14ac:dyDescent="0.3">
      <c r="B119" s="233"/>
      <c r="C119" s="260"/>
      <c r="D119" s="236"/>
      <c r="E119" s="236"/>
      <c r="F119" s="285"/>
      <c r="G119" s="303"/>
      <c r="H119" s="285"/>
      <c r="I119" s="303"/>
      <c r="J119" s="285"/>
      <c r="K119" s="303"/>
      <c r="L119" s="304"/>
      <c r="M119" s="295"/>
      <c r="N119" s="304"/>
      <c r="O119" s="303"/>
      <c r="P119" s="304"/>
      <c r="Q119" s="303"/>
      <c r="R119" s="304"/>
      <c r="S119" s="383"/>
      <c r="T119" s="384"/>
      <c r="U119" s="321"/>
      <c r="V119" s="321"/>
      <c r="W119" s="321"/>
      <c r="X119" s="321"/>
      <c r="Y119" s="303"/>
      <c r="Z119" s="304"/>
      <c r="AA119" s="314">
        <f>AA110</f>
        <v>0</v>
      </c>
    </row>
    <row r="120" spans="2:27" x14ac:dyDescent="0.25">
      <c r="B120" s="233"/>
      <c r="C120" s="260"/>
      <c r="D120" s="236"/>
      <c r="E120" s="236"/>
      <c r="F120" s="285"/>
      <c r="G120" s="303"/>
      <c r="H120" s="285"/>
      <c r="I120" s="303"/>
      <c r="J120" s="285"/>
      <c r="K120" s="303"/>
      <c r="L120" s="304"/>
      <c r="M120" s="295"/>
      <c r="N120" s="304"/>
      <c r="O120" s="303"/>
      <c r="P120" s="304"/>
      <c r="Q120" s="303"/>
      <c r="R120" s="304"/>
      <c r="S120" s="383"/>
      <c r="T120" s="384"/>
      <c r="U120" s="321"/>
      <c r="V120" s="321"/>
      <c r="W120" s="321"/>
      <c r="X120" s="321"/>
      <c r="Y120" s="303"/>
      <c r="Z120" s="304"/>
      <c r="AA120" s="341"/>
    </row>
    <row r="121" spans="2:27" ht="15.75" x14ac:dyDescent="0.25">
      <c r="B121" s="233" t="s">
        <v>741</v>
      </c>
      <c r="C121" s="260" t="s">
        <v>742</v>
      </c>
      <c r="D121" s="236"/>
      <c r="E121" s="236"/>
      <c r="F121" s="285"/>
      <c r="G121" s="303"/>
      <c r="H121" s="285"/>
      <c r="I121" s="400"/>
      <c r="J121" s="285"/>
      <c r="K121" s="303"/>
      <c r="L121" s="304"/>
      <c r="M121" s="295"/>
      <c r="N121" s="304"/>
      <c r="O121" s="303"/>
      <c r="P121" s="304"/>
      <c r="Q121" s="303"/>
      <c r="R121" s="304"/>
      <c r="S121" s="383"/>
      <c r="T121" s="384"/>
      <c r="U121" s="321"/>
      <c r="V121" s="321"/>
      <c r="W121" s="321"/>
      <c r="X121" s="321"/>
      <c r="Y121" s="303"/>
      <c r="Z121" s="304"/>
      <c r="AA121" s="294" t="s">
        <v>743</v>
      </c>
    </row>
    <row r="122" spans="2:27" x14ac:dyDescent="0.25">
      <c r="B122" s="263" t="s">
        <v>744</v>
      </c>
      <c r="C122" s="260"/>
      <c r="D122" s="236"/>
      <c r="E122" s="236"/>
      <c r="F122" s="285"/>
      <c r="G122" s="303"/>
      <c r="H122" s="285"/>
      <c r="I122" s="383"/>
      <c r="J122" s="285"/>
      <c r="K122" s="303"/>
      <c r="L122" s="304"/>
      <c r="M122" s="295"/>
      <c r="N122" s="304"/>
      <c r="O122" s="303"/>
      <c r="P122" s="304"/>
      <c r="Q122" s="303"/>
      <c r="R122" s="304"/>
      <c r="S122" s="383"/>
      <c r="T122" s="384"/>
      <c r="U122" s="321"/>
      <c r="V122" s="321"/>
      <c r="W122" s="321"/>
      <c r="X122" s="321"/>
      <c r="Y122" s="303"/>
      <c r="Z122" s="304"/>
      <c r="AA122" s="342"/>
    </row>
    <row r="123" spans="2:27" x14ac:dyDescent="0.25">
      <c r="B123" s="263" t="s">
        <v>745</v>
      </c>
      <c r="C123" s="235" t="s">
        <v>746</v>
      </c>
      <c r="D123" s="236"/>
      <c r="E123" s="236"/>
      <c r="F123" s="285"/>
      <c r="G123" s="309"/>
      <c r="H123" s="355"/>
      <c r="I123" s="391"/>
      <c r="J123" s="355"/>
      <c r="K123" s="309"/>
      <c r="L123" s="310"/>
      <c r="M123" s="334"/>
      <c r="N123" s="310"/>
      <c r="O123" s="309"/>
      <c r="P123" s="310"/>
      <c r="Q123" s="309"/>
      <c r="R123" s="310"/>
      <c r="S123" s="391"/>
      <c r="T123" s="392"/>
      <c r="U123" s="379"/>
      <c r="V123" s="379"/>
      <c r="W123" s="379"/>
      <c r="X123" s="379"/>
      <c r="Y123" s="309"/>
      <c r="Z123" s="310"/>
      <c r="AA123" s="343"/>
    </row>
  </sheetData>
  <mergeCells count="24">
    <mergeCell ref="Q3:R3"/>
    <mergeCell ref="Q60:R60"/>
    <mergeCell ref="S3:T3"/>
    <mergeCell ref="C2:C4"/>
    <mergeCell ref="G3:H3"/>
    <mergeCell ref="I3:J3"/>
    <mergeCell ref="K3:L3"/>
    <mergeCell ref="M3:N3"/>
    <mergeCell ref="Y3:Z3"/>
    <mergeCell ref="U3:V3"/>
    <mergeCell ref="W3:X3"/>
    <mergeCell ref="BL12:BT15"/>
    <mergeCell ref="C59:C61"/>
    <mergeCell ref="G60:H60"/>
    <mergeCell ref="I60:J60"/>
    <mergeCell ref="K60:L60"/>
    <mergeCell ref="M60:N60"/>
    <mergeCell ref="Y60:Z60"/>
    <mergeCell ref="S60:T60"/>
    <mergeCell ref="U60:V60"/>
    <mergeCell ref="W60:X60"/>
    <mergeCell ref="BD12:BK15"/>
    <mergeCell ref="O3:P3"/>
    <mergeCell ref="O60:P60"/>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69BB0D16-9879-4E23-82AC-980EC2CA633D}">
          <x14:formula1>
            <xm:f>Inputs!$B$42:$B$43</xm:f>
          </x14:formula1>
          <xm:sqref>AS54 AS70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F8A60-5506-42B1-8CDD-9A5133129461}">
  <sheetPr codeName="Sheet4"/>
  <dimension ref="B1:X25"/>
  <sheetViews>
    <sheetView topLeftCell="M1" zoomScale="60" zoomScaleNormal="60" workbookViewId="0">
      <selection activeCell="A27" sqref="A27"/>
    </sheetView>
  </sheetViews>
  <sheetFormatPr defaultRowHeight="15" x14ac:dyDescent="0.25"/>
  <cols>
    <col min="1" max="1" width="3.85546875" customWidth="1"/>
    <col min="2" max="2" width="49" customWidth="1"/>
    <col min="3" max="3" width="20.85546875" customWidth="1"/>
    <col min="4" max="4" width="14.85546875" customWidth="1"/>
    <col min="5" max="5" width="10.5703125" bestFit="1" customWidth="1"/>
    <col min="6" max="6" width="15.85546875" customWidth="1"/>
    <col min="11" max="11" width="16.42578125" customWidth="1"/>
    <col min="12" max="12" width="12.85546875" customWidth="1"/>
    <col min="13" max="13" width="16" customWidth="1"/>
  </cols>
  <sheetData>
    <row r="1" spans="2:24" ht="9" customHeight="1" x14ac:dyDescent="0.25"/>
    <row r="2" spans="2:24" x14ac:dyDescent="0.25">
      <c r="B2" s="1">
        <f>Info!C2</f>
        <v>0</v>
      </c>
      <c r="C2" s="1"/>
    </row>
    <row r="3" spans="2:24" x14ac:dyDescent="0.25">
      <c r="B3" s="1" t="s">
        <v>57</v>
      </c>
      <c r="C3" s="1"/>
    </row>
    <row r="4" spans="2:24" ht="14.45" customHeight="1" x14ac:dyDescent="0.25">
      <c r="B4" s="1" t="str">
        <f>"For the year ended"&amp;" "&amp;Info!C3</f>
        <v xml:space="preserve">For the year ended </v>
      </c>
      <c r="C4" s="1"/>
      <c r="D4" s="15"/>
      <c r="E4" t="s">
        <v>89</v>
      </c>
      <c r="K4" s="807" t="s">
        <v>71</v>
      </c>
      <c r="L4" s="807"/>
      <c r="M4" s="807"/>
      <c r="T4" t="s">
        <v>121</v>
      </c>
    </row>
    <row r="5" spans="2:24" x14ac:dyDescent="0.25">
      <c r="C5" s="16" t="s">
        <v>10</v>
      </c>
      <c r="D5" s="16" t="s">
        <v>10</v>
      </c>
      <c r="E5" s="16" t="s">
        <v>10</v>
      </c>
      <c r="F5" s="16" t="s">
        <v>10</v>
      </c>
      <c r="K5" s="807"/>
      <c r="L5" s="807"/>
      <c r="M5" s="807"/>
      <c r="T5" s="1"/>
    </row>
    <row r="6" spans="2:24" x14ac:dyDescent="0.25">
      <c r="B6" s="9" t="s">
        <v>58</v>
      </c>
      <c r="C6" s="9"/>
      <c r="D6" s="27">
        <v>5648257</v>
      </c>
      <c r="F6" s="10">
        <f>D6+E6</f>
        <v>5648257</v>
      </c>
      <c r="K6" s="4" t="s">
        <v>68</v>
      </c>
      <c r="L6" s="4" t="s">
        <v>69</v>
      </c>
      <c r="M6" s="4" t="s">
        <v>70</v>
      </c>
      <c r="T6" s="1" t="s">
        <v>122</v>
      </c>
      <c r="U6" t="s">
        <v>125</v>
      </c>
    </row>
    <row r="7" spans="2:24" ht="15.75" thickBot="1" x14ac:dyDescent="0.3">
      <c r="B7" t="s">
        <v>59</v>
      </c>
      <c r="D7" s="28">
        <v>4598158</v>
      </c>
      <c r="F7" s="19">
        <f>D7+E7</f>
        <v>4598158</v>
      </c>
      <c r="K7" s="14">
        <v>150000</v>
      </c>
      <c r="L7" s="14">
        <v>630000</v>
      </c>
      <c r="M7" s="14">
        <v>180000</v>
      </c>
      <c r="T7" s="31" t="s">
        <v>123</v>
      </c>
      <c r="U7" s="31" t="s">
        <v>124</v>
      </c>
      <c r="V7" s="31"/>
      <c r="W7" s="31"/>
      <c r="X7" s="31"/>
    </row>
    <row r="8" spans="2:24" x14ac:dyDescent="0.25">
      <c r="B8" s="1" t="s">
        <v>60</v>
      </c>
      <c r="C8" s="1"/>
      <c r="D8" s="17">
        <f>D6-D7</f>
        <v>1050099</v>
      </c>
      <c r="F8" s="10">
        <f>F6-F7</f>
        <v>1050099</v>
      </c>
      <c r="L8" s="1" t="s">
        <v>67</v>
      </c>
      <c r="M8" s="12">
        <f>K7+L7-M7</f>
        <v>600000</v>
      </c>
    </row>
    <row r="9" spans="2:24" x14ac:dyDescent="0.25">
      <c r="B9" s="1"/>
      <c r="C9" s="1"/>
      <c r="D9" s="17"/>
      <c r="F9" s="10"/>
      <c r="L9" s="1"/>
      <c r="M9" s="12"/>
      <c r="T9" t="s">
        <v>127</v>
      </c>
    </row>
    <row r="10" spans="2:24" x14ac:dyDescent="0.25">
      <c r="B10" s="9" t="s">
        <v>61</v>
      </c>
      <c r="C10" s="14">
        <f>233513-12662+10456</f>
        <v>231307</v>
      </c>
      <c r="F10" s="10">
        <f>C10+E10</f>
        <v>231307</v>
      </c>
      <c r="T10" t="s">
        <v>128</v>
      </c>
    </row>
    <row r="11" spans="2:24" x14ac:dyDescent="0.25">
      <c r="B11" s="9" t="s">
        <v>62</v>
      </c>
      <c r="C11" s="14">
        <f>220009-6120+4445+96691+1125</f>
        <v>316150</v>
      </c>
      <c r="D11">
        <v>6560</v>
      </c>
      <c r="F11" s="20">
        <f>C11+E11</f>
        <v>316150</v>
      </c>
    </row>
    <row r="12" spans="2:24" x14ac:dyDescent="0.25">
      <c r="B12" t="s">
        <v>63</v>
      </c>
      <c r="C12" s="3"/>
      <c r="D12" s="11"/>
      <c r="E12" s="11"/>
      <c r="F12" s="10">
        <f>C12+E12</f>
        <v>0</v>
      </c>
    </row>
    <row r="13" spans="2:24" x14ac:dyDescent="0.25">
      <c r="B13" t="s">
        <v>64</v>
      </c>
      <c r="C13" s="3"/>
      <c r="E13" s="11"/>
      <c r="F13" s="10">
        <f>D13+E13</f>
        <v>0</v>
      </c>
    </row>
    <row r="14" spans="2:24" x14ac:dyDescent="0.25">
      <c r="D14" s="12">
        <f>SUM(C10:C14)</f>
        <v>547457</v>
      </c>
      <c r="E14" s="11"/>
      <c r="F14" s="10"/>
    </row>
    <row r="15" spans="2:24" x14ac:dyDescent="0.25">
      <c r="B15" t="s">
        <v>94</v>
      </c>
      <c r="C15" s="3">
        <v>23226</v>
      </c>
      <c r="E15" s="11"/>
      <c r="F15" s="10"/>
    </row>
    <row r="16" spans="2:24" x14ac:dyDescent="0.25">
      <c r="B16" t="s">
        <v>96</v>
      </c>
      <c r="C16" s="3">
        <v>-16376</v>
      </c>
      <c r="E16" s="11"/>
      <c r="F16" s="10"/>
    </row>
    <row r="17" spans="2:6" x14ac:dyDescent="0.25">
      <c r="B17" t="s">
        <v>95</v>
      </c>
      <c r="C17" s="3">
        <f>300000+70000-95000+3162-35000</f>
        <v>243162</v>
      </c>
      <c r="E17" s="11"/>
      <c r="F17" s="10"/>
    </row>
    <row r="18" spans="2:6" x14ac:dyDescent="0.25">
      <c r="D18">
        <f>SUM(C15:C17)</f>
        <v>250012</v>
      </c>
      <c r="E18" s="11"/>
      <c r="F18" s="10"/>
    </row>
    <row r="19" spans="2:6" x14ac:dyDescent="0.25">
      <c r="B19" s="1" t="s">
        <v>65</v>
      </c>
      <c r="C19" s="1"/>
      <c r="D19" s="12">
        <f>D8-D14+D18</f>
        <v>752654</v>
      </c>
      <c r="F19" s="12">
        <f>F8-F10-F11-F12-F13</f>
        <v>502642</v>
      </c>
    </row>
    <row r="20" spans="2:6" x14ac:dyDescent="0.25">
      <c r="B20" s="1"/>
      <c r="C20" s="1"/>
      <c r="D20" s="12"/>
      <c r="F20" s="10"/>
    </row>
    <row r="21" spans="2:6" x14ac:dyDescent="0.25">
      <c r="B21" s="6" t="s">
        <v>1</v>
      </c>
      <c r="C21" s="6"/>
      <c r="D21">
        <v>-642000</v>
      </c>
      <c r="E21" s="11"/>
      <c r="F21" s="10">
        <f>D21+E21</f>
        <v>-642000</v>
      </c>
    </row>
    <row r="22" spans="2:6" x14ac:dyDescent="0.25">
      <c r="B22" s="7" t="s">
        <v>66</v>
      </c>
      <c r="C22" s="7"/>
      <c r="D22" s="12">
        <f>SUM(D19:D21)</f>
        <v>110654</v>
      </c>
      <c r="F22" s="12">
        <f>F19-F21</f>
        <v>1144642</v>
      </c>
    </row>
    <row r="23" spans="2:6" x14ac:dyDescent="0.25">
      <c r="B23" s="7"/>
      <c r="C23" s="7"/>
    </row>
    <row r="24" spans="2:6" x14ac:dyDescent="0.25">
      <c r="B24" s="1"/>
      <c r="C24" s="1"/>
    </row>
    <row r="25" spans="2:6" x14ac:dyDescent="0.25">
      <c r="B25" s="1"/>
      <c r="C25" s="1"/>
    </row>
  </sheetData>
  <mergeCells count="1">
    <mergeCell ref="K4:M5"/>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027007-D45D-49C6-8C73-9E4C03F5FF8D}">
  <sheetPr codeName="Sheet7"/>
  <dimension ref="B1:J2"/>
  <sheetViews>
    <sheetView workbookViewId="0">
      <selection activeCell="F25" sqref="F25"/>
    </sheetView>
  </sheetViews>
  <sheetFormatPr defaultRowHeight="15" x14ac:dyDescent="0.25"/>
  <cols>
    <col min="1" max="1" width="4.5703125" customWidth="1"/>
    <col min="2" max="2" width="20.42578125" style="1" customWidth="1"/>
    <col min="4" max="4" width="14.42578125" customWidth="1"/>
    <col min="5" max="5" width="13.85546875" customWidth="1"/>
    <col min="6" max="6" width="13.5703125" customWidth="1"/>
    <col min="7" max="10" width="11.85546875" bestFit="1" customWidth="1"/>
  </cols>
  <sheetData>
    <row r="1" spans="3:10" customFormat="1" x14ac:dyDescent="0.25"/>
    <row r="2" spans="3:10" customFormat="1" x14ac:dyDescent="0.25">
      <c r="C2" s="2" t="s">
        <v>114</v>
      </c>
      <c r="D2" t="s">
        <v>107</v>
      </c>
      <c r="E2" t="s">
        <v>108</v>
      </c>
      <c r="F2" t="s">
        <v>109</v>
      </c>
      <c r="G2" t="s">
        <v>110</v>
      </c>
      <c r="H2" t="s">
        <v>111</v>
      </c>
      <c r="I2" t="s">
        <v>112</v>
      </c>
      <c r="J2" t="s">
        <v>113</v>
      </c>
    </row>
  </sheetData>
  <phoneticPr fontId="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B8FBE1-A0B5-4D09-9DE1-C07ACD733245}">
  <sheetPr codeName="Sheet5"/>
  <dimension ref="B1:J40"/>
  <sheetViews>
    <sheetView zoomScale="80" zoomScaleNormal="80" workbookViewId="0">
      <selection activeCell="A27" sqref="A27"/>
    </sheetView>
  </sheetViews>
  <sheetFormatPr defaultRowHeight="15" x14ac:dyDescent="0.25"/>
  <cols>
    <col min="1" max="1" width="3.85546875" customWidth="1"/>
    <col min="2" max="2" width="49" customWidth="1"/>
    <col min="3" max="3" width="13.85546875" style="11" customWidth="1"/>
    <col min="4" max="4" width="12.28515625" bestFit="1" customWidth="1"/>
    <col min="5" max="5" width="13.7109375" bestFit="1" customWidth="1"/>
    <col min="7" max="7" width="11.42578125" customWidth="1"/>
    <col min="8" max="8" width="13.85546875" customWidth="1"/>
    <col min="9" max="9" width="11.5703125" bestFit="1" customWidth="1"/>
    <col min="10" max="10" width="9.5703125" customWidth="1"/>
  </cols>
  <sheetData>
    <row r="1" spans="2:10" ht="9" customHeight="1" x14ac:dyDescent="0.25">
      <c r="C1"/>
    </row>
    <row r="2" spans="2:10" x14ac:dyDescent="0.25">
      <c r="B2" s="1">
        <f>Info!C2</f>
        <v>0</v>
      </c>
      <c r="C2"/>
    </row>
    <row r="3" spans="2:10" x14ac:dyDescent="0.25">
      <c r="B3" s="1" t="s">
        <v>13</v>
      </c>
      <c r="C3"/>
    </row>
    <row r="4" spans="2:10" x14ac:dyDescent="0.25">
      <c r="B4" s="1" t="str">
        <f>"As at"&amp;" "&amp;Info!C3</f>
        <v xml:space="preserve">As at </v>
      </c>
      <c r="C4"/>
      <c r="D4" t="s">
        <v>89</v>
      </c>
    </row>
    <row r="5" spans="2:10" x14ac:dyDescent="0.25">
      <c r="C5" s="13" t="s">
        <v>10</v>
      </c>
      <c r="D5" s="13" t="s">
        <v>10</v>
      </c>
      <c r="E5" s="13" t="s">
        <v>10</v>
      </c>
    </row>
    <row r="6" spans="2:10" x14ac:dyDescent="0.25">
      <c r="B6" s="1" t="s">
        <v>72</v>
      </c>
      <c r="C6"/>
    </row>
    <row r="7" spans="2:10" x14ac:dyDescent="0.25">
      <c r="B7" s="1" t="s">
        <v>73</v>
      </c>
    </row>
    <row r="8" spans="2:10" x14ac:dyDescent="0.25">
      <c r="B8" s="9" t="s">
        <v>74</v>
      </c>
      <c r="C8" s="11">
        <f>400000-40000</f>
        <v>360000</v>
      </c>
      <c r="E8" s="21">
        <f>C8+D9</f>
        <v>337000</v>
      </c>
    </row>
    <row r="9" spans="2:10" x14ac:dyDescent="0.25">
      <c r="B9" s="9" t="s">
        <v>75</v>
      </c>
      <c r="C9" s="11">
        <f>507200-220000</f>
        <v>287200</v>
      </c>
      <c r="D9" s="11">
        <v>-23000</v>
      </c>
      <c r="E9" s="12">
        <f>C9+D9</f>
        <v>264200</v>
      </c>
      <c r="H9">
        <f>100000</f>
        <v>100000</v>
      </c>
      <c r="I9" s="11">
        <v>16500</v>
      </c>
      <c r="J9" t="s">
        <v>104</v>
      </c>
    </row>
    <row r="10" spans="2:10" x14ac:dyDescent="0.25">
      <c r="B10" s="9" t="s">
        <v>90</v>
      </c>
      <c r="E10" s="12"/>
      <c r="H10">
        <v>16500</v>
      </c>
      <c r="I10" s="11">
        <v>100000</v>
      </c>
      <c r="J10" t="s">
        <v>105</v>
      </c>
    </row>
    <row r="11" spans="2:10" x14ac:dyDescent="0.25">
      <c r="B11" s="1"/>
      <c r="E11" s="12">
        <f t="shared" ref="E11:E35" si="0">C11+D11</f>
        <v>0</v>
      </c>
      <c r="H11">
        <v>23000</v>
      </c>
      <c r="I11" s="11">
        <v>77000</v>
      </c>
      <c r="J11" t="s">
        <v>106</v>
      </c>
    </row>
    <row r="12" spans="2:10" x14ac:dyDescent="0.25">
      <c r="B12" s="1" t="s">
        <v>76</v>
      </c>
      <c r="E12" s="12">
        <f t="shared" si="0"/>
        <v>0</v>
      </c>
      <c r="I12" s="11">
        <f>H11-H10</f>
        <v>6500</v>
      </c>
      <c r="J12" t="s">
        <v>103</v>
      </c>
    </row>
    <row r="13" spans="2:10" x14ac:dyDescent="0.25">
      <c r="B13" s="9" t="s">
        <v>56</v>
      </c>
      <c r="C13" s="11">
        <v>180000</v>
      </c>
      <c r="E13" s="21">
        <f t="shared" si="0"/>
        <v>180000</v>
      </c>
      <c r="H13" t="s">
        <v>100</v>
      </c>
      <c r="I13" t="s">
        <v>99</v>
      </c>
    </row>
    <row r="14" spans="2:10" ht="15" customHeight="1" x14ac:dyDescent="0.25">
      <c r="B14" s="9" t="s">
        <v>77</v>
      </c>
      <c r="C14" s="11">
        <v>200000</v>
      </c>
      <c r="D14">
        <f>-4800</f>
        <v>-4800</v>
      </c>
      <c r="E14" s="21">
        <f t="shared" si="0"/>
        <v>195200</v>
      </c>
    </row>
    <row r="15" spans="2:10" ht="15" customHeight="1" x14ac:dyDescent="0.25">
      <c r="B15" s="9" t="s">
        <v>115</v>
      </c>
      <c r="E15" s="21"/>
    </row>
    <row r="16" spans="2:10" x14ac:dyDescent="0.25">
      <c r="B16" s="22" t="s">
        <v>91</v>
      </c>
      <c r="E16" s="12"/>
      <c r="H16" t="s">
        <v>101</v>
      </c>
      <c r="I16">
        <v>1760</v>
      </c>
    </row>
    <row r="17" spans="2:9" x14ac:dyDescent="0.25">
      <c r="B17" s="9" t="s">
        <v>92</v>
      </c>
      <c r="E17" s="12"/>
    </row>
    <row r="18" spans="2:9" ht="15.75" thickBot="1" x14ac:dyDescent="0.3">
      <c r="B18" s="7" t="s">
        <v>78</v>
      </c>
      <c r="C18" s="18">
        <f>SUM(C8:C16)</f>
        <v>1027200</v>
      </c>
      <c r="E18" s="18">
        <f>SUM(E8:E14)</f>
        <v>976400</v>
      </c>
      <c r="H18" t="s">
        <v>102</v>
      </c>
      <c r="I18">
        <v>1760</v>
      </c>
    </row>
    <row r="19" spans="2:9" ht="15.75" thickTop="1" x14ac:dyDescent="0.25">
      <c r="B19" s="7"/>
      <c r="E19" s="12">
        <f t="shared" si="0"/>
        <v>0</v>
      </c>
      <c r="H19" t="s">
        <v>102</v>
      </c>
      <c r="I19">
        <v>4800</v>
      </c>
    </row>
    <row r="20" spans="2:9" x14ac:dyDescent="0.25">
      <c r="B20" s="1" t="s">
        <v>79</v>
      </c>
      <c r="E20" s="12">
        <f t="shared" si="0"/>
        <v>0</v>
      </c>
    </row>
    <row r="21" spans="2:9" x14ac:dyDescent="0.25">
      <c r="B21" s="1" t="s">
        <v>80</v>
      </c>
      <c r="E21" s="12">
        <f t="shared" si="0"/>
        <v>0</v>
      </c>
    </row>
    <row r="22" spans="2:9" x14ac:dyDescent="0.25">
      <c r="B22" t="s">
        <v>81</v>
      </c>
      <c r="C22" s="11">
        <v>100000</v>
      </c>
      <c r="D22" s="11">
        <v>50000</v>
      </c>
      <c r="E22" s="12">
        <f t="shared" si="0"/>
        <v>150000</v>
      </c>
    </row>
    <row r="23" spans="2:9" x14ac:dyDescent="0.25">
      <c r="B23" t="s">
        <v>18</v>
      </c>
      <c r="D23" s="11">
        <v>30000</v>
      </c>
      <c r="E23" s="12">
        <f t="shared" si="0"/>
        <v>30000</v>
      </c>
    </row>
    <row r="24" spans="2:9" x14ac:dyDescent="0.25">
      <c r="B24" t="s">
        <v>19</v>
      </c>
      <c r="C24" s="11">
        <v>190000</v>
      </c>
      <c r="E24" s="12">
        <f>C24+'Profit and Loss'!F22-'Profit and Loss'!D22</f>
        <v>1223988</v>
      </c>
    </row>
    <row r="25" spans="2:9" x14ac:dyDescent="0.25">
      <c r="B25" t="s">
        <v>97</v>
      </c>
      <c r="D25" s="11"/>
      <c r="E25" s="12">
        <f>C25+D25</f>
        <v>0</v>
      </c>
    </row>
    <row r="26" spans="2:9" x14ac:dyDescent="0.25">
      <c r="E26" s="12">
        <f t="shared" si="0"/>
        <v>0</v>
      </c>
    </row>
    <row r="27" spans="2:9" x14ac:dyDescent="0.25">
      <c r="B27" s="1" t="s">
        <v>82</v>
      </c>
      <c r="E27" s="12">
        <f t="shared" si="0"/>
        <v>0</v>
      </c>
    </row>
    <row r="28" spans="2:9" x14ac:dyDescent="0.25">
      <c r="B28" t="s">
        <v>83</v>
      </c>
      <c r="C28" s="11">
        <v>300000</v>
      </c>
      <c r="D28" s="11">
        <v>30000</v>
      </c>
      <c r="E28" s="12">
        <f t="shared" si="0"/>
        <v>330000</v>
      </c>
    </row>
    <row r="29" spans="2:9" x14ac:dyDescent="0.25">
      <c r="E29" s="12">
        <f t="shared" si="0"/>
        <v>0</v>
      </c>
    </row>
    <row r="30" spans="2:9" x14ac:dyDescent="0.25">
      <c r="B30" s="1" t="s">
        <v>84</v>
      </c>
      <c r="E30" s="12">
        <f t="shared" si="0"/>
        <v>0</v>
      </c>
    </row>
    <row r="31" spans="2:9" x14ac:dyDescent="0.25">
      <c r="B31" t="s">
        <v>85</v>
      </c>
      <c r="C31" s="11">
        <v>100000</v>
      </c>
      <c r="E31" s="12">
        <f t="shared" si="0"/>
        <v>100000</v>
      </c>
    </row>
    <row r="32" spans="2:9" x14ac:dyDescent="0.25">
      <c r="B32" t="s">
        <v>86</v>
      </c>
      <c r="C32" s="11">
        <v>70000</v>
      </c>
      <c r="E32" s="12">
        <f t="shared" si="0"/>
        <v>70000</v>
      </c>
    </row>
    <row r="33" spans="2:5" x14ac:dyDescent="0.25">
      <c r="B33" t="s">
        <v>93</v>
      </c>
      <c r="E33" s="12"/>
    </row>
    <row r="34" spans="2:5" x14ac:dyDescent="0.25">
      <c r="B34" t="s">
        <v>87</v>
      </c>
      <c r="D34" s="11"/>
      <c r="E34" s="12">
        <f t="shared" si="0"/>
        <v>0</v>
      </c>
    </row>
    <row r="35" spans="2:5" x14ac:dyDescent="0.25">
      <c r="E35" s="12">
        <f t="shared" si="0"/>
        <v>0</v>
      </c>
    </row>
    <row r="36" spans="2:5" ht="15.75" thickBot="1" x14ac:dyDescent="0.3">
      <c r="B36" t="s">
        <v>88</v>
      </c>
      <c r="C36" s="18">
        <f>SUM(C22:C35)</f>
        <v>760000</v>
      </c>
      <c r="E36" s="18">
        <f>SUM(E22:E35)</f>
        <v>1903988</v>
      </c>
    </row>
    <row r="37" spans="2:5" ht="15.75" thickTop="1" x14ac:dyDescent="0.25"/>
    <row r="40" spans="2:5" x14ac:dyDescent="0.25">
      <c r="B40" t="s">
        <v>98</v>
      </c>
      <c r="C40" s="11">
        <v>1760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EA2805-48E7-404A-A79F-4E36C9140329}">
  <sheetPr codeName="Sheet16"/>
  <dimension ref="B2:CA139"/>
  <sheetViews>
    <sheetView topLeftCell="AX1" zoomScale="60" zoomScaleNormal="60" workbookViewId="0">
      <selection activeCell="BO7" sqref="BO7"/>
    </sheetView>
  </sheetViews>
  <sheetFormatPr defaultColWidth="3.5703125" defaultRowHeight="15" x14ac:dyDescent="0.25"/>
  <cols>
    <col min="1" max="1" width="3.5703125" style="229"/>
    <col min="2" max="2" width="73.5703125" style="229" customWidth="1"/>
    <col min="3" max="3" width="93.140625" style="229" hidden="1" customWidth="1"/>
    <col min="4" max="5" width="17.28515625" style="246" customWidth="1"/>
    <col min="6" max="6" width="17.28515625" style="246" hidden="1" customWidth="1"/>
    <col min="7" max="7" width="17.28515625" style="246" customWidth="1"/>
    <col min="8" max="8" width="14.42578125" style="246" customWidth="1"/>
    <col min="9" max="11" width="13.42578125" style="246" customWidth="1"/>
    <col min="12" max="12" width="12.140625" style="246" customWidth="1"/>
    <col min="13" max="13" width="13.42578125" style="246" customWidth="1"/>
    <col min="14" max="14" width="13.140625" style="246" customWidth="1"/>
    <col min="15" max="15" width="14.140625" style="246" customWidth="1"/>
    <col min="16" max="16" width="10.42578125" style="246" customWidth="1"/>
    <col min="17" max="17" width="13.42578125" style="246" customWidth="1"/>
    <col min="18" max="18" width="15" style="246" customWidth="1"/>
    <col min="19" max="19" width="11.5703125" style="246" customWidth="1"/>
    <col min="20" max="20" width="15" style="246" customWidth="1"/>
    <col min="21" max="22" width="14.140625" style="246" customWidth="1"/>
    <col min="23" max="23" width="14.85546875" style="246" customWidth="1"/>
    <col min="24" max="30" width="11.5703125" style="246" customWidth="1"/>
    <col min="31" max="31" width="13.5703125" style="246" customWidth="1"/>
    <col min="32" max="32" width="14.140625" style="246" customWidth="1"/>
    <col min="33" max="33" width="10" style="246" customWidth="1"/>
    <col min="34" max="34" width="17.28515625" style="246" customWidth="1"/>
    <col min="35" max="35" width="3.5703125" style="229"/>
    <col min="36" max="37" width="3.5703125" style="268"/>
    <col min="38" max="38" width="7.42578125" style="268" customWidth="1"/>
    <col min="39" max="39" width="6" style="268" customWidth="1"/>
    <col min="40" max="42" width="3.5703125" style="268"/>
    <col min="43" max="43" width="7.140625" style="268" customWidth="1"/>
    <col min="44" max="44" width="5.140625" style="268" customWidth="1"/>
    <col min="45" max="45" width="8.7109375" style="268" customWidth="1"/>
    <col min="46" max="46" width="40.5703125" style="268" customWidth="1"/>
    <col min="47" max="47" width="25.42578125" style="268" customWidth="1"/>
    <col min="48" max="48" width="29.5703125" style="268" customWidth="1"/>
    <col min="49" max="49" width="9.140625" style="268" customWidth="1"/>
    <col min="50" max="51" width="3.5703125" style="268"/>
    <col min="52" max="52" width="60.140625" style="268" customWidth="1"/>
    <col min="53" max="53" width="26.5703125" style="268" customWidth="1"/>
    <col min="54" max="54" width="23.85546875" style="268" customWidth="1"/>
    <col min="55" max="55" width="20.5703125" style="268" customWidth="1"/>
    <col min="56" max="56" width="18.85546875" style="268" customWidth="1"/>
    <col min="57" max="57" width="9.42578125" style="268" customWidth="1"/>
    <col min="58" max="58" width="14.28515625" style="268" customWidth="1"/>
    <col min="59" max="59" width="5.28515625" style="268" bestFit="1" customWidth="1"/>
    <col min="60" max="60" width="0" style="268" hidden="1" customWidth="1"/>
    <col min="61" max="61" width="6.28515625" style="268" hidden="1" customWidth="1"/>
    <col min="62" max="62" width="11.28515625" style="268" bestFit="1" customWidth="1"/>
    <col min="63" max="63" width="17.28515625" style="268" customWidth="1"/>
    <col min="64" max="64" width="13.140625" style="268" bestFit="1" customWidth="1"/>
    <col min="65" max="65" width="3.5703125" style="268"/>
    <col min="66" max="66" width="13.140625" style="268" bestFit="1" customWidth="1"/>
    <col min="67" max="67" width="17.42578125" style="268" customWidth="1"/>
    <col min="68" max="68" width="13.85546875" style="268" bestFit="1" customWidth="1"/>
    <col min="69" max="70" width="3.5703125" style="268"/>
    <col min="71" max="79" width="3.5703125" style="401"/>
    <col min="80" max="16384" width="3.5703125" style="229"/>
  </cols>
  <sheetData>
    <row r="2" spans="2:79" ht="15.75" x14ac:dyDescent="0.25">
      <c r="AZ2" s="269" t="s">
        <v>859</v>
      </c>
      <c r="BA2" s="268" t="s">
        <v>860</v>
      </c>
      <c r="BB2" s="267"/>
      <c r="BJ2" s="274"/>
      <c r="BK2" s="274"/>
      <c r="BL2" s="274"/>
      <c r="BM2" s="274"/>
      <c r="BN2" s="274"/>
      <c r="BO2" s="274"/>
    </row>
    <row r="3" spans="2:79" ht="15.75" thickBot="1" x14ac:dyDescent="0.3">
      <c r="BJ3" s="274"/>
      <c r="BK3" s="274"/>
      <c r="BL3" s="274"/>
      <c r="BM3" s="274"/>
      <c r="BN3" s="274"/>
      <c r="BO3" s="274"/>
    </row>
    <row r="4" spans="2:79" ht="40.5" customHeight="1" x14ac:dyDescent="0.25">
      <c r="AZ4" s="426" t="s">
        <v>416</v>
      </c>
      <c r="BA4" s="427" t="s">
        <v>862</v>
      </c>
      <c r="BB4" s="428" t="s">
        <v>193</v>
      </c>
      <c r="BC4" s="428" t="s">
        <v>293</v>
      </c>
      <c r="BD4" s="429" t="s">
        <v>861</v>
      </c>
      <c r="BG4" s="402" t="s">
        <v>1446</v>
      </c>
      <c r="BJ4" s="274"/>
      <c r="BK4" s="274"/>
      <c r="BL4" s="274"/>
      <c r="BM4" s="274"/>
      <c r="BN4" s="274"/>
      <c r="BO4" s="274"/>
    </row>
    <row r="5" spans="2:79" x14ac:dyDescent="0.25">
      <c r="AZ5" s="430"/>
      <c r="BA5" s="454"/>
      <c r="BB5" s="454"/>
      <c r="BC5" s="454"/>
      <c r="BD5" s="431" t="e">
        <f>BA5/$BB$2</f>
        <v>#DIV/0!</v>
      </c>
      <c r="BE5" s="268" t="e">
        <f>IF(BD5&gt;0.5,"Control achieved"," ")</f>
        <v>#DIV/0!</v>
      </c>
      <c r="BJ5" s="274"/>
      <c r="BK5" s="274"/>
      <c r="BL5" s="274"/>
      <c r="BM5" s="274"/>
      <c r="BN5" s="274"/>
      <c r="BO5" s="274"/>
    </row>
    <row r="6" spans="2:79" ht="18.75" customHeight="1" x14ac:dyDescent="0.25">
      <c r="B6" s="227" t="s">
        <v>1750</v>
      </c>
      <c r="C6" s="800" t="s">
        <v>655</v>
      </c>
      <c r="D6" s="228"/>
      <c r="E6" s="228"/>
      <c r="F6" s="228"/>
      <c r="G6" s="228"/>
      <c r="H6" s="537" t="s">
        <v>1042</v>
      </c>
      <c r="I6" s="399"/>
      <c r="J6" s="418"/>
      <c r="K6" s="419"/>
      <c r="L6" s="393"/>
      <c r="M6" s="300"/>
      <c r="N6" s="300"/>
      <c r="O6" s="300"/>
      <c r="P6" s="300"/>
      <c r="Q6" s="300"/>
      <c r="R6" s="300"/>
      <c r="S6" s="300"/>
      <c r="T6" s="300"/>
      <c r="U6" s="300"/>
      <c r="V6" s="300"/>
      <c r="W6" s="300"/>
      <c r="X6" s="300"/>
      <c r="Y6" s="300"/>
      <c r="Z6" s="300"/>
      <c r="AA6" s="300"/>
      <c r="AB6" s="300"/>
      <c r="AC6" s="300"/>
      <c r="AD6" s="300"/>
      <c r="AE6" s="300"/>
      <c r="AF6" s="300"/>
      <c r="AG6" s="300"/>
      <c r="AH6" s="228"/>
      <c r="AT6" s="269" t="s">
        <v>771</v>
      </c>
      <c r="AU6" s="366">
        <f>SUM(AU10:AU1048576)</f>
        <v>500</v>
      </c>
      <c r="AV6" s="366">
        <f>SUM(AV10:AV1048576)</f>
        <v>500</v>
      </c>
      <c r="AW6" s="366">
        <f>AV6-AU6</f>
        <v>0</v>
      </c>
      <c r="AZ6" s="430"/>
      <c r="BA6" s="454"/>
      <c r="BB6" s="454"/>
      <c r="BC6" s="454"/>
      <c r="BD6" s="431" t="e">
        <f>SUM(BA4:BA6)/$BB$2</f>
        <v>#DIV/0!</v>
      </c>
      <c r="BE6" s="402" t="e">
        <f>IF(AND(BD7&gt;0.5,BE5=" "),"Control achieved"," ")</f>
        <v>#DIV/0!</v>
      </c>
      <c r="BJ6" s="274"/>
      <c r="BK6" s="274"/>
      <c r="BL6" s="274"/>
      <c r="BM6" s="274"/>
      <c r="BN6" s="274"/>
      <c r="BO6" s="274"/>
    </row>
    <row r="7" spans="2:79" ht="18.75" customHeight="1" x14ac:dyDescent="0.25">
      <c r="B7" s="230" t="s">
        <v>656</v>
      </c>
      <c r="C7" s="805"/>
      <c r="D7" s="228"/>
      <c r="E7" s="228"/>
      <c r="F7" s="228"/>
      <c r="G7" s="283"/>
      <c r="H7" s="797">
        <v>1</v>
      </c>
      <c r="I7" s="803"/>
      <c r="J7" s="797">
        <v>2</v>
      </c>
      <c r="K7" s="798"/>
      <c r="L7" s="803">
        <v>3</v>
      </c>
      <c r="M7" s="803"/>
      <c r="N7" s="797">
        <v>4</v>
      </c>
      <c r="O7" s="798"/>
      <c r="P7" s="803">
        <v>5</v>
      </c>
      <c r="Q7" s="798"/>
      <c r="R7" s="797">
        <v>6</v>
      </c>
      <c r="S7" s="798"/>
      <c r="T7" s="797">
        <v>7</v>
      </c>
      <c r="U7" s="798"/>
      <c r="V7" s="797">
        <v>8</v>
      </c>
      <c r="W7" s="798"/>
      <c r="X7" s="797">
        <v>9</v>
      </c>
      <c r="Y7" s="798"/>
      <c r="Z7" s="797">
        <v>10</v>
      </c>
      <c r="AA7" s="803"/>
      <c r="AB7" s="797">
        <v>11</v>
      </c>
      <c r="AC7" s="798"/>
      <c r="AD7" s="803">
        <v>12</v>
      </c>
      <c r="AE7" s="798"/>
      <c r="AF7" s="797">
        <v>13</v>
      </c>
      <c r="AG7" s="798"/>
      <c r="AH7" s="311"/>
      <c r="AZ7" s="430"/>
      <c r="BA7" s="454"/>
      <c r="BB7" s="454"/>
      <c r="BC7" s="454"/>
      <c r="BD7" s="431" t="e">
        <f>SUM(BA5:BA7)/$BB$2</f>
        <v>#DIV/0!</v>
      </c>
      <c r="BE7" s="402" t="e">
        <f>IF(AND(BD8&gt;0.5,BE6=" "),"Control achieved"," ")</f>
        <v>#DIV/0!</v>
      </c>
      <c r="BJ7" s="274"/>
      <c r="BK7" s="274"/>
      <c r="BL7" s="274"/>
      <c r="BM7" s="274"/>
      <c r="BN7" s="274"/>
      <c r="BO7" s="274"/>
    </row>
    <row r="8" spans="2:79" ht="18.75" customHeight="1" thickBot="1" x14ac:dyDescent="0.3">
      <c r="B8" s="231" t="s">
        <v>1751</v>
      </c>
      <c r="C8" s="806"/>
      <c r="D8" s="232" t="s">
        <v>657</v>
      </c>
      <c r="E8" s="232" t="s">
        <v>874</v>
      </c>
      <c r="F8" s="232" t="s">
        <v>873</v>
      </c>
      <c r="G8" s="284" t="s">
        <v>659</v>
      </c>
      <c r="H8" s="301" t="s">
        <v>660</v>
      </c>
      <c r="I8" s="284" t="s">
        <v>661</v>
      </c>
      <c r="J8" s="301" t="s">
        <v>660</v>
      </c>
      <c r="K8" s="302" t="s">
        <v>661</v>
      </c>
      <c r="L8" s="294" t="s">
        <v>660</v>
      </c>
      <c r="M8" s="284" t="s">
        <v>661</v>
      </c>
      <c r="N8" s="301" t="s">
        <v>660</v>
      </c>
      <c r="O8" s="302" t="s">
        <v>661</v>
      </c>
      <c r="P8" s="294" t="s">
        <v>660</v>
      </c>
      <c r="Q8" s="302" t="s">
        <v>661</v>
      </c>
      <c r="R8" s="301" t="s">
        <v>660</v>
      </c>
      <c r="S8" s="302" t="s">
        <v>661</v>
      </c>
      <c r="T8" s="301" t="s">
        <v>660</v>
      </c>
      <c r="U8" s="302" t="s">
        <v>661</v>
      </c>
      <c r="V8" s="301" t="s">
        <v>660</v>
      </c>
      <c r="W8" s="302" t="s">
        <v>661</v>
      </c>
      <c r="X8" s="301" t="s">
        <v>660</v>
      </c>
      <c r="Y8" s="302" t="s">
        <v>661</v>
      </c>
      <c r="Z8" s="301" t="s">
        <v>660</v>
      </c>
      <c r="AA8" s="284" t="s">
        <v>661</v>
      </c>
      <c r="AB8" s="301" t="s">
        <v>660</v>
      </c>
      <c r="AC8" s="302" t="s">
        <v>661</v>
      </c>
      <c r="AD8" s="294" t="s">
        <v>660</v>
      </c>
      <c r="AE8" s="302" t="s">
        <v>661</v>
      </c>
      <c r="AF8" s="301" t="s">
        <v>660</v>
      </c>
      <c r="AG8" s="302" t="s">
        <v>661</v>
      </c>
      <c r="AH8" s="294" t="s">
        <v>662</v>
      </c>
      <c r="AT8" s="269" t="s">
        <v>259</v>
      </c>
      <c r="AU8" s="270" t="s">
        <v>141</v>
      </c>
      <c r="AV8" s="270" t="s">
        <v>141</v>
      </c>
      <c r="AZ8" s="432"/>
      <c r="BA8" s="461"/>
      <c r="BB8" s="461"/>
      <c r="BC8" s="433"/>
      <c r="BD8" s="434" t="e">
        <f>SUM(BA5:BA8)/$BB$2</f>
        <v>#DIV/0!</v>
      </c>
      <c r="BE8" s="402" t="e">
        <f>IF(AND(BD9&gt;0.5,BE7=" "),"Control achieved"," ")</f>
        <v>#DIV/0!</v>
      </c>
      <c r="BJ8" s="274"/>
      <c r="BK8" s="274"/>
      <c r="BL8" s="274"/>
      <c r="BM8" s="274"/>
      <c r="BN8" s="274"/>
      <c r="BO8" s="274"/>
    </row>
    <row r="9" spans="2:79" ht="18.75" customHeight="1" thickBot="1" x14ac:dyDescent="0.3">
      <c r="B9" s="233"/>
      <c r="C9" s="234" t="s">
        <v>663</v>
      </c>
      <c r="D9" s="232" t="s">
        <v>141</v>
      </c>
      <c r="E9" s="232" t="s">
        <v>141</v>
      </c>
      <c r="F9" s="232" t="s">
        <v>141</v>
      </c>
      <c r="G9" s="284" t="s">
        <v>141</v>
      </c>
      <c r="H9" s="301" t="s">
        <v>141</v>
      </c>
      <c r="I9" s="284" t="s">
        <v>141</v>
      </c>
      <c r="J9" s="301" t="s">
        <v>141</v>
      </c>
      <c r="K9" s="302" t="s">
        <v>141</v>
      </c>
      <c r="L9" s="294" t="s">
        <v>141</v>
      </c>
      <c r="M9" s="284" t="s">
        <v>141</v>
      </c>
      <c r="N9" s="301" t="s">
        <v>141</v>
      </c>
      <c r="O9" s="302" t="s">
        <v>141</v>
      </c>
      <c r="P9" s="294" t="s">
        <v>141</v>
      </c>
      <c r="Q9" s="232" t="s">
        <v>141</v>
      </c>
      <c r="R9" s="232" t="s">
        <v>141</v>
      </c>
      <c r="S9" s="232" t="s">
        <v>141</v>
      </c>
      <c r="T9" s="232" t="s">
        <v>141</v>
      </c>
      <c r="U9" s="232" t="s">
        <v>141</v>
      </c>
      <c r="V9" s="232" t="s">
        <v>141</v>
      </c>
      <c r="W9" s="232" t="s">
        <v>141</v>
      </c>
      <c r="X9" s="232" t="s">
        <v>141</v>
      </c>
      <c r="Y9" s="232" t="s">
        <v>141</v>
      </c>
      <c r="Z9" s="232" t="s">
        <v>141</v>
      </c>
      <c r="AA9" s="284" t="s">
        <v>141</v>
      </c>
      <c r="AB9" s="301" t="s">
        <v>141</v>
      </c>
      <c r="AC9" s="302" t="s">
        <v>141</v>
      </c>
      <c r="AD9" s="294" t="s">
        <v>141</v>
      </c>
      <c r="AE9" s="232" t="s">
        <v>141</v>
      </c>
      <c r="AF9" s="232" t="s">
        <v>141</v>
      </c>
      <c r="AG9" s="232" t="s">
        <v>141</v>
      </c>
      <c r="AH9" s="294" t="s">
        <v>10</v>
      </c>
      <c r="BC9" s="275">
        <f>SUM(BC5:BC8)</f>
        <v>0</v>
      </c>
      <c r="BS9" s="402" t="s">
        <v>1897</v>
      </c>
    </row>
    <row r="10" spans="2:79" ht="18.75" customHeight="1" thickBot="1" x14ac:dyDescent="0.3">
      <c r="B10" s="230" t="s">
        <v>664</v>
      </c>
      <c r="C10" s="235"/>
      <c r="D10" s="236"/>
      <c r="E10" s="236"/>
      <c r="F10" s="236"/>
      <c r="G10" s="285"/>
      <c r="H10" s="303"/>
      <c r="I10" s="285"/>
      <c r="J10" s="383"/>
      <c r="K10" s="384"/>
      <c r="L10" s="295"/>
      <c r="M10" s="285"/>
      <c r="N10" s="303"/>
      <c r="O10" s="304"/>
      <c r="P10" s="295"/>
      <c r="Q10" s="304"/>
      <c r="R10" s="303"/>
      <c r="S10" s="304"/>
      <c r="T10" s="303"/>
      <c r="U10" s="304"/>
      <c r="V10" s="383"/>
      <c r="W10" s="384"/>
      <c r="X10" s="383"/>
      <c r="Y10" s="384"/>
      <c r="Z10" s="321"/>
      <c r="AA10" s="321"/>
      <c r="AB10" s="383"/>
      <c r="AC10" s="384"/>
      <c r="AD10" s="321"/>
      <c r="AE10" s="321"/>
      <c r="AF10" s="303"/>
      <c r="AG10" s="304"/>
      <c r="AH10" s="295"/>
      <c r="AS10" s="271">
        <v>1</v>
      </c>
      <c r="AT10" s="268" t="s">
        <v>698</v>
      </c>
      <c r="AU10" s="272">
        <f>BB16</f>
        <v>0</v>
      </c>
      <c r="BJ10" s="467" t="s">
        <v>747</v>
      </c>
      <c r="BK10" s="427"/>
      <c r="BL10" s="427"/>
      <c r="BM10" s="427"/>
      <c r="BN10" s="427"/>
      <c r="BO10" s="468"/>
    </row>
    <row r="11" spans="2:79" ht="18.75" customHeight="1" x14ac:dyDescent="0.25">
      <c r="B11" s="230" t="s">
        <v>73</v>
      </c>
      <c r="C11" s="235"/>
      <c r="D11" s="236"/>
      <c r="E11" s="236"/>
      <c r="F11" s="236"/>
      <c r="G11" s="285"/>
      <c r="H11" s="303"/>
      <c r="I11" s="285"/>
      <c r="J11" s="383"/>
      <c r="K11" s="384"/>
      <c r="L11" s="295"/>
      <c r="M11" s="285"/>
      <c r="N11" s="303"/>
      <c r="O11" s="304"/>
      <c r="P11" s="295"/>
      <c r="Q11" s="304"/>
      <c r="R11" s="303"/>
      <c r="S11" s="304"/>
      <c r="T11" s="303"/>
      <c r="U11" s="304"/>
      <c r="V11" s="383"/>
      <c r="W11" s="384"/>
      <c r="X11" s="383"/>
      <c r="Y11" s="384"/>
      <c r="Z11" s="321"/>
      <c r="AA11" s="321"/>
      <c r="AB11" s="383"/>
      <c r="AC11" s="384"/>
      <c r="AD11" s="321"/>
      <c r="AE11" s="321"/>
      <c r="AF11" s="303"/>
      <c r="AG11" s="304"/>
      <c r="AH11" s="295"/>
      <c r="AT11" s="268" t="s">
        <v>699</v>
      </c>
      <c r="AU11" s="272">
        <f>BB18</f>
        <v>0</v>
      </c>
      <c r="AZ11" s="435" t="s">
        <v>705</v>
      </c>
      <c r="BA11" s="436"/>
      <c r="BB11" s="437" t="s">
        <v>531</v>
      </c>
      <c r="BC11" s="438"/>
      <c r="BD11" s="429"/>
      <c r="BJ11" s="446"/>
      <c r="BK11" s="444"/>
      <c r="BL11" s="444"/>
      <c r="BM11" s="444"/>
      <c r="BN11" s="444"/>
      <c r="BO11" s="441"/>
    </row>
    <row r="12" spans="2:79" ht="18.75" customHeight="1" x14ac:dyDescent="0.25">
      <c r="B12" s="233" t="s">
        <v>665</v>
      </c>
      <c r="C12" s="235"/>
      <c r="D12" s="237"/>
      <c r="E12" s="237"/>
      <c r="F12" s="237"/>
      <c r="G12" s="286">
        <f>SUM(D12:F12)</f>
        <v>0</v>
      </c>
      <c r="H12" s="305"/>
      <c r="I12" s="547"/>
      <c r="J12" s="385"/>
      <c r="K12" s="380"/>
      <c r="L12" s="296"/>
      <c r="M12" s="326"/>
      <c r="N12" s="305"/>
      <c r="O12" s="306"/>
      <c r="P12" s="296"/>
      <c r="Q12" s="306"/>
      <c r="R12" s="305"/>
      <c r="S12" s="306"/>
      <c r="T12" s="305"/>
      <c r="U12" s="306"/>
      <c r="V12" s="385"/>
      <c r="W12" s="380"/>
      <c r="X12" s="385"/>
      <c r="Y12" s="380"/>
      <c r="Z12" s="322">
        <f>SUMIF($AT$86:$AT$97,"DR PPE - Cost",AU$86:AU$97)+SUMIF($AT$86:$AT$97,"DR PPE - Accumulated depreciation",AU$86:AU$97)</f>
        <v>0</v>
      </c>
      <c r="AA12" s="322">
        <f>SUMIF($AT$86:$AT$97,"CR PPE - Cost",AV$86:AV$97)+SUMIF($AT$86:$AT$97,"CR PPE - Accumulated depreciation",AV$86:AV$97)</f>
        <v>0</v>
      </c>
      <c r="AB12" s="385"/>
      <c r="AC12" s="380"/>
      <c r="AD12" s="305">
        <f>SUMIF($AT$109:$AT$116,"DR PPE - Accumulated depreciation",$AU$109:$AU$116)</f>
        <v>0</v>
      </c>
      <c r="AE12" s="306">
        <f>-SUMIF($AT$109:$AT$116,"CR PPE - Accumulated depreciation",$AV$109:$AV$116)</f>
        <v>0</v>
      </c>
      <c r="AF12" s="305"/>
      <c r="AG12" s="306"/>
      <c r="AH12" s="312">
        <f>SUM(G12:AG12)</f>
        <v>0</v>
      </c>
      <c r="AT12" s="268" t="s">
        <v>750</v>
      </c>
      <c r="AU12" s="275">
        <f>BB19</f>
        <v>0</v>
      </c>
      <c r="AZ12" s="439"/>
      <c r="BA12" s="440"/>
      <c r="BB12" s="440"/>
      <c r="BC12" s="66"/>
      <c r="BD12" s="441"/>
      <c r="BJ12" s="446"/>
      <c r="BK12" s="444"/>
      <c r="BL12" s="444"/>
      <c r="BM12" s="444"/>
      <c r="BN12" s="444"/>
      <c r="BO12" s="441"/>
      <c r="BS12" s="402" t="s">
        <v>827</v>
      </c>
    </row>
    <row r="13" spans="2:79" ht="18.75" customHeight="1" x14ac:dyDescent="0.25">
      <c r="B13" s="233"/>
      <c r="C13" s="235"/>
      <c r="D13" s="236"/>
      <c r="E13" s="236"/>
      <c r="F13" s="236"/>
      <c r="G13" s="285"/>
      <c r="H13" s="305"/>
      <c r="I13" s="326"/>
      <c r="J13" s="385"/>
      <c r="K13" s="380"/>
      <c r="L13" s="296"/>
      <c r="M13" s="326"/>
      <c r="N13" s="305"/>
      <c r="O13" s="306"/>
      <c r="P13" s="296"/>
      <c r="Q13" s="306"/>
      <c r="R13" s="305"/>
      <c r="S13" s="306"/>
      <c r="T13" s="305"/>
      <c r="U13" s="306"/>
      <c r="V13" s="385"/>
      <c r="W13" s="380"/>
      <c r="X13" s="385"/>
      <c r="Y13" s="380"/>
      <c r="Z13" s="322"/>
      <c r="AA13" s="322"/>
      <c r="AB13" s="385"/>
      <c r="AC13" s="380"/>
      <c r="AD13" s="322"/>
      <c r="AE13" s="322"/>
      <c r="AF13" s="305"/>
      <c r="AG13" s="306"/>
      <c r="AH13" s="295"/>
      <c r="AT13" s="268" t="str" cm="1">
        <f t="array" ref="AT13">_xlfn.IFS(BC21&gt;0,"DR Goodwill",BC21&lt;0,"CR Gain on Bargain Purchase",BC21=0," ")</f>
        <v xml:space="preserve"> </v>
      </c>
      <c r="AU13" s="276">
        <f>IF(BC21&gt;0,BC21,0)</f>
        <v>0</v>
      </c>
      <c r="AV13" s="268">
        <f>IF(BC21&lt;0,-BC21,0)</f>
        <v>0</v>
      </c>
      <c r="AZ13" s="439" t="s">
        <v>530</v>
      </c>
      <c r="BA13" s="440"/>
      <c r="BB13" s="440"/>
      <c r="BC13" s="442"/>
      <c r="BD13" s="441"/>
      <c r="BJ13" s="469" t="s">
        <v>762</v>
      </c>
      <c r="BK13" s="444"/>
      <c r="BL13" s="444"/>
      <c r="BM13" s="444"/>
      <c r="BN13" s="444"/>
      <c r="BO13" s="470"/>
    </row>
    <row r="14" spans="2:79" ht="18.75" customHeight="1" x14ac:dyDescent="0.25">
      <c r="B14" s="233" t="s">
        <v>236</v>
      </c>
      <c r="C14" s="235"/>
      <c r="D14" s="237"/>
      <c r="E14" s="237"/>
      <c r="F14" s="237"/>
      <c r="G14" s="286">
        <f>SUM(D14:F14)</f>
        <v>0</v>
      </c>
      <c r="H14" s="296">
        <f>SUMIF(AT10:AT17,"DR Goodwill",AU10:AU17)</f>
        <v>0</v>
      </c>
      <c r="I14" s="326">
        <f>-SUMIF($AT$10:$AT$17,"CR Goodwill",$AV$10:$AV$17)</f>
        <v>0</v>
      </c>
      <c r="J14" s="385"/>
      <c r="K14" s="380"/>
      <c r="L14" s="296">
        <f>SUMIF(AT33:AT35,"DR Goodwill",AU33:AU35)</f>
        <v>0</v>
      </c>
      <c r="M14" s="326">
        <f>-SUMIF(AT33:AT35,"CR Goodwill",AV33:AV35)</f>
        <v>0</v>
      </c>
      <c r="N14" s="305">
        <f>SUMIF($AT$38:$AT$42,"DR Goodwill",$AU$38:$AU$42)</f>
        <v>0</v>
      </c>
      <c r="O14" s="306">
        <f>-SUMIF($AT$38:$AT$42,"CR Goodwill",$AV$38:$AV$42)</f>
        <v>0</v>
      </c>
      <c r="P14" s="296"/>
      <c r="Q14" s="306"/>
      <c r="R14" s="305"/>
      <c r="S14" s="306"/>
      <c r="T14" s="305"/>
      <c r="U14" s="306"/>
      <c r="V14" s="385"/>
      <c r="W14" s="380"/>
      <c r="X14" s="385"/>
      <c r="Y14" s="380"/>
      <c r="Z14" s="322"/>
      <c r="AA14" s="322"/>
      <c r="AB14" s="305">
        <f>SUMIF($AT$100:$AT$104,"DR Goodwill",$AU$100:$AU$104)</f>
        <v>0</v>
      </c>
      <c r="AC14" s="306">
        <f>-SUMIF($AT$100:$AT$104,"CR Goodwill",$AV$100:$AV$104)</f>
        <v>0</v>
      </c>
      <c r="AD14" s="322"/>
      <c r="AE14" s="322"/>
      <c r="AF14" s="305"/>
      <c r="AG14" s="306"/>
      <c r="AH14" s="312">
        <f>SUM(G14:AG14)</f>
        <v>0</v>
      </c>
      <c r="AT14" s="268" t="s">
        <v>759</v>
      </c>
      <c r="AU14" s="276">
        <f>BB17</f>
        <v>0</v>
      </c>
      <c r="AZ14" s="439" t="s">
        <v>528</v>
      </c>
      <c r="BA14" s="440"/>
      <c r="BB14" s="443"/>
      <c r="BC14" s="443">
        <f>BC20*BC11</f>
        <v>0</v>
      </c>
      <c r="BD14" s="441"/>
      <c r="BJ14" s="469" t="s">
        <v>764</v>
      </c>
      <c r="BK14" s="444"/>
      <c r="BL14" s="444"/>
      <c r="BM14" s="444"/>
      <c r="BN14" s="454"/>
      <c r="BO14" s="441"/>
    </row>
    <row r="15" spans="2:79" ht="18.75" customHeight="1" x14ac:dyDescent="0.25">
      <c r="B15" s="233"/>
      <c r="C15" s="235"/>
      <c r="D15" s="236"/>
      <c r="E15" s="236"/>
      <c r="F15" s="236"/>
      <c r="G15" s="285"/>
      <c r="H15" s="305"/>
      <c r="I15" s="326"/>
      <c r="J15" s="385"/>
      <c r="K15" s="380"/>
      <c r="L15" s="296"/>
      <c r="M15" s="326"/>
      <c r="N15" s="305"/>
      <c r="O15" s="306"/>
      <c r="P15" s="296"/>
      <c r="Q15" s="306"/>
      <c r="R15" s="305"/>
      <c r="S15" s="306"/>
      <c r="T15" s="305"/>
      <c r="U15" s="306"/>
      <c r="V15" s="385"/>
      <c r="W15" s="380"/>
      <c r="X15" s="385"/>
      <c r="Y15" s="380"/>
      <c r="Z15" s="322"/>
      <c r="AA15" s="322"/>
      <c r="AB15" s="385"/>
      <c r="AC15" s="380"/>
      <c r="AD15" s="322"/>
      <c r="AE15" s="322"/>
      <c r="AF15" s="305"/>
      <c r="AG15" s="306"/>
      <c r="AH15" s="295"/>
      <c r="AT15" s="268" t="s">
        <v>758</v>
      </c>
      <c r="AV15" s="272">
        <f>BC13</f>
        <v>0</v>
      </c>
      <c r="AZ15" s="439"/>
      <c r="BA15" s="440"/>
      <c r="BB15" s="443"/>
      <c r="BC15" s="265">
        <f>SUM(BC13:BC14)</f>
        <v>0</v>
      </c>
      <c r="BD15" s="441"/>
      <c r="BJ15" s="469" t="s">
        <v>763</v>
      </c>
      <c r="BK15" s="444"/>
      <c r="BL15" s="444"/>
      <c r="BM15" s="444"/>
      <c r="BN15" s="444"/>
      <c r="BO15" s="471">
        <f>BN14*BO10</f>
        <v>0</v>
      </c>
    </row>
    <row r="16" spans="2:79" ht="18.75" customHeight="1" x14ac:dyDescent="0.25">
      <c r="B16" s="233" t="s">
        <v>666</v>
      </c>
      <c r="C16" s="235" t="s">
        <v>667</v>
      </c>
      <c r="D16" s="237"/>
      <c r="E16" s="237"/>
      <c r="F16" s="237"/>
      <c r="G16" s="286">
        <f>SUM(D16:F16)</f>
        <v>0</v>
      </c>
      <c r="H16" s="548"/>
      <c r="I16" s="326"/>
      <c r="J16" s="385"/>
      <c r="K16" s="380"/>
      <c r="L16" s="296"/>
      <c r="M16" s="326"/>
      <c r="N16" s="305"/>
      <c r="O16" s="306"/>
      <c r="P16" s="296"/>
      <c r="Q16" s="306"/>
      <c r="R16" s="305"/>
      <c r="S16" s="306"/>
      <c r="T16" s="305"/>
      <c r="U16" s="306"/>
      <c r="V16" s="385"/>
      <c r="W16" s="380"/>
      <c r="X16" s="385"/>
      <c r="Y16" s="380"/>
      <c r="Z16" s="322"/>
      <c r="AA16" s="322"/>
      <c r="AB16" s="385"/>
      <c r="AC16" s="380"/>
      <c r="AD16" s="322"/>
      <c r="AE16" s="322"/>
      <c r="AF16" s="305"/>
      <c r="AG16" s="306"/>
      <c r="AH16" s="312">
        <f>SUM(G16:AG16)</f>
        <v>0</v>
      </c>
      <c r="AT16" s="268" t="s">
        <v>835</v>
      </c>
      <c r="AV16" s="272">
        <f>BC14</f>
        <v>0</v>
      </c>
      <c r="AZ16" s="439" t="s">
        <v>696</v>
      </c>
      <c r="BA16" s="440"/>
      <c r="BB16" s="70"/>
      <c r="BC16" s="443"/>
      <c r="BD16" s="441"/>
      <c r="BJ16" s="469" t="s">
        <v>765</v>
      </c>
      <c r="BK16" s="444"/>
      <c r="BL16" s="444"/>
      <c r="BM16" s="444"/>
      <c r="BN16" s="444"/>
      <c r="BO16" s="472">
        <f>BO13-BO15</f>
        <v>0</v>
      </c>
      <c r="BS16" s="799" t="s">
        <v>760</v>
      </c>
      <c r="BT16" s="799"/>
      <c r="BU16" s="799"/>
      <c r="BV16" s="799"/>
      <c r="BW16" s="799"/>
      <c r="BX16" s="799"/>
      <c r="BY16" s="799"/>
      <c r="BZ16" s="799"/>
      <c r="CA16" s="799"/>
    </row>
    <row r="17" spans="2:79" ht="18.75" customHeight="1" thickBot="1" x14ac:dyDescent="0.3">
      <c r="B17" s="233" t="s">
        <v>697</v>
      </c>
      <c r="C17" s="235"/>
      <c r="D17" s="237"/>
      <c r="E17" s="237"/>
      <c r="F17" s="237"/>
      <c r="G17" s="286">
        <f>SUM(D17:F17)</f>
        <v>0</v>
      </c>
      <c r="H17" s="305">
        <f>SUMIF($AT$10:$AT$17,"DR Investment in subsidiary",$AV$10:$AV$17)</f>
        <v>0</v>
      </c>
      <c r="I17" s="326">
        <f>-SUMIF($AT$10:$AT$17,"CR Investment in subsidiary",$AV$10:$AV$17)</f>
        <v>0</v>
      </c>
      <c r="J17" s="385"/>
      <c r="K17" s="380"/>
      <c r="L17" s="296">
        <f>SUMIF($AT33:$AT35,"DR Investment in subsidiary",$AU33:$AU35)</f>
        <v>0</v>
      </c>
      <c r="M17" s="326">
        <f>-SUMIF($AT33:$AT35,"CR Investment in subsidiary",AU33:AX35)</f>
        <v>0</v>
      </c>
      <c r="N17" s="305"/>
      <c r="O17" s="306"/>
      <c r="P17" s="296"/>
      <c r="Q17" s="306"/>
      <c r="R17" s="305"/>
      <c r="S17" s="306"/>
      <c r="T17" s="305"/>
      <c r="U17" s="306"/>
      <c r="V17" s="385"/>
      <c r="W17" s="380"/>
      <c r="X17" s="385"/>
      <c r="Y17" s="380"/>
      <c r="Z17" s="322"/>
      <c r="AA17" s="322"/>
      <c r="AB17" s="385"/>
      <c r="AC17" s="380"/>
      <c r="AD17" s="322"/>
      <c r="AE17" s="322"/>
      <c r="AF17" s="305"/>
      <c r="AG17" s="306"/>
      <c r="AH17" s="312">
        <f>SUM(G17:AG17)</f>
        <v>0</v>
      </c>
      <c r="AO17" s="402" t="s">
        <v>1004</v>
      </c>
      <c r="AT17" s="248" t="str">
        <f>IF(BB20&gt;0,"DR Fair value adjustments","CR Fair value adjustments")</f>
        <v>CR Fair value adjustments</v>
      </c>
      <c r="AU17" s="267">
        <f>IF(BB20&gt;0,BB20,0)</f>
        <v>0</v>
      </c>
      <c r="AV17" s="267">
        <f>IF(BB20&lt;0,-BB20,0)</f>
        <v>0</v>
      </c>
      <c r="AZ17" s="439" t="s">
        <v>678</v>
      </c>
      <c r="BA17" s="444"/>
      <c r="BB17" s="70"/>
      <c r="BC17" s="85"/>
      <c r="BD17" s="441"/>
      <c r="BJ17" s="457"/>
      <c r="BK17" s="458"/>
      <c r="BL17" s="458"/>
      <c r="BM17" s="458"/>
      <c r="BN17" s="458"/>
      <c r="BO17" s="450"/>
      <c r="BS17" s="799"/>
      <c r="BT17" s="799"/>
      <c r="BU17" s="799"/>
      <c r="BV17" s="799"/>
      <c r="BW17" s="799"/>
      <c r="BX17" s="799"/>
      <c r="BY17" s="799"/>
      <c r="BZ17" s="799"/>
      <c r="CA17" s="799"/>
    </row>
    <row r="18" spans="2:79" ht="18.75" customHeight="1" x14ac:dyDescent="0.25">
      <c r="B18" s="233" t="s">
        <v>668</v>
      </c>
      <c r="C18" s="235" t="s">
        <v>669</v>
      </c>
      <c r="D18" s="237"/>
      <c r="E18" s="237"/>
      <c r="F18" s="237"/>
      <c r="G18" s="286">
        <f>SUM(D18:F18)</f>
        <v>0</v>
      </c>
      <c r="H18" s="305"/>
      <c r="I18" s="326"/>
      <c r="J18" s="385"/>
      <c r="K18" s="380"/>
      <c r="L18" s="296"/>
      <c r="M18" s="326"/>
      <c r="N18" s="305"/>
      <c r="O18" s="306"/>
      <c r="P18" s="296"/>
      <c r="Q18" s="306"/>
      <c r="R18" s="305"/>
      <c r="S18" s="306"/>
      <c r="T18" s="305"/>
      <c r="U18" s="306"/>
      <c r="V18" s="385"/>
      <c r="W18" s="380"/>
      <c r="X18" s="385"/>
      <c r="Y18" s="380"/>
      <c r="Z18" s="322"/>
      <c r="AA18" s="322"/>
      <c r="AB18" s="385"/>
      <c r="AC18" s="380"/>
      <c r="AD18" s="322"/>
      <c r="AE18" s="322"/>
      <c r="AF18" s="305"/>
      <c r="AG18" s="306"/>
      <c r="AH18" s="312">
        <f>SUM(G18:AG18)</f>
        <v>0</v>
      </c>
      <c r="AZ18" s="439" t="s">
        <v>19</v>
      </c>
      <c r="BA18" s="440"/>
      <c r="BB18" s="70"/>
      <c r="BC18" s="444"/>
      <c r="BD18" s="441"/>
      <c r="BS18" s="799"/>
      <c r="BT18" s="799"/>
      <c r="BU18" s="799"/>
      <c r="BV18" s="799"/>
      <c r="BW18" s="799"/>
      <c r="BX18" s="799"/>
      <c r="BY18" s="799"/>
      <c r="BZ18" s="799"/>
      <c r="CA18" s="799"/>
    </row>
    <row r="19" spans="2:79" ht="18.75" customHeight="1" x14ac:dyDescent="0.25">
      <c r="B19" s="233" t="s">
        <v>670</v>
      </c>
      <c r="C19" s="235" t="s">
        <v>667</v>
      </c>
      <c r="D19" s="238"/>
      <c r="E19" s="238"/>
      <c r="F19" s="238"/>
      <c r="G19" s="286">
        <f>SUM(D19:F19)</f>
        <v>0</v>
      </c>
      <c r="H19" s="305"/>
      <c r="I19" s="326"/>
      <c r="J19" s="385"/>
      <c r="K19" s="380"/>
      <c r="L19" s="296"/>
      <c r="M19" s="326"/>
      <c r="N19" s="305"/>
      <c r="O19" s="306"/>
      <c r="P19" s="296"/>
      <c r="Q19" s="306"/>
      <c r="R19" s="305"/>
      <c r="S19" s="306"/>
      <c r="T19" s="305"/>
      <c r="U19" s="306"/>
      <c r="V19" s="385"/>
      <c r="W19" s="380"/>
      <c r="X19" s="385"/>
      <c r="Y19" s="380"/>
      <c r="Z19" s="322"/>
      <c r="AA19" s="322"/>
      <c r="AB19" s="385"/>
      <c r="AC19" s="380"/>
      <c r="AD19" s="322"/>
      <c r="AE19" s="322"/>
      <c r="AF19" s="305"/>
      <c r="AG19" s="306"/>
      <c r="AH19" s="312">
        <f>SUM(G19:AG19)</f>
        <v>0</v>
      </c>
      <c r="AZ19" s="439" t="s">
        <v>748</v>
      </c>
      <c r="BA19" s="444"/>
      <c r="BB19" s="70"/>
      <c r="BC19" s="445"/>
      <c r="BD19" s="441"/>
      <c r="BS19" s="799"/>
      <c r="BT19" s="799"/>
      <c r="BU19" s="799"/>
      <c r="BV19" s="799"/>
      <c r="BW19" s="799"/>
      <c r="BX19" s="799"/>
      <c r="BY19" s="799"/>
      <c r="BZ19" s="799"/>
      <c r="CA19" s="799"/>
    </row>
    <row r="20" spans="2:79" ht="18.75" customHeight="1" x14ac:dyDescent="0.25">
      <c r="B20" s="233"/>
      <c r="C20" s="235"/>
      <c r="D20" s="239">
        <f>SUM(D12:D19)</f>
        <v>0</v>
      </c>
      <c r="E20" s="239">
        <f>SUM(E12:E19)</f>
        <v>0</v>
      </c>
      <c r="F20" s="239">
        <f>SUM(F12:F19)</f>
        <v>0</v>
      </c>
      <c r="G20" s="288">
        <f>SUM(G12:G19)</f>
        <v>0</v>
      </c>
      <c r="H20" s="303"/>
      <c r="I20" s="285"/>
      <c r="J20" s="386"/>
      <c r="K20" s="387"/>
      <c r="L20" s="297"/>
      <c r="M20" s="404"/>
      <c r="N20" s="318"/>
      <c r="O20" s="319"/>
      <c r="P20" s="297"/>
      <c r="Q20" s="319"/>
      <c r="R20" s="318"/>
      <c r="S20" s="319"/>
      <c r="T20" s="318"/>
      <c r="U20" s="319"/>
      <c r="V20" s="386"/>
      <c r="W20" s="387"/>
      <c r="X20" s="386"/>
      <c r="Y20" s="387"/>
      <c r="Z20" s="323"/>
      <c r="AA20" s="323"/>
      <c r="AB20" s="386"/>
      <c r="AC20" s="387"/>
      <c r="AD20" s="323"/>
      <c r="AE20" s="323"/>
      <c r="AF20" s="318"/>
      <c r="AG20" s="319"/>
      <c r="AH20" s="313">
        <f>SUM(AH12:AH19)</f>
        <v>0</v>
      </c>
      <c r="AZ20" s="439" t="s">
        <v>1017</v>
      </c>
      <c r="BA20" s="444"/>
      <c r="BB20" s="70"/>
      <c r="BC20" s="85">
        <f>SUM(BB16:BB20)</f>
        <v>0</v>
      </c>
      <c r="BD20" s="441"/>
    </row>
    <row r="21" spans="2:79" ht="18.75" customHeight="1" thickBot="1" x14ac:dyDescent="0.3">
      <c r="B21" s="230" t="s">
        <v>76</v>
      </c>
      <c r="C21" s="235"/>
      <c r="D21" s="240"/>
      <c r="E21" s="240"/>
      <c r="F21" s="240"/>
      <c r="G21" s="289"/>
      <c r="H21" s="307"/>
      <c r="I21" s="289"/>
      <c r="J21" s="388"/>
      <c r="K21" s="389"/>
      <c r="L21" s="298"/>
      <c r="M21" s="289"/>
      <c r="N21" s="307"/>
      <c r="O21" s="308"/>
      <c r="P21" s="298"/>
      <c r="Q21" s="308"/>
      <c r="R21" s="307"/>
      <c r="S21" s="308"/>
      <c r="T21" s="307"/>
      <c r="U21" s="308"/>
      <c r="V21" s="388"/>
      <c r="W21" s="389"/>
      <c r="X21" s="388"/>
      <c r="Y21" s="389"/>
      <c r="Z21" s="324"/>
      <c r="AA21" s="324"/>
      <c r="AB21" s="388"/>
      <c r="AC21" s="389"/>
      <c r="AD21" s="324"/>
      <c r="AE21" s="324"/>
      <c r="AF21" s="307"/>
      <c r="AG21" s="308"/>
      <c r="AH21" s="298"/>
      <c r="AZ21" s="447" t="s">
        <v>236</v>
      </c>
      <c r="BA21" s="448"/>
      <c r="BB21" s="131"/>
      <c r="BC21" s="449">
        <f>BC15-BC20</f>
        <v>0</v>
      </c>
      <c r="BD21" s="450"/>
      <c r="BS21" s="402" t="s">
        <v>1898</v>
      </c>
    </row>
    <row r="22" spans="2:79" ht="18.75" customHeight="1" thickBot="1" x14ac:dyDescent="0.3">
      <c r="B22" s="233" t="s">
        <v>56</v>
      </c>
      <c r="C22" s="235"/>
      <c r="D22" s="237"/>
      <c r="E22" s="237"/>
      <c r="F22" s="237"/>
      <c r="G22" s="286">
        <f>SUM(D22:F22)</f>
        <v>0</v>
      </c>
      <c r="H22" s="305"/>
      <c r="I22" s="326"/>
      <c r="J22" s="385"/>
      <c r="K22" s="380"/>
      <c r="L22" s="296"/>
      <c r="M22" s="326"/>
      <c r="N22" s="305"/>
      <c r="O22" s="306"/>
      <c r="P22" s="296"/>
      <c r="Q22" s="306"/>
      <c r="R22" s="305">
        <f>SUMIF($AT$54:$AT$58,"DR Inventory",$AU$54:$AU$58)</f>
        <v>0</v>
      </c>
      <c r="S22" s="306">
        <f>-SUMIF($AT$54:$AT$58,"CR inventory",$AV$54:$AV$58)</f>
        <v>0</v>
      </c>
      <c r="T22" s="305">
        <f>SUMIF($AT$61:$AT$65,"DR Inventory",$AU$61:$AU$65)</f>
        <v>0</v>
      </c>
      <c r="U22" s="306">
        <f>-SUMIF($AT$61:$AT$65,"CR inventory",$AV$61:$AV$65)</f>
        <v>0</v>
      </c>
      <c r="V22" s="305">
        <f>SUMIF($AT$69:$AT$76,"DR Inventory",$AU$69:$AU$76)</f>
        <v>0</v>
      </c>
      <c r="W22" s="306">
        <f>-SUMIF($AT$69:$AT$76,"CR inventory",$AV$69:$AV$76)</f>
        <v>0</v>
      </c>
      <c r="X22" s="385"/>
      <c r="Y22" s="380"/>
      <c r="Z22" s="322"/>
      <c r="AA22" s="322"/>
      <c r="AB22" s="385"/>
      <c r="AC22" s="380"/>
      <c r="AD22" s="305">
        <f>SUMIF($AT$109:$AT$116,"DR Inventory",$AU$109:$AU$116)</f>
        <v>0</v>
      </c>
      <c r="AE22" s="306">
        <f>-SUMIF($AT$109:$AT$116,"CR inventory",$AV$109:$AV$116)</f>
        <v>0</v>
      </c>
      <c r="AF22" s="305"/>
      <c r="AG22" s="306"/>
      <c r="AH22" s="312">
        <f>SUM(G22:S22)</f>
        <v>0</v>
      </c>
      <c r="AS22" s="271">
        <v>2</v>
      </c>
      <c r="AT22" s="268" t="s">
        <v>821</v>
      </c>
      <c r="AU22" s="275">
        <f>BC30</f>
        <v>0</v>
      </c>
    </row>
    <row r="23" spans="2:79" ht="18.75" customHeight="1" x14ac:dyDescent="0.25">
      <c r="B23" s="233" t="s">
        <v>671</v>
      </c>
      <c r="C23" s="235"/>
      <c r="D23" s="237"/>
      <c r="E23" s="237"/>
      <c r="F23" s="237"/>
      <c r="G23" s="286">
        <f>SUM(D23:F23)</f>
        <v>0</v>
      </c>
      <c r="H23" s="305"/>
      <c r="I23" s="326"/>
      <c r="J23" s="385"/>
      <c r="K23" s="380"/>
      <c r="L23" s="296"/>
      <c r="M23" s="326"/>
      <c r="N23" s="305"/>
      <c r="O23" s="306"/>
      <c r="P23" s="296"/>
      <c r="Q23" s="306"/>
      <c r="R23" s="305">
        <f>SUMIF($AT$54:$AT$58,"DR Trade receivables",$AU$54:$AU$58)</f>
        <v>0</v>
      </c>
      <c r="S23" s="306">
        <f>-SUMIF($AT$54:$AT$82,"CR Trade receivables",$AV$54:$AV$82)</f>
        <v>-500</v>
      </c>
      <c r="T23" s="305"/>
      <c r="U23" s="306"/>
      <c r="V23" s="385"/>
      <c r="W23" s="380"/>
      <c r="X23" s="385"/>
      <c r="Y23" s="380"/>
      <c r="Z23" s="322"/>
      <c r="AA23" s="322"/>
      <c r="AB23" s="385"/>
      <c r="AC23" s="380"/>
      <c r="AD23" s="322"/>
      <c r="AE23" s="322"/>
      <c r="AF23" s="305"/>
      <c r="AG23" s="306"/>
      <c r="AH23" s="312">
        <f>SUM(G23:AG23)</f>
        <v>-500</v>
      </c>
      <c r="AT23" s="268" t="str">
        <f>IF(BC31&lt;0,"DR Retained earnings","CR Retained Earnings")</f>
        <v>CR Retained Earnings</v>
      </c>
      <c r="AU23" s="276">
        <f>IF(BC31&lt;0,-BC31,0)</f>
        <v>0</v>
      </c>
      <c r="AV23" s="268">
        <f>IF(BC31&gt;0,BC31,0)</f>
        <v>0</v>
      </c>
      <c r="AZ23" s="451" t="s">
        <v>828</v>
      </c>
      <c r="BA23" s="427"/>
      <c r="BB23" s="427"/>
      <c r="BC23" s="427"/>
      <c r="BD23" s="429"/>
    </row>
    <row r="24" spans="2:79" ht="18.75" customHeight="1" x14ac:dyDescent="0.25">
      <c r="B24" s="233" t="s">
        <v>672</v>
      </c>
      <c r="C24" s="235" t="s">
        <v>667</v>
      </c>
      <c r="D24" s="237"/>
      <c r="E24" s="237"/>
      <c r="F24" s="237"/>
      <c r="G24" s="286">
        <f>SUM(D24:F24)</f>
        <v>0</v>
      </c>
      <c r="H24" s="305"/>
      <c r="I24" s="326"/>
      <c r="J24" s="385"/>
      <c r="K24" s="380"/>
      <c r="L24" s="296"/>
      <c r="M24" s="326"/>
      <c r="N24" s="305"/>
      <c r="O24" s="306"/>
      <c r="P24" s="296"/>
      <c r="Q24" s="306"/>
      <c r="R24" s="305"/>
      <c r="S24" s="306"/>
      <c r="T24" s="305"/>
      <c r="U24" s="306"/>
      <c r="V24" s="385"/>
      <c r="W24" s="380"/>
      <c r="X24" s="385"/>
      <c r="Y24" s="380"/>
      <c r="Z24" s="322"/>
      <c r="AA24" s="322"/>
      <c r="AB24" s="385"/>
      <c r="AC24" s="380"/>
      <c r="AD24" s="322"/>
      <c r="AE24" s="322"/>
      <c r="AF24" s="305"/>
      <c r="AG24" s="306"/>
      <c r="AH24" s="312">
        <f>SUM(G24:AG24)</f>
        <v>0</v>
      </c>
      <c r="AT24" s="268" t="s">
        <v>758</v>
      </c>
      <c r="AV24" s="275">
        <f>BC24</f>
        <v>0</v>
      </c>
      <c r="AZ24" s="446" t="s">
        <v>829</v>
      </c>
      <c r="BA24" s="444"/>
      <c r="BB24" s="444"/>
      <c r="BC24" s="70"/>
      <c r="BD24" s="441"/>
      <c r="BG24" s="688"/>
    </row>
    <row r="25" spans="2:79" ht="18.75" customHeight="1" x14ac:dyDescent="0.25">
      <c r="B25" s="233" t="s">
        <v>92</v>
      </c>
      <c r="C25" s="235"/>
      <c r="D25" s="237"/>
      <c r="E25" s="237"/>
      <c r="F25" s="237"/>
      <c r="G25" s="286">
        <f>SUM(D25:F25)</f>
        <v>0</v>
      </c>
      <c r="H25" s="305"/>
      <c r="I25" s="326"/>
      <c r="J25" s="385"/>
      <c r="K25" s="380"/>
      <c r="L25" s="296"/>
      <c r="M25" s="326"/>
      <c r="N25" s="305"/>
      <c r="O25" s="306"/>
      <c r="P25" s="296"/>
      <c r="Q25" s="306"/>
      <c r="R25" s="305">
        <f>SUMIF($AT$54:$AT$58,"DR Cash and cash equivalents",$AU$54:$AU$58)</f>
        <v>0</v>
      </c>
      <c r="S25" s="306">
        <f>-SUMIF($AT$54:$AT$82,"CR Cash and cash equivalents",$AV$54:$AV$82)</f>
        <v>0</v>
      </c>
      <c r="T25" s="305"/>
      <c r="U25" s="306"/>
      <c r="V25" s="385"/>
      <c r="W25" s="380"/>
      <c r="X25" s="385"/>
      <c r="Y25" s="380"/>
      <c r="Z25" s="322"/>
      <c r="AA25" s="322"/>
      <c r="AB25" s="305">
        <f>SUMIF($AT$100:$AT$104,"DR Cash and cash equivalents",$AU$100:$AU$104)</f>
        <v>0</v>
      </c>
      <c r="AC25" s="306">
        <f>-SUMIF($AT$100:$AT$104,"CR Cash and cash equivalents",$AU$100:$AU$104)</f>
        <v>0</v>
      </c>
      <c r="AD25" s="322"/>
      <c r="AE25" s="322"/>
      <c r="AF25" s="305"/>
      <c r="AG25" s="306"/>
      <c r="AH25" s="312">
        <f>SUM(G25:AG25)</f>
        <v>0</v>
      </c>
      <c r="AZ25" s="446" t="s">
        <v>830</v>
      </c>
      <c r="BA25" s="452"/>
      <c r="BB25" s="444"/>
      <c r="BC25" s="444"/>
      <c r="BD25" s="441"/>
      <c r="BJ25" s="689"/>
    </row>
    <row r="26" spans="2:79" ht="18.75" customHeight="1" x14ac:dyDescent="0.25">
      <c r="B26" s="233"/>
      <c r="C26" s="235"/>
      <c r="D26" s="239">
        <f>SUM(D22:D25)</f>
        <v>0</v>
      </c>
      <c r="E26" s="239">
        <f>SUM(E22:E25)</f>
        <v>0</v>
      </c>
      <c r="F26" s="239">
        <f>SUM(F22:F25)</f>
        <v>0</v>
      </c>
      <c r="G26" s="288">
        <f>SUM(G22:G25)</f>
        <v>0</v>
      </c>
      <c r="H26" s="303"/>
      <c r="I26" s="285"/>
      <c r="J26" s="383"/>
      <c r="K26" s="384"/>
      <c r="L26" s="295"/>
      <c r="M26" s="285"/>
      <c r="N26" s="318"/>
      <c r="O26" s="319"/>
      <c r="P26" s="297"/>
      <c r="Q26" s="319"/>
      <c r="R26" s="318"/>
      <c r="S26" s="319"/>
      <c r="T26" s="318"/>
      <c r="U26" s="319"/>
      <c r="V26" s="386"/>
      <c r="W26" s="387"/>
      <c r="X26" s="386"/>
      <c r="Y26" s="387"/>
      <c r="Z26" s="323"/>
      <c r="AA26" s="323"/>
      <c r="AB26" s="386"/>
      <c r="AC26" s="387"/>
      <c r="AD26" s="323"/>
      <c r="AE26" s="323"/>
      <c r="AF26" s="318"/>
      <c r="AG26" s="319"/>
      <c r="AH26" s="313">
        <f>SUM(AH22:AH25)</f>
        <v>-500</v>
      </c>
      <c r="AZ26" s="446" t="s">
        <v>831</v>
      </c>
      <c r="BA26" s="453"/>
      <c r="BB26" s="444"/>
      <c r="BC26" s="444"/>
      <c r="BD26" s="441"/>
      <c r="BG26" s="688"/>
      <c r="BK26" s="423"/>
      <c r="BL26" s="423"/>
      <c r="BM26" s="280"/>
    </row>
    <row r="27" spans="2:79" ht="18.75" customHeight="1" thickBot="1" x14ac:dyDescent="0.3">
      <c r="B27" s="230" t="s">
        <v>673</v>
      </c>
      <c r="C27" s="235"/>
      <c r="D27" s="241">
        <f>SUM(D20,D26)</f>
        <v>0</v>
      </c>
      <c r="E27" s="241">
        <f>SUM(E20,E26)</f>
        <v>0</v>
      </c>
      <c r="F27" s="241">
        <f>SUM(F20,F26)</f>
        <v>0</v>
      </c>
      <c r="G27" s="290">
        <f>SUM(G20,G26)</f>
        <v>0</v>
      </c>
      <c r="H27" s="303"/>
      <c r="I27" s="285"/>
      <c r="J27" s="383"/>
      <c r="K27" s="384"/>
      <c r="L27" s="295"/>
      <c r="M27" s="285"/>
      <c r="N27" s="318"/>
      <c r="O27" s="319"/>
      <c r="P27" s="297"/>
      <c r="Q27" s="319"/>
      <c r="R27" s="318"/>
      <c r="S27" s="319"/>
      <c r="T27" s="318"/>
      <c r="U27" s="319"/>
      <c r="V27" s="386"/>
      <c r="W27" s="387"/>
      <c r="X27" s="386"/>
      <c r="Y27" s="387"/>
      <c r="Z27" s="323"/>
      <c r="AA27" s="323"/>
      <c r="AB27" s="386"/>
      <c r="AC27" s="387"/>
      <c r="AD27" s="323"/>
      <c r="AE27" s="323"/>
      <c r="AF27" s="318"/>
      <c r="AG27" s="319"/>
      <c r="AH27" s="314">
        <f>SUM(AH20,AH26)</f>
        <v>-500</v>
      </c>
      <c r="AZ27" s="446" t="s">
        <v>832</v>
      </c>
      <c r="BA27" s="415">
        <f>BA26-BA25</f>
        <v>0</v>
      </c>
      <c r="BB27" s="444"/>
      <c r="BC27" s="444"/>
      <c r="BD27" s="441"/>
      <c r="BG27" s="688"/>
      <c r="BK27" s="423"/>
      <c r="BL27" s="493"/>
    </row>
    <row r="28" spans="2:79" ht="18.75" customHeight="1" x14ac:dyDescent="0.25">
      <c r="B28" s="233"/>
      <c r="C28" s="235"/>
      <c r="D28" s="240"/>
      <c r="E28" s="240"/>
      <c r="F28" s="240"/>
      <c r="G28" s="289"/>
      <c r="H28" s="307"/>
      <c r="I28" s="289"/>
      <c r="J28" s="388"/>
      <c r="K28" s="389"/>
      <c r="L28" s="298"/>
      <c r="M28" s="289"/>
      <c r="N28" s="307"/>
      <c r="O28" s="308"/>
      <c r="P28" s="298"/>
      <c r="Q28" s="308"/>
      <c r="R28" s="307"/>
      <c r="S28" s="308"/>
      <c r="T28" s="307"/>
      <c r="U28" s="308"/>
      <c r="V28" s="388"/>
      <c r="W28" s="389"/>
      <c r="X28" s="388"/>
      <c r="Y28" s="389"/>
      <c r="Z28" s="324"/>
      <c r="AA28" s="324"/>
      <c r="AB28" s="388"/>
      <c r="AC28" s="389"/>
      <c r="AD28" s="324"/>
      <c r="AE28" s="324"/>
      <c r="AF28" s="307"/>
      <c r="AG28" s="308"/>
      <c r="AH28" s="298"/>
      <c r="AZ28" s="446" t="s">
        <v>515</v>
      </c>
      <c r="BA28" s="454"/>
      <c r="BB28" s="444"/>
      <c r="BC28" s="444"/>
      <c r="BD28" s="441"/>
    </row>
    <row r="29" spans="2:79" ht="18.75" customHeight="1" x14ac:dyDescent="0.25">
      <c r="B29" s="230" t="s">
        <v>674</v>
      </c>
      <c r="C29" s="235"/>
      <c r="D29" s="236"/>
      <c r="E29" s="236"/>
      <c r="F29" s="236"/>
      <c r="G29" s="285"/>
      <c r="H29" s="303"/>
      <c r="I29" s="285"/>
      <c r="J29" s="383"/>
      <c r="K29" s="384"/>
      <c r="L29" s="295"/>
      <c r="M29" s="285"/>
      <c r="N29" s="303"/>
      <c r="O29" s="304"/>
      <c r="P29" s="295"/>
      <c r="Q29" s="304"/>
      <c r="R29" s="303"/>
      <c r="S29" s="304"/>
      <c r="T29" s="303"/>
      <c r="U29" s="304"/>
      <c r="V29" s="383"/>
      <c r="W29" s="384"/>
      <c r="X29" s="383"/>
      <c r="Y29" s="384"/>
      <c r="Z29" s="321"/>
      <c r="AA29" s="321"/>
      <c r="AB29" s="383"/>
      <c r="AC29" s="384"/>
      <c r="AD29" s="321"/>
      <c r="AE29" s="321"/>
      <c r="AF29" s="303"/>
      <c r="AG29" s="304"/>
      <c r="AH29" s="295"/>
      <c r="AZ29" s="446" t="s">
        <v>863</v>
      </c>
      <c r="BA29" s="454"/>
      <c r="BB29" s="455">
        <f>BA28+BA29</f>
        <v>0</v>
      </c>
      <c r="BC29" s="444"/>
      <c r="BD29" s="441"/>
    </row>
    <row r="30" spans="2:79" ht="18.75" customHeight="1" x14ac:dyDescent="0.25">
      <c r="B30" s="230" t="s">
        <v>675</v>
      </c>
      <c r="C30" s="235"/>
      <c r="D30" s="236"/>
      <c r="E30" s="236"/>
      <c r="F30" s="236"/>
      <c r="G30" s="285"/>
      <c r="H30" s="303"/>
      <c r="I30" s="285"/>
      <c r="J30" s="383"/>
      <c r="K30" s="384"/>
      <c r="L30" s="295"/>
      <c r="M30" s="285"/>
      <c r="N30" s="303"/>
      <c r="O30" s="304"/>
      <c r="P30" s="295"/>
      <c r="Q30" s="304"/>
      <c r="R30" s="303"/>
      <c r="S30" s="304"/>
      <c r="T30" s="303"/>
      <c r="U30" s="304"/>
      <c r="V30" s="383"/>
      <c r="W30" s="384"/>
      <c r="X30" s="383"/>
      <c r="Y30" s="384"/>
      <c r="Z30" s="321"/>
      <c r="AA30" s="321"/>
      <c r="AB30" s="383"/>
      <c r="AC30" s="384"/>
      <c r="AD30" s="321"/>
      <c r="AE30" s="321"/>
      <c r="AF30" s="303"/>
      <c r="AG30" s="304"/>
      <c r="AH30" s="295"/>
      <c r="AZ30" s="446" t="s">
        <v>833</v>
      </c>
      <c r="BA30" s="417"/>
      <c r="BB30" s="417"/>
      <c r="BC30" s="416">
        <f>BB29*BA27</f>
        <v>0</v>
      </c>
      <c r="BD30" s="441"/>
    </row>
    <row r="31" spans="2:79" ht="18.75" customHeight="1" thickBot="1" x14ac:dyDescent="0.3">
      <c r="B31" s="233" t="s">
        <v>676</v>
      </c>
      <c r="C31" s="235"/>
      <c r="D31" s="237"/>
      <c r="E31" s="237"/>
      <c r="F31" s="237"/>
      <c r="G31" s="286">
        <f>SUM(D31:F31)</f>
        <v>0</v>
      </c>
      <c r="H31" s="305">
        <f>SUMIF($AT10:$AT16,"DR Share Capital",$AU10:$AU16)</f>
        <v>0</v>
      </c>
      <c r="I31" s="326">
        <f>-SUMIF($AT10:$AT16,"CR Share Capital",$AV10:$AV16)</f>
        <v>0</v>
      </c>
      <c r="J31" s="385"/>
      <c r="K31" s="380"/>
      <c r="L31" s="296">
        <f>SUMIF($AT33:$AT35,"DR Share Capital",$AU33:$AU35)</f>
        <v>0</v>
      </c>
      <c r="M31" s="326">
        <f>-SUMIF($AT33:$AT35,"CR Share Capital",$AV33:$AV35)</f>
        <v>0</v>
      </c>
      <c r="N31" s="305"/>
      <c r="O31" s="306"/>
      <c r="P31" s="296"/>
      <c r="Q31" s="306"/>
      <c r="R31" s="305"/>
      <c r="S31" s="306"/>
      <c r="T31" s="305"/>
      <c r="U31" s="306"/>
      <c r="V31" s="385"/>
      <c r="W31" s="380"/>
      <c r="X31" s="385"/>
      <c r="Y31" s="380"/>
      <c r="Z31" s="322"/>
      <c r="AA31" s="322"/>
      <c r="AB31" s="385"/>
      <c r="AC31" s="380"/>
      <c r="AD31" s="322"/>
      <c r="AE31" s="322"/>
      <c r="AF31" s="305"/>
      <c r="AG31" s="306"/>
      <c r="AH31" s="312">
        <f>G31-SUM(H31:AG31)</f>
        <v>0</v>
      </c>
      <c r="AZ31" s="456" t="s">
        <v>834</v>
      </c>
      <c r="BA31" s="444"/>
      <c r="BB31" s="445"/>
      <c r="BC31" s="282">
        <f>BC30-BC24</f>
        <v>0</v>
      </c>
      <c r="BD31" s="441"/>
    </row>
    <row r="32" spans="2:79" ht="18.75" customHeight="1" thickTop="1" thickBot="1" x14ac:dyDescent="0.3">
      <c r="B32" s="233" t="s">
        <v>677</v>
      </c>
      <c r="C32" s="235"/>
      <c r="D32" s="237"/>
      <c r="E32" s="237"/>
      <c r="F32" s="237"/>
      <c r="G32" s="286">
        <f>SUM(D32:F32)</f>
        <v>0</v>
      </c>
      <c r="H32" s="305"/>
      <c r="I32" s="326"/>
      <c r="J32" s="385"/>
      <c r="K32" s="380"/>
      <c r="L32" s="296"/>
      <c r="M32" s="326"/>
      <c r="N32" s="305"/>
      <c r="O32" s="306"/>
      <c r="P32" s="296"/>
      <c r="Q32" s="306"/>
      <c r="R32" s="305"/>
      <c r="S32" s="306"/>
      <c r="T32" s="305"/>
      <c r="U32" s="306"/>
      <c r="V32" s="385"/>
      <c r="W32" s="380"/>
      <c r="X32" s="385"/>
      <c r="Y32" s="380"/>
      <c r="Z32" s="322"/>
      <c r="AA32" s="322"/>
      <c r="AB32" s="385"/>
      <c r="AC32" s="380"/>
      <c r="AD32" s="322"/>
      <c r="AE32" s="322"/>
      <c r="AF32" s="305"/>
      <c r="AG32" s="306"/>
      <c r="AH32" s="312">
        <f>G32-SUM(H32:AG32)</f>
        <v>0</v>
      </c>
      <c r="AZ32" s="457"/>
      <c r="BA32" s="458"/>
      <c r="BB32" s="458"/>
      <c r="BC32" s="458"/>
      <c r="BD32" s="450"/>
    </row>
    <row r="33" spans="2:67" ht="18.75" customHeight="1" thickBot="1" x14ac:dyDescent="0.3">
      <c r="B33" s="233" t="s">
        <v>678</v>
      </c>
      <c r="C33" s="235"/>
      <c r="D33" s="237"/>
      <c r="E33" s="237"/>
      <c r="F33" s="237"/>
      <c r="G33" s="286">
        <f>SUM(D33:F33)</f>
        <v>0</v>
      </c>
      <c r="H33" s="305">
        <f>SUMIF($AT8:$AT14,"DR Share Premium",$AU8:$AU14)</f>
        <v>0</v>
      </c>
      <c r="I33" s="326">
        <f>-SUMIF($AT8:$AT14,"CR Share Premium",AV8:AV14)</f>
        <v>0</v>
      </c>
      <c r="J33" s="385"/>
      <c r="K33" s="380"/>
      <c r="L33" s="296"/>
      <c r="M33" s="326"/>
      <c r="N33" s="305"/>
      <c r="O33" s="306"/>
      <c r="P33" s="296"/>
      <c r="Q33" s="306"/>
      <c r="R33" s="305"/>
      <c r="S33" s="306"/>
      <c r="T33" s="305"/>
      <c r="U33" s="306"/>
      <c r="V33" s="385"/>
      <c r="W33" s="380"/>
      <c r="X33" s="385"/>
      <c r="Y33" s="380"/>
      <c r="Z33" s="322"/>
      <c r="AA33" s="322"/>
      <c r="AB33" s="385"/>
      <c r="AC33" s="380"/>
      <c r="AD33" s="322"/>
      <c r="AE33" s="322"/>
      <c r="AF33" s="305"/>
      <c r="AG33" s="306"/>
      <c r="AH33" s="312">
        <f>G33-SUM(H33:AG33)</f>
        <v>0</v>
      </c>
      <c r="AS33" s="277">
        <v>3</v>
      </c>
      <c r="AT33" s="268" t="s">
        <v>699</v>
      </c>
      <c r="AU33" s="268">
        <f>BC36</f>
        <v>0</v>
      </c>
      <c r="AZ33" s="402" t="s">
        <v>1581</v>
      </c>
      <c r="BJ33" s="280"/>
    </row>
    <row r="34" spans="2:67" ht="18.75" customHeight="1" x14ac:dyDescent="0.25">
      <c r="B34" s="233" t="s">
        <v>679</v>
      </c>
      <c r="C34" s="235"/>
      <c r="D34" s="237"/>
      <c r="E34" s="237"/>
      <c r="F34" s="237"/>
      <c r="G34" s="286">
        <f>SUM(D34:F34)</f>
        <v>0</v>
      </c>
      <c r="H34" s="305">
        <f>SUMIF($AT9:$AT15,"DR Reserves",$AU9:$AU15)+SUMIF($AT9:$AT15,"DR Revaluation surplus",$AU9:$AU15)</f>
        <v>0</v>
      </c>
      <c r="I34" s="326">
        <f>-SUMIF($AT9:$AT15,"CR Reserves",AV9:AV15)-SUMIF($AT9:$AT15,"CR Revaluation surplus",AV9:AV15)</f>
        <v>0</v>
      </c>
      <c r="J34" s="385"/>
      <c r="K34" s="380"/>
      <c r="L34" s="296"/>
      <c r="M34" s="326"/>
      <c r="N34" s="305"/>
      <c r="O34" s="306"/>
      <c r="P34" s="296"/>
      <c r="Q34" s="306"/>
      <c r="R34" s="305"/>
      <c r="S34" s="306"/>
      <c r="T34" s="305"/>
      <c r="U34" s="306"/>
      <c r="V34" s="385"/>
      <c r="W34" s="380"/>
      <c r="X34" s="385"/>
      <c r="Y34" s="380"/>
      <c r="Z34" s="322"/>
      <c r="AA34" s="322"/>
      <c r="AB34" s="385"/>
      <c r="AC34" s="380"/>
      <c r="AD34" s="322"/>
      <c r="AE34" s="322"/>
      <c r="AF34" s="305"/>
      <c r="AG34" s="306"/>
      <c r="AH34" s="312">
        <f>G34-SUM(H34:AG34)</f>
        <v>0</v>
      </c>
      <c r="AT34" s="268" t="s">
        <v>703</v>
      </c>
      <c r="AU34" s="268">
        <f>BC35</f>
        <v>0</v>
      </c>
      <c r="AZ34" s="451" t="s">
        <v>234</v>
      </c>
      <c r="BA34" s="427"/>
      <c r="BB34" s="459"/>
      <c r="BC34" s="459"/>
      <c r="BD34" s="429"/>
      <c r="BJ34" s="494"/>
    </row>
    <row r="35" spans="2:67" ht="18.75" customHeight="1" x14ac:dyDescent="0.25">
      <c r="B35" s="233" t="s">
        <v>515</v>
      </c>
      <c r="C35" s="235"/>
      <c r="D35" s="237"/>
      <c r="E35" s="237"/>
      <c r="F35" s="237"/>
      <c r="G35" s="286">
        <f>SUM(D35:F35)</f>
        <v>0</v>
      </c>
      <c r="H35" s="305">
        <f>SUMIF($AT10:$AT16,"DR Retained Earnings",$AU10:$AU16)</f>
        <v>0</v>
      </c>
      <c r="I35" s="326">
        <f>-SUMIF($AT10:$AT16,"CR Retained Earnings",AV10:AV16)</f>
        <v>0</v>
      </c>
      <c r="J35" s="305">
        <f>SUMIF($AT22:$AT24,"DR Retained Earnings",$AU22:$AU24)</f>
        <v>0</v>
      </c>
      <c r="K35" s="305">
        <f>SUMIF($AT22:$AT24,"CR Retained Earnings",$AU22:$AU24)</f>
        <v>0</v>
      </c>
      <c r="L35" s="296">
        <f>SUMIF($AT33:$AT35,"DR Retained Earnings",$AU33:$AU35)</f>
        <v>0</v>
      </c>
      <c r="M35" s="326">
        <f>-SUMIF($AT33:$AT35,"CR Retained Earnings",AX33:AX35)</f>
        <v>0</v>
      </c>
      <c r="N35" s="305">
        <f>SUMIF($AT$38:$AT$42,"DR Retained Earnings",$AU$38:$AU$42)</f>
        <v>0</v>
      </c>
      <c r="O35" s="306">
        <f>-SUMIF($AT$38:$AT$42,"CR Retained Earnings",$AV$38:$AV$42)</f>
        <v>0</v>
      </c>
      <c r="P35" s="296"/>
      <c r="Q35" s="306"/>
      <c r="R35" s="305">
        <f>SUMIF($AT$54:$AT$58,"DR Retained Earnings",$AU$54:$AU$58)</f>
        <v>0</v>
      </c>
      <c r="S35" s="306">
        <f>SUMIF($AT$54:$AT$58,"CR Retained Earnings",$AV$54:$AV$58)</f>
        <v>0</v>
      </c>
      <c r="T35" s="305">
        <f>SUMIF($AT$61:$AT$65,"DR Retained Earnings",$AU$61:$AU$65)</f>
        <v>0</v>
      </c>
      <c r="U35" s="305">
        <f>-SUMIF($AT$61:$AT$65,"CR Retained Earnings",$AV$61:$AV$65)</f>
        <v>0</v>
      </c>
      <c r="V35" s="385"/>
      <c r="W35" s="380"/>
      <c r="X35" s="385"/>
      <c r="Y35" s="380"/>
      <c r="Z35" s="322"/>
      <c r="AA35" s="322"/>
      <c r="AB35" s="385"/>
      <c r="AC35" s="380"/>
      <c r="AD35" s="322"/>
      <c r="AE35" s="322"/>
      <c r="AF35" s="305">
        <f>SUMIF($AT$123:$AT$124,"DR Retained Earnings",$AU$123:$AU$124)</f>
        <v>0</v>
      </c>
      <c r="AG35" s="306">
        <f>-SUMIF($AT$123:$AT$124,"CR Retained Earnings",$AV$123:$AV$124)</f>
        <v>0</v>
      </c>
      <c r="AH35" s="312">
        <f>G35-SUM(H35:AG35)</f>
        <v>0</v>
      </c>
      <c r="AT35" s="268" t="s">
        <v>704</v>
      </c>
      <c r="AV35" s="268">
        <f>BC35+BC36</f>
        <v>0</v>
      </c>
      <c r="AZ35" s="469" t="s">
        <v>701</v>
      </c>
      <c r="BA35" s="444"/>
      <c r="BB35" s="445"/>
      <c r="BC35" s="454"/>
      <c r="BD35" s="441"/>
    </row>
    <row r="36" spans="2:67" ht="18.75" customHeight="1" thickBot="1" x14ac:dyDescent="0.3">
      <c r="B36" s="233"/>
      <c r="C36" s="235"/>
      <c r="D36" s="236"/>
      <c r="E36" s="236"/>
      <c r="F36" s="236"/>
      <c r="G36" s="285"/>
      <c r="H36" s="303"/>
      <c r="I36" s="285"/>
      <c r="J36" s="383"/>
      <c r="K36" s="384"/>
      <c r="L36" s="295"/>
      <c r="M36" s="285"/>
      <c r="N36" s="303"/>
      <c r="O36" s="304"/>
      <c r="P36" s="295"/>
      <c r="Q36" s="304"/>
      <c r="R36" s="303"/>
      <c r="S36" s="304"/>
      <c r="T36" s="303"/>
      <c r="U36" s="304"/>
      <c r="V36" s="383"/>
      <c r="W36" s="384"/>
      <c r="X36" s="383"/>
      <c r="Y36" s="384"/>
      <c r="Z36" s="321"/>
      <c r="AA36" s="321"/>
      <c r="AB36" s="383"/>
      <c r="AC36" s="384"/>
      <c r="AD36" s="321"/>
      <c r="AE36" s="321"/>
      <c r="AF36" s="303"/>
      <c r="AG36" s="304"/>
      <c r="AH36" s="295"/>
      <c r="AZ36" s="643" t="s">
        <v>702</v>
      </c>
      <c r="BA36" s="458"/>
      <c r="BB36" s="460"/>
      <c r="BC36" s="461"/>
      <c r="BD36" s="450"/>
    </row>
    <row r="37" spans="2:67" ht="18.75" customHeight="1" thickBot="1" x14ac:dyDescent="0.3">
      <c r="B37" s="233"/>
      <c r="C37" s="235"/>
      <c r="D37" s="236"/>
      <c r="E37" s="236"/>
      <c r="F37" s="236"/>
      <c r="G37" s="285"/>
      <c r="H37" s="303"/>
      <c r="I37" s="285"/>
      <c r="J37" s="383"/>
      <c r="K37" s="384"/>
      <c r="L37" s="295"/>
      <c r="M37" s="285"/>
      <c r="N37" s="303"/>
      <c r="O37" s="304"/>
      <c r="P37" s="295"/>
      <c r="Q37" s="304"/>
      <c r="R37" s="303"/>
      <c r="S37" s="304"/>
      <c r="T37" s="303"/>
      <c r="U37" s="304"/>
      <c r="V37" s="383"/>
      <c r="W37" s="384"/>
      <c r="X37" s="383"/>
      <c r="Y37" s="384"/>
      <c r="Z37" s="321"/>
      <c r="AA37" s="321"/>
      <c r="AB37" s="383"/>
      <c r="AC37" s="384"/>
      <c r="AD37" s="321"/>
      <c r="AE37" s="321"/>
      <c r="AF37" s="303"/>
      <c r="AG37" s="304"/>
      <c r="AH37" s="295"/>
      <c r="BB37" s="276"/>
      <c r="BC37" s="276"/>
    </row>
    <row r="38" spans="2:67" ht="18.75" customHeight="1" thickBot="1" x14ac:dyDescent="0.3">
      <c r="B38" s="233" t="s">
        <v>680</v>
      </c>
      <c r="C38" s="235" t="s">
        <v>681</v>
      </c>
      <c r="D38" s="237"/>
      <c r="E38" s="237"/>
      <c r="F38" s="237"/>
      <c r="G38" s="286">
        <f>SUM(D38:F38)</f>
        <v>0</v>
      </c>
      <c r="H38" s="305"/>
      <c r="I38" s="326"/>
      <c r="J38" s="385"/>
      <c r="K38" s="380"/>
      <c r="L38" s="296"/>
      <c r="M38" s="326"/>
      <c r="N38" s="305"/>
      <c r="O38" s="306"/>
      <c r="P38" s="296"/>
      <c r="Q38" s="306"/>
      <c r="R38" s="305"/>
      <c r="S38" s="306"/>
      <c r="T38" s="305"/>
      <c r="U38" s="306"/>
      <c r="V38" s="385"/>
      <c r="W38" s="380"/>
      <c r="X38" s="385"/>
      <c r="Y38" s="380"/>
      <c r="Z38" s="322"/>
      <c r="AA38" s="322"/>
      <c r="AB38" s="385"/>
      <c r="AC38" s="380"/>
      <c r="AD38" s="322"/>
      <c r="AE38" s="322"/>
      <c r="AF38" s="305"/>
      <c r="AG38" s="306"/>
      <c r="AH38" s="312">
        <f>G38-SUM(H38:AG38)</f>
        <v>0</v>
      </c>
      <c r="AS38" s="277">
        <v>4</v>
      </c>
      <c r="AT38" s="268" t="str">
        <f>IF(BC44&gt;0,"DR Retained earnings","CR Retained Earnings")</f>
        <v>CR Retained Earnings</v>
      </c>
      <c r="AU38" s="268" t="str">
        <f>IF($BC$44&gt;0,$BC$44," ")</f>
        <v xml:space="preserve"> </v>
      </c>
      <c r="AV38" s="268" t="str">
        <f>IF($BC$44&lt;0,-$BC$44," ")</f>
        <v xml:space="preserve"> </v>
      </c>
      <c r="AZ38" s="642" t="s">
        <v>711</v>
      </c>
      <c r="BA38" s="427"/>
      <c r="BB38" s="459"/>
      <c r="BC38" s="459"/>
      <c r="BD38" s="429"/>
    </row>
    <row r="39" spans="2:67" ht="18.75" customHeight="1" x14ac:dyDescent="0.25">
      <c r="B39" s="233"/>
      <c r="C39" s="235"/>
      <c r="D39" s="242">
        <f>SUM(D31:D38)</f>
        <v>0</v>
      </c>
      <c r="E39" s="242">
        <f>SUM(E31:E38)</f>
        <v>0</v>
      </c>
      <c r="F39" s="242">
        <f>SUM(F31:F38)</f>
        <v>0</v>
      </c>
      <c r="G39" s="291">
        <f>SUM(G31:G38)</f>
        <v>0</v>
      </c>
      <c r="H39" s="303"/>
      <c r="I39" s="285"/>
      <c r="J39" s="388"/>
      <c r="K39" s="389"/>
      <c r="L39" s="298"/>
      <c r="M39" s="289"/>
      <c r="N39" s="307"/>
      <c r="O39" s="308"/>
      <c r="P39" s="298"/>
      <c r="Q39" s="308"/>
      <c r="R39" s="307"/>
      <c r="S39" s="308"/>
      <c r="T39" s="307"/>
      <c r="U39" s="308"/>
      <c r="V39" s="388"/>
      <c r="W39" s="389"/>
      <c r="X39" s="388"/>
      <c r="Y39" s="389"/>
      <c r="Z39" s="324"/>
      <c r="AA39" s="324"/>
      <c r="AB39" s="388"/>
      <c r="AC39" s="389"/>
      <c r="AD39" s="324"/>
      <c r="AE39" s="324"/>
      <c r="AF39" s="307"/>
      <c r="AG39" s="308"/>
      <c r="AH39" s="315">
        <f>SUM(AH31:AH38)</f>
        <v>0</v>
      </c>
      <c r="AT39" s="268" t="str">
        <f>IF(BC44&gt;0,"CR SFP - Non-controlling interests","DR SFP - Non-controlling interests")</f>
        <v>DR SFP - Non-controlling interests</v>
      </c>
      <c r="AU39" s="268" t="str">
        <f>IF($BC$44&lt;0,-$BC$44," ")</f>
        <v xml:space="preserve"> </v>
      </c>
      <c r="AV39" s="268" t="str">
        <f>IF($BC$44&gt;0,$BC$44," ")</f>
        <v xml:space="preserve"> </v>
      </c>
      <c r="AZ39" s="469" t="str">
        <f>"Retained earnings "&amp;B8</f>
        <v>Retained earnings as at 30 September 2021</v>
      </c>
      <c r="BA39" s="444"/>
      <c r="BB39" s="445"/>
      <c r="BC39" s="454"/>
      <c r="BD39" s="441"/>
      <c r="BO39" s="402" t="s">
        <v>766</v>
      </c>
    </row>
    <row r="40" spans="2:67" ht="18.75" customHeight="1" x14ac:dyDescent="0.25">
      <c r="B40" s="230" t="s">
        <v>682</v>
      </c>
      <c r="C40" s="235" t="s">
        <v>683</v>
      </c>
      <c r="D40" s="243"/>
      <c r="E40" s="243"/>
      <c r="F40" s="243"/>
      <c r="G40" s="292">
        <f>SUM(D40:F40)</f>
        <v>0</v>
      </c>
      <c r="H40" s="305">
        <f>SUMIF($AT10:$AT17,"DR SFP - non-controlling interests",$AU10:$AU17)</f>
        <v>0</v>
      </c>
      <c r="I40" s="305">
        <f>-SUMIF($AT10:$AT16,"CR SFP - non-controlling interests",$AV10:$AV16)</f>
        <v>0</v>
      </c>
      <c r="J40" s="305">
        <f>SUMIF($AT22:$AT24,"DR SFP - non-controlling interestS",$AU$22:$AU$24)</f>
        <v>0</v>
      </c>
      <c r="K40" s="305">
        <f>-SUMIF($AT22:$AT24,"CR SFP - non-controlling interestS",$AU$22:$AU$24)</f>
        <v>0</v>
      </c>
      <c r="L40" s="299"/>
      <c r="M40" s="332"/>
      <c r="N40" s="390">
        <f>-SUMIF($AT$38:$AT$42,"DR SFP - Non-controlling interests",$AU$38:$AU$42)</f>
        <v>0</v>
      </c>
      <c r="O40" s="306">
        <f>-SUMIF($AT$38:$AT$42,"CR SFP - Non-controlling interests",$AV$38:$AV$42)</f>
        <v>0</v>
      </c>
      <c r="P40" s="380">
        <f>-SUMIF($AT$48:$AT$49,"DR SFP - Non-controlling interests",$AU$48:$AU$49)</f>
        <v>0</v>
      </c>
      <c r="Q40" s="306">
        <f>-SUMIF($AT$48:$AT$49,"CR SFP - Non-controlling interests",$AV$48:$AV$49)</f>
        <v>0</v>
      </c>
      <c r="R40" s="305">
        <f>SUMIF($AT$54:$AT$58,"DR SFP - Non-controlling interests",$AU$54:$AU$58)</f>
        <v>0</v>
      </c>
      <c r="S40" s="306">
        <f>-SUMIF($AT$54:$AT$58,"CR SFP - Non-controlling interests",$AV$54:$AV$58)</f>
        <v>0</v>
      </c>
      <c r="T40" s="305">
        <f>SUMIF($AT$61:$AT$65,"DR SFP - Non-controlling interests",$AU$61:$AU$65)</f>
        <v>0</v>
      </c>
      <c r="U40" s="306">
        <f>-SUMIF($AT$61:$AT$65,"CR SFP - Non-controlling interests",$AV$61:$AV$65)</f>
        <v>0</v>
      </c>
      <c r="V40" s="305">
        <f>SUMIF($AT$69:$AT$76,"DR SFP - Non-controlling interests",$AU$69:$AU$76)</f>
        <v>0</v>
      </c>
      <c r="W40" s="306">
        <f>-SUMIF($AT$69:$AT$76,"CR SFP - Non-controlling interests",$AV$69:$AV$76)</f>
        <v>0</v>
      </c>
      <c r="X40" s="305"/>
      <c r="Y40" s="306"/>
      <c r="Z40" s="322">
        <f>SUMIF($AT$86:$AT$97,"DR SFP - Non-controlling interests",AU$86:AU$97)</f>
        <v>0</v>
      </c>
      <c r="AA40" s="322">
        <f>-SUMIF($AT$86:$AT$97,"CR SFP - Non-controlling interests",AV$86:AV$97)</f>
        <v>0</v>
      </c>
      <c r="AB40" s="322">
        <f>SUMIF($AT$100:$AT$104,"DR SFP - Non-controlling interests",AU$100:AU$104)</f>
        <v>0</v>
      </c>
      <c r="AC40" s="322">
        <f>-SUMIF($AT$100:$AT$104,"CR SFP - Non-controlling interests",AV$100:AV$104)</f>
        <v>0</v>
      </c>
      <c r="AD40" s="305">
        <f>SUMIF($AT$109:$AT$121,"DR NCI (SFP)",$AU$109:$AU$121)</f>
        <v>0</v>
      </c>
      <c r="AE40" s="306">
        <f>-SUMIF($AT$109:$AT$116,"CR NCI (SFP)",$AV$109:$AV$116)</f>
        <v>0</v>
      </c>
      <c r="AF40" s="305">
        <f>-SUMIF($AT$123:$AT$124,"DR SFP - Non-controlling interests",$AU$123:$AU$124)</f>
        <v>0</v>
      </c>
      <c r="AG40" s="306">
        <f>-SUMIF($AT$123:$AT$124,"CR SFP - Non-controlling interests",$AV$123:$AV$124)</f>
        <v>0</v>
      </c>
      <c r="AH40" s="312">
        <f>G40-SUM(H40:AG40)</f>
        <v>0</v>
      </c>
      <c r="AZ40" s="469" t="s">
        <v>751</v>
      </c>
      <c r="BA40" s="444"/>
      <c r="BB40" s="444"/>
      <c r="BC40" s="454"/>
      <c r="BD40" s="641"/>
      <c r="BO40" s="402" t="s">
        <v>770</v>
      </c>
    </row>
    <row r="41" spans="2:67" ht="18.75" customHeight="1" x14ac:dyDescent="0.25">
      <c r="B41" s="230"/>
      <c r="C41" s="235"/>
      <c r="D41" s="236"/>
      <c r="E41" s="236"/>
      <c r="F41" s="236"/>
      <c r="G41" s="285"/>
      <c r="H41" s="303"/>
      <c r="I41" s="285"/>
      <c r="J41" s="383"/>
      <c r="K41" s="384"/>
      <c r="L41" s="295"/>
      <c r="M41" s="285"/>
      <c r="N41" s="303"/>
      <c r="O41" s="304"/>
      <c r="P41" s="295"/>
      <c r="Q41" s="304"/>
      <c r="R41" s="303"/>
      <c r="S41" s="304"/>
      <c r="T41" s="303"/>
      <c r="U41" s="304"/>
      <c r="V41" s="383"/>
      <c r="W41" s="384"/>
      <c r="X41" s="383"/>
      <c r="Y41" s="384"/>
      <c r="Z41" s="321"/>
      <c r="AA41" s="321"/>
      <c r="AB41" s="383"/>
      <c r="AC41" s="384"/>
      <c r="AD41" s="321"/>
      <c r="AE41" s="321"/>
      <c r="AF41" s="303"/>
      <c r="AG41" s="304"/>
      <c r="AH41" s="295"/>
      <c r="AT41" s="268" t="str">
        <f>IF(AU41&lt;&gt;0,"DR Revaluation surplus","CR Revaluation Surplus")</f>
        <v>CR Revaluation Surplus</v>
      </c>
      <c r="AU41" s="268">
        <f>IF($BC$47&gt;0,$BC$47,0)</f>
        <v>0</v>
      </c>
      <c r="AV41" s="268">
        <f>IF($BC$47&lt;0,-$BC$47,0)</f>
        <v>0</v>
      </c>
      <c r="AZ41" s="469" t="s">
        <v>818</v>
      </c>
      <c r="BA41" s="444"/>
      <c r="BB41" s="444"/>
      <c r="BC41" s="454"/>
      <c r="BD41" s="641"/>
      <c r="BO41" s="402" t="s">
        <v>824</v>
      </c>
    </row>
    <row r="42" spans="2:67" ht="18.75" customHeight="1" x14ac:dyDescent="0.25">
      <c r="B42" s="230"/>
      <c r="C42" s="235"/>
      <c r="D42" s="236"/>
      <c r="E42" s="236"/>
      <c r="F42" s="236"/>
      <c r="G42" s="285"/>
      <c r="H42" s="303"/>
      <c r="I42" s="285"/>
      <c r="J42" s="383"/>
      <c r="K42" s="384"/>
      <c r="L42" s="295"/>
      <c r="M42" s="285"/>
      <c r="N42" s="303"/>
      <c r="O42" s="304"/>
      <c r="P42" s="295"/>
      <c r="Q42" s="304"/>
      <c r="R42" s="303"/>
      <c r="S42" s="304"/>
      <c r="T42" s="303"/>
      <c r="U42" s="304"/>
      <c r="V42" s="383"/>
      <c r="W42" s="384"/>
      <c r="X42" s="383"/>
      <c r="Y42" s="384"/>
      <c r="Z42" s="321"/>
      <c r="AA42" s="321"/>
      <c r="AB42" s="383"/>
      <c r="AC42" s="384"/>
      <c r="AD42" s="321"/>
      <c r="AE42" s="321"/>
      <c r="AF42" s="303"/>
      <c r="AG42" s="304"/>
      <c r="AH42" s="295"/>
      <c r="AT42" s="268" t="str">
        <f>IF(AV42&lt;&gt;0,"CR SFP - Non-controlling interests","DR SFP - Non-controlling interests")</f>
        <v>DR SFP - Non-controlling interests</v>
      </c>
      <c r="AU42" s="268">
        <f>IF($BC$47&lt;0,-$BC$47,0)</f>
        <v>0</v>
      </c>
      <c r="AV42" s="268">
        <f>IF($BC$47&gt;0,$BC$47,0)</f>
        <v>0</v>
      </c>
      <c r="AZ42" s="469" t="s">
        <v>706</v>
      </c>
      <c r="BA42" s="444"/>
      <c r="BB42" s="445"/>
      <c r="BC42" s="462">
        <f>BB18</f>
        <v>0</v>
      </c>
      <c r="BD42" s="441"/>
    </row>
    <row r="43" spans="2:67" ht="18.75" customHeight="1" x14ac:dyDescent="0.25">
      <c r="B43" s="230" t="s">
        <v>684</v>
      </c>
      <c r="C43" s="235"/>
      <c r="D43" s="239">
        <f>D39+D40</f>
        <v>0</v>
      </c>
      <c r="E43" s="239">
        <f>E39+E40</f>
        <v>0</v>
      </c>
      <c r="F43" s="239">
        <f>F39+F40</f>
        <v>0</v>
      </c>
      <c r="G43" s="288">
        <f>G39+G40</f>
        <v>0</v>
      </c>
      <c r="H43" s="303"/>
      <c r="I43" s="285"/>
      <c r="J43" s="386"/>
      <c r="K43" s="387"/>
      <c r="L43" s="297"/>
      <c r="M43" s="404"/>
      <c r="N43" s="318"/>
      <c r="O43" s="319"/>
      <c r="P43" s="297"/>
      <c r="Q43" s="319"/>
      <c r="R43" s="318"/>
      <c r="S43" s="319"/>
      <c r="T43" s="318"/>
      <c r="U43" s="319"/>
      <c r="V43" s="386"/>
      <c r="W43" s="387"/>
      <c r="X43" s="386"/>
      <c r="Y43" s="387"/>
      <c r="Z43" s="323"/>
      <c r="AA43" s="323"/>
      <c r="AB43" s="386"/>
      <c r="AC43" s="387"/>
      <c r="AD43" s="323"/>
      <c r="AE43" s="323"/>
      <c r="AF43" s="318"/>
      <c r="AG43" s="319"/>
      <c r="AH43" s="313">
        <f>AH39+AH40</f>
        <v>0</v>
      </c>
      <c r="AZ43" s="469" t="s">
        <v>707</v>
      </c>
      <c r="BA43" s="444"/>
      <c r="BB43" s="445"/>
      <c r="BC43" s="445">
        <f>BC39-BC42-BC40+BC41</f>
        <v>0</v>
      </c>
      <c r="BD43" s="641"/>
      <c r="BO43" s="402" t="s">
        <v>1447</v>
      </c>
    </row>
    <row r="44" spans="2:67" ht="18.75" customHeight="1" thickBot="1" x14ac:dyDescent="0.3">
      <c r="B44" s="233"/>
      <c r="C44" s="235"/>
      <c r="D44" s="236"/>
      <c r="E44" s="236"/>
      <c r="F44" s="236"/>
      <c r="G44" s="285"/>
      <c r="H44" s="303"/>
      <c r="I44" s="285"/>
      <c r="J44" s="383"/>
      <c r="K44" s="384"/>
      <c r="L44" s="295"/>
      <c r="M44" s="285"/>
      <c r="N44" s="303"/>
      <c r="O44" s="304"/>
      <c r="P44" s="295"/>
      <c r="Q44" s="304"/>
      <c r="R44" s="303"/>
      <c r="S44" s="304"/>
      <c r="T44" s="303"/>
      <c r="U44" s="304"/>
      <c r="V44" s="383"/>
      <c r="W44" s="384"/>
      <c r="X44" s="383"/>
      <c r="Y44" s="384"/>
      <c r="Z44" s="321"/>
      <c r="AA44" s="321"/>
      <c r="AB44" s="383"/>
      <c r="AC44" s="384"/>
      <c r="AD44" s="321"/>
      <c r="AE44" s="321"/>
      <c r="AF44" s="303"/>
      <c r="AG44" s="304"/>
      <c r="AH44" s="295"/>
      <c r="AZ44" s="469" t="str">
        <f>"NCI share of historical profit (*"&amp;BC11&amp;")"</f>
        <v>NCI share of historical profit (*)</v>
      </c>
      <c r="BA44" s="444"/>
      <c r="BB44" s="444"/>
      <c r="BC44" s="282">
        <f>IF(SUM(BC39:BC41)=0,0,BC43*BC11)</f>
        <v>0</v>
      </c>
      <c r="BD44" s="441"/>
    </row>
    <row r="45" spans="2:67" ht="36" customHeight="1" thickTop="1" x14ac:dyDescent="0.25">
      <c r="B45" s="230" t="s">
        <v>82</v>
      </c>
      <c r="C45" s="235"/>
      <c r="D45" s="236"/>
      <c r="E45" s="236"/>
      <c r="F45" s="236"/>
      <c r="G45" s="285"/>
      <c r="H45" s="303"/>
      <c r="I45" s="285"/>
      <c r="J45" s="383"/>
      <c r="K45" s="384"/>
      <c r="L45" s="295"/>
      <c r="M45" s="285"/>
      <c r="N45" s="303"/>
      <c r="O45" s="304"/>
      <c r="P45" s="295"/>
      <c r="Q45" s="304"/>
      <c r="R45" s="303"/>
      <c r="S45" s="304"/>
      <c r="T45" s="303"/>
      <c r="U45" s="304"/>
      <c r="V45" s="383"/>
      <c r="W45" s="384"/>
      <c r="X45" s="383"/>
      <c r="Y45" s="384"/>
      <c r="Z45" s="321"/>
      <c r="AA45" s="321"/>
      <c r="AB45" s="383"/>
      <c r="AC45" s="384"/>
      <c r="AD45" s="383"/>
      <c r="AE45" s="384"/>
      <c r="AF45" s="303"/>
      <c r="AG45" s="304"/>
      <c r="AH45" s="295"/>
      <c r="AZ45" s="446"/>
      <c r="BA45" s="444"/>
      <c r="BB45" s="444"/>
      <c r="BC45" s="444"/>
      <c r="BD45" s="441"/>
    </row>
    <row r="46" spans="2:67" ht="18.75" customHeight="1" x14ac:dyDescent="0.25">
      <c r="B46" s="233" t="s">
        <v>685</v>
      </c>
      <c r="C46" s="235" t="s">
        <v>667</v>
      </c>
      <c r="D46" s="237"/>
      <c r="E46" s="237"/>
      <c r="F46" s="237"/>
      <c r="G46" s="286">
        <f>SUM(D46:F46)</f>
        <v>0</v>
      </c>
      <c r="H46" s="305"/>
      <c r="I46" s="326"/>
      <c r="J46" s="385"/>
      <c r="K46" s="380"/>
      <c r="L46" s="296"/>
      <c r="M46" s="326"/>
      <c r="N46" s="305"/>
      <c r="O46" s="306"/>
      <c r="P46" s="296"/>
      <c r="Q46" s="306"/>
      <c r="R46" s="305"/>
      <c r="S46" s="306"/>
      <c r="T46" s="305"/>
      <c r="U46" s="306"/>
      <c r="V46" s="385"/>
      <c r="W46" s="380"/>
      <c r="X46" s="385"/>
      <c r="Y46" s="380"/>
      <c r="Z46" s="322"/>
      <c r="AA46" s="322"/>
      <c r="AB46" s="385"/>
      <c r="AC46" s="380"/>
      <c r="AD46" s="305">
        <f>SUMIF($AT$109:$AT$116,"DR Bond Liability",$AU$109:$AU$116)</f>
        <v>0</v>
      </c>
      <c r="AE46" s="306">
        <f>-SUMIF($AT$109:$AT$116,"CR Bond liability",$AV$109:$AV$116)</f>
        <v>0</v>
      </c>
      <c r="AF46" s="305"/>
      <c r="AG46" s="306"/>
      <c r="AH46" s="312">
        <f>G46-SUM(H46:AG46)</f>
        <v>0</v>
      </c>
      <c r="AZ46" s="469" t="s">
        <v>868</v>
      </c>
      <c r="BA46" s="444"/>
      <c r="BB46" s="444"/>
      <c r="BC46" s="425">
        <v>0</v>
      </c>
      <c r="BD46" s="441"/>
    </row>
    <row r="47" spans="2:67" ht="18.75" customHeight="1" thickBot="1" x14ac:dyDescent="0.3">
      <c r="B47" s="233" t="s">
        <v>686</v>
      </c>
      <c r="C47" s="235" t="s">
        <v>687</v>
      </c>
      <c r="D47" s="237"/>
      <c r="E47" s="237"/>
      <c r="F47" s="237"/>
      <c r="G47" s="286">
        <f>SUM(D47:F47)</f>
        <v>0</v>
      </c>
      <c r="H47" s="305"/>
      <c r="I47" s="326"/>
      <c r="J47" s="385"/>
      <c r="K47" s="380"/>
      <c r="L47" s="296"/>
      <c r="M47" s="326"/>
      <c r="N47" s="305"/>
      <c r="O47" s="306"/>
      <c r="P47" s="296"/>
      <c r="Q47" s="306"/>
      <c r="R47" s="305"/>
      <c r="S47" s="306"/>
      <c r="T47" s="305"/>
      <c r="U47" s="306"/>
      <c r="V47" s="385"/>
      <c r="W47" s="380"/>
      <c r="X47" s="385"/>
      <c r="Y47" s="380"/>
      <c r="Z47" s="322"/>
      <c r="AA47" s="322"/>
      <c r="AB47" s="385"/>
      <c r="AC47" s="380"/>
      <c r="AD47" s="322"/>
      <c r="AE47" s="322"/>
      <c r="AF47" s="305"/>
      <c r="AG47" s="306"/>
      <c r="AH47" s="312">
        <f>G47-SUM(H47:AG47)</f>
        <v>0</v>
      </c>
      <c r="AZ47" s="469" t="str">
        <f>"NCI share of revaluation reserve (*"&amp;BC11&amp;")"</f>
        <v>NCI share of revaluation reserve (*)</v>
      </c>
      <c r="BA47" s="444"/>
      <c r="BB47" s="444"/>
      <c r="BC47" s="281">
        <f>BC46*BC11</f>
        <v>0</v>
      </c>
      <c r="BD47" s="441"/>
    </row>
    <row r="48" spans="2:67" ht="18.75" customHeight="1" thickTop="1" thickBot="1" x14ac:dyDescent="0.3">
      <c r="B48" s="233" t="s">
        <v>688</v>
      </c>
      <c r="C48" s="235" t="s">
        <v>667</v>
      </c>
      <c r="D48" s="237"/>
      <c r="E48" s="237"/>
      <c r="F48" s="237"/>
      <c r="G48" s="286">
        <f>SUM(D48:F48)</f>
        <v>0</v>
      </c>
      <c r="H48" s="305"/>
      <c r="I48" s="326"/>
      <c r="J48" s="385"/>
      <c r="K48" s="380"/>
      <c r="L48" s="296"/>
      <c r="M48" s="326"/>
      <c r="N48" s="305"/>
      <c r="O48" s="306"/>
      <c r="P48" s="296"/>
      <c r="Q48" s="306"/>
      <c r="R48" s="305"/>
      <c r="S48" s="306"/>
      <c r="T48" s="305"/>
      <c r="U48" s="306"/>
      <c r="V48" s="385"/>
      <c r="W48" s="380"/>
      <c r="X48" s="385"/>
      <c r="Y48" s="380"/>
      <c r="Z48" s="322"/>
      <c r="AA48" s="322"/>
      <c r="AB48" s="385"/>
      <c r="AC48" s="380"/>
      <c r="AD48" s="322"/>
      <c r="AE48" s="322"/>
      <c r="AF48" s="305"/>
      <c r="AG48" s="306"/>
      <c r="AH48" s="312">
        <f>G48-SUM(H48:AG48)</f>
        <v>0</v>
      </c>
      <c r="AS48" s="277">
        <v>5</v>
      </c>
      <c r="AT48" s="268" t="s">
        <v>713</v>
      </c>
      <c r="AU48" s="276">
        <f>BC52</f>
        <v>0</v>
      </c>
      <c r="AV48" s="276"/>
      <c r="AZ48" s="457"/>
      <c r="BA48" s="458"/>
      <c r="BB48" s="458"/>
      <c r="BC48" s="458"/>
      <c r="BD48" s="450"/>
    </row>
    <row r="49" spans="2:67" ht="18.75" customHeight="1" thickBot="1" x14ac:dyDescent="0.3">
      <c r="B49" s="230" t="s">
        <v>689</v>
      </c>
      <c r="C49" s="235"/>
      <c r="D49" s="239">
        <f>SUM(D46:D48)</f>
        <v>0</v>
      </c>
      <c r="E49" s="239">
        <f>SUM(E46:E48)</f>
        <v>0</v>
      </c>
      <c r="F49" s="239">
        <f>SUM(F46:F48)</f>
        <v>0</v>
      </c>
      <c r="G49" s="288">
        <f>SUM(G46:G48)</f>
        <v>0</v>
      </c>
      <c r="H49" s="303"/>
      <c r="I49" s="285"/>
      <c r="J49" s="386"/>
      <c r="K49" s="387"/>
      <c r="L49" s="297"/>
      <c r="M49" s="404"/>
      <c r="N49" s="318"/>
      <c r="O49" s="319"/>
      <c r="P49" s="297"/>
      <c r="Q49" s="319"/>
      <c r="R49" s="318"/>
      <c r="S49" s="319"/>
      <c r="T49" s="318"/>
      <c r="U49" s="319"/>
      <c r="V49" s="386"/>
      <c r="W49" s="387"/>
      <c r="X49" s="386"/>
      <c r="Y49" s="387"/>
      <c r="Z49" s="323"/>
      <c r="AA49" s="323"/>
      <c r="AB49" s="386"/>
      <c r="AC49" s="387"/>
      <c r="AD49" s="323"/>
      <c r="AE49" s="323"/>
      <c r="AF49" s="318"/>
      <c r="AG49" s="319"/>
      <c r="AH49" s="313">
        <f>SUM(AH46:AH48)</f>
        <v>0</v>
      </c>
      <c r="AT49" s="268" t="s">
        <v>709</v>
      </c>
      <c r="AU49" s="276"/>
      <c r="AV49" s="276">
        <f>BC52</f>
        <v>0</v>
      </c>
      <c r="BO49" s="402" t="s">
        <v>749</v>
      </c>
    </row>
    <row r="50" spans="2:67" ht="18.75" customHeight="1" x14ac:dyDescent="0.25">
      <c r="B50" s="233"/>
      <c r="C50" s="235"/>
      <c r="D50" s="236"/>
      <c r="E50" s="236"/>
      <c r="F50" s="236"/>
      <c r="G50" s="285"/>
      <c r="H50" s="303"/>
      <c r="I50" s="285"/>
      <c r="J50" s="383"/>
      <c r="K50" s="384"/>
      <c r="L50" s="295"/>
      <c r="M50" s="285"/>
      <c r="N50" s="303"/>
      <c r="O50" s="304"/>
      <c r="P50" s="295"/>
      <c r="Q50" s="304"/>
      <c r="R50" s="303"/>
      <c r="S50" s="304"/>
      <c r="T50" s="303"/>
      <c r="U50" s="304"/>
      <c r="V50" s="383"/>
      <c r="W50" s="384"/>
      <c r="X50" s="383"/>
      <c r="Y50" s="384"/>
      <c r="Z50" s="321"/>
      <c r="AA50" s="321"/>
      <c r="AB50" s="383"/>
      <c r="AC50" s="384"/>
      <c r="AD50" s="321"/>
      <c r="AE50" s="321"/>
      <c r="AF50" s="303"/>
      <c r="AG50" s="304"/>
      <c r="AH50" s="295"/>
      <c r="AZ50" s="451" t="s">
        <v>710</v>
      </c>
      <c r="BA50" s="427"/>
      <c r="BB50" s="427"/>
      <c r="BC50" s="427"/>
      <c r="BD50" s="429"/>
      <c r="BO50" s="401"/>
    </row>
    <row r="51" spans="2:67" ht="18.75" customHeight="1" x14ac:dyDescent="0.25">
      <c r="B51" s="230" t="s">
        <v>84</v>
      </c>
      <c r="C51" s="235"/>
      <c r="D51" s="236"/>
      <c r="E51" s="236"/>
      <c r="F51" s="236"/>
      <c r="G51" s="285"/>
      <c r="H51" s="303"/>
      <c r="I51" s="285"/>
      <c r="J51" s="383"/>
      <c r="K51" s="384"/>
      <c r="L51" s="295"/>
      <c r="M51" s="285"/>
      <c r="N51" s="303"/>
      <c r="O51" s="304"/>
      <c r="P51" s="295"/>
      <c r="Q51" s="304"/>
      <c r="R51" s="303"/>
      <c r="S51" s="304"/>
      <c r="T51" s="303"/>
      <c r="U51" s="304"/>
      <c r="V51" s="383"/>
      <c r="W51" s="384"/>
      <c r="X51" s="383"/>
      <c r="Y51" s="384"/>
      <c r="Z51" s="321"/>
      <c r="AA51" s="321"/>
      <c r="AB51" s="383"/>
      <c r="AC51" s="384"/>
      <c r="AD51" s="321"/>
      <c r="AE51" s="321"/>
      <c r="AF51" s="303"/>
      <c r="AG51" s="304"/>
      <c r="AH51" s="295"/>
      <c r="AZ51" s="446" t="s">
        <v>712</v>
      </c>
      <c r="BA51" s="444"/>
      <c r="BB51" s="444"/>
      <c r="BC51" s="454"/>
      <c r="BD51" s="441"/>
      <c r="BO51" s="401"/>
    </row>
    <row r="52" spans="2:67" ht="18.75" customHeight="1" thickBot="1" x14ac:dyDescent="0.3">
      <c r="B52" s="233" t="s">
        <v>86</v>
      </c>
      <c r="C52" s="235"/>
      <c r="D52" s="245"/>
      <c r="E52" s="245"/>
      <c r="F52" s="245"/>
      <c r="G52" s="293">
        <f>SUM(D52:F52)</f>
        <v>0</v>
      </c>
      <c r="H52" s="305"/>
      <c r="I52" s="326"/>
      <c r="J52" s="385"/>
      <c r="K52" s="380"/>
      <c r="L52" s="296"/>
      <c r="M52" s="326"/>
      <c r="N52" s="305"/>
      <c r="O52" s="306"/>
      <c r="P52" s="296"/>
      <c r="Q52" s="306"/>
      <c r="R52" s="305">
        <f>SUMIF($AT$54:$AT$58,"DR Trade payables",$AU$54:$AU$58)</f>
        <v>500</v>
      </c>
      <c r="S52" s="306">
        <f>-SUMIF($AT$54:$AT$82,"CR Trade payables",$AV$54:$AV$82)</f>
        <v>0</v>
      </c>
      <c r="T52" s="305"/>
      <c r="U52" s="306"/>
      <c r="V52" s="385"/>
      <c r="W52" s="380"/>
      <c r="X52" s="385"/>
      <c r="Y52" s="380"/>
      <c r="Z52" s="322"/>
      <c r="AA52" s="322"/>
      <c r="AB52" s="385"/>
      <c r="AC52" s="380"/>
      <c r="AD52" s="322"/>
      <c r="AE52" s="322"/>
      <c r="AF52" s="305"/>
      <c r="AG52" s="306"/>
      <c r="AH52" s="312">
        <f>G52-SUM(H52:AG52)</f>
        <v>-500</v>
      </c>
      <c r="AZ52" s="446" t="str">
        <f>"NCI share of current year profit (*"&amp;BC11&amp;")"</f>
        <v>NCI share of current year profit (*)</v>
      </c>
      <c r="BA52" s="444"/>
      <c r="BB52" s="444"/>
      <c r="BC52" s="282">
        <f>BC51*BC11</f>
        <v>0</v>
      </c>
      <c r="BD52" s="441"/>
      <c r="BF52" s="280"/>
      <c r="BO52" s="402" t="s">
        <v>1448</v>
      </c>
    </row>
    <row r="53" spans="2:67" ht="18.75" customHeight="1" thickTop="1" thickBot="1" x14ac:dyDescent="0.3">
      <c r="B53" s="233" t="s">
        <v>690</v>
      </c>
      <c r="C53" s="235" t="s">
        <v>667</v>
      </c>
      <c r="D53" s="245"/>
      <c r="E53" s="245"/>
      <c r="F53" s="245"/>
      <c r="G53" s="293">
        <f>SUM(D53:F53)</f>
        <v>0</v>
      </c>
      <c r="H53" s="305"/>
      <c r="I53" s="326"/>
      <c r="J53" s="385"/>
      <c r="K53" s="380"/>
      <c r="L53" s="296"/>
      <c r="M53" s="326"/>
      <c r="N53" s="305"/>
      <c r="O53" s="306"/>
      <c r="P53" s="296"/>
      <c r="Q53" s="306"/>
      <c r="R53" s="305"/>
      <c r="S53" s="306"/>
      <c r="T53" s="305"/>
      <c r="U53" s="306"/>
      <c r="V53" s="385"/>
      <c r="W53" s="380"/>
      <c r="X53" s="385"/>
      <c r="Y53" s="380"/>
      <c r="Z53" s="322"/>
      <c r="AA53" s="322"/>
      <c r="AB53" s="385"/>
      <c r="AC53" s="380"/>
      <c r="AD53" s="322"/>
      <c r="AE53" s="322"/>
      <c r="AF53" s="305"/>
      <c r="AG53" s="306"/>
      <c r="AH53" s="312">
        <f>G53-SUM(H53:AG53)</f>
        <v>0</v>
      </c>
      <c r="AZ53" s="457"/>
      <c r="BA53" s="458"/>
      <c r="BB53" s="458"/>
      <c r="BC53" s="458"/>
      <c r="BD53" s="450"/>
      <c r="BF53" s="276"/>
      <c r="BO53" s="402" t="s">
        <v>772</v>
      </c>
    </row>
    <row r="54" spans="2:67" ht="18.75" customHeight="1" thickBot="1" x14ac:dyDescent="0.3">
      <c r="B54" s="233" t="s">
        <v>691</v>
      </c>
      <c r="C54" s="235" t="s">
        <v>667</v>
      </c>
      <c r="D54" s="245"/>
      <c r="E54" s="245"/>
      <c r="F54" s="245"/>
      <c r="G54" s="293">
        <f>SUM(D54:F54)</f>
        <v>0</v>
      </c>
      <c r="H54" s="305"/>
      <c r="I54" s="326"/>
      <c r="J54" s="385"/>
      <c r="K54" s="380"/>
      <c r="L54" s="296"/>
      <c r="M54" s="326"/>
      <c r="N54" s="305"/>
      <c r="O54" s="306"/>
      <c r="P54" s="296"/>
      <c r="Q54" s="306"/>
      <c r="R54" s="305"/>
      <c r="S54" s="306"/>
      <c r="T54" s="305"/>
      <c r="U54" s="306"/>
      <c r="V54" s="385"/>
      <c r="W54" s="380"/>
      <c r="X54" s="385"/>
      <c r="Y54" s="380"/>
      <c r="Z54" s="322"/>
      <c r="AA54" s="322"/>
      <c r="AB54" s="385"/>
      <c r="AC54" s="380"/>
      <c r="AD54" s="322"/>
      <c r="AE54" s="322"/>
      <c r="AF54" s="305"/>
      <c r="AG54" s="306"/>
      <c r="AH54" s="312">
        <f>G54-SUM(H54:AG54)</f>
        <v>0</v>
      </c>
      <c r="AS54" s="277">
        <v>6</v>
      </c>
      <c r="AT54" s="248" t="s">
        <v>823</v>
      </c>
      <c r="AU54" s="375">
        <f>BC56</f>
        <v>0</v>
      </c>
    </row>
    <row r="55" spans="2:67" ht="18.75" customHeight="1" x14ac:dyDescent="0.25">
      <c r="B55" s="233" t="s">
        <v>87</v>
      </c>
      <c r="C55" s="235"/>
      <c r="D55" s="245"/>
      <c r="E55" s="245"/>
      <c r="F55" s="245"/>
      <c r="G55" s="293">
        <f>SUM(D55:F55)</f>
        <v>0</v>
      </c>
      <c r="H55" s="305"/>
      <c r="I55" s="326"/>
      <c r="J55" s="385"/>
      <c r="K55" s="380"/>
      <c r="L55" s="296"/>
      <c r="M55" s="326"/>
      <c r="N55" s="305"/>
      <c r="O55" s="306"/>
      <c r="P55" s="296"/>
      <c r="Q55" s="306"/>
      <c r="R55" s="305"/>
      <c r="S55" s="306"/>
      <c r="T55" s="305"/>
      <c r="U55" s="306"/>
      <c r="V55" s="385"/>
      <c r="W55" s="380"/>
      <c r="X55" s="385"/>
      <c r="Y55" s="380"/>
      <c r="Z55" s="322"/>
      <c r="AA55" s="322"/>
      <c r="AB55" s="385"/>
      <c r="AC55" s="380"/>
      <c r="AD55" s="322"/>
      <c r="AE55" s="322"/>
      <c r="AF55" s="305"/>
      <c r="AG55" s="306"/>
      <c r="AH55" s="312">
        <f>G55-SUM(H55:AG55)</f>
        <v>0</v>
      </c>
      <c r="AT55" s="248" t="s">
        <v>813</v>
      </c>
      <c r="AV55" s="375">
        <f>BC56</f>
        <v>0</v>
      </c>
      <c r="AZ55" s="451" t="s">
        <v>767</v>
      </c>
      <c r="BA55" s="427"/>
      <c r="BB55" s="427"/>
      <c r="BC55" s="427"/>
      <c r="BD55" s="429"/>
    </row>
    <row r="56" spans="2:67" ht="18.75" customHeight="1" x14ac:dyDescent="0.25">
      <c r="B56" s="233" t="s">
        <v>692</v>
      </c>
      <c r="C56" s="235" t="s">
        <v>667</v>
      </c>
      <c r="D56" s="245"/>
      <c r="E56" s="245"/>
      <c r="F56" s="245"/>
      <c r="G56" s="293">
        <f>SUM(D56:F56)</f>
        <v>0</v>
      </c>
      <c r="H56" s="305"/>
      <c r="I56" s="326"/>
      <c r="J56" s="385"/>
      <c r="K56" s="380"/>
      <c r="L56" s="296"/>
      <c r="M56" s="326"/>
      <c r="N56" s="305"/>
      <c r="O56" s="306"/>
      <c r="P56" s="296"/>
      <c r="Q56" s="306"/>
      <c r="R56" s="305"/>
      <c r="S56" s="306"/>
      <c r="T56" s="305"/>
      <c r="U56" s="306"/>
      <c r="V56" s="385"/>
      <c r="W56" s="380"/>
      <c r="X56" s="385"/>
      <c r="Y56" s="380"/>
      <c r="Z56" s="322"/>
      <c r="AA56" s="322"/>
      <c r="AB56" s="385"/>
      <c r="AC56" s="380"/>
      <c r="AD56" s="322"/>
      <c r="AE56" s="322"/>
      <c r="AF56" s="305"/>
      <c r="AG56" s="306"/>
      <c r="AH56" s="312">
        <f>G56-SUM(H56:AG56)</f>
        <v>0</v>
      </c>
      <c r="AZ56" s="446" t="s">
        <v>768</v>
      </c>
      <c r="BA56" s="444"/>
      <c r="BB56" s="444"/>
      <c r="BC56" s="463"/>
      <c r="BD56" s="441"/>
    </row>
    <row r="57" spans="2:67" ht="18.75" customHeight="1" x14ac:dyDescent="0.25">
      <c r="B57" s="230" t="s">
        <v>693</v>
      </c>
      <c r="C57" s="235"/>
      <c r="D57" s="239">
        <f>SUM(D52:D56)</f>
        <v>0</v>
      </c>
      <c r="E57" s="239">
        <f>SUM(E52:E56)</f>
        <v>0</v>
      </c>
      <c r="F57" s="239">
        <f>SUM(F52:F56)</f>
        <v>0</v>
      </c>
      <c r="G57" s="288">
        <f>SUM(G52:G56)</f>
        <v>0</v>
      </c>
      <c r="H57" s="303"/>
      <c r="I57" s="285"/>
      <c r="J57" s="383"/>
      <c r="K57" s="384"/>
      <c r="L57" s="295"/>
      <c r="M57" s="285"/>
      <c r="N57" s="303"/>
      <c r="O57" s="304"/>
      <c r="P57" s="295"/>
      <c r="Q57" s="304"/>
      <c r="R57" s="303"/>
      <c r="S57" s="304"/>
      <c r="T57" s="303"/>
      <c r="U57" s="304"/>
      <c r="V57" s="383"/>
      <c r="W57" s="384"/>
      <c r="X57" s="383"/>
      <c r="Y57" s="384"/>
      <c r="Z57" s="321"/>
      <c r="AA57" s="321"/>
      <c r="AB57" s="383"/>
      <c r="AC57" s="384"/>
      <c r="AD57" s="321"/>
      <c r="AE57" s="321"/>
      <c r="AF57" s="303"/>
      <c r="AG57" s="304"/>
      <c r="AH57" s="313">
        <f>SUM(AH52:AH56)</f>
        <v>-500</v>
      </c>
      <c r="AT57" s="248" t="s">
        <v>814</v>
      </c>
      <c r="AU57" s="276">
        <f>BC57</f>
        <v>500</v>
      </c>
      <c r="AV57" s="276"/>
      <c r="AZ57" s="446" t="s">
        <v>815</v>
      </c>
      <c r="BA57" s="444"/>
      <c r="BB57" s="444"/>
      <c r="BC57" s="454">
        <v>500</v>
      </c>
      <c r="BD57" s="441"/>
    </row>
    <row r="58" spans="2:67" ht="18.75" customHeight="1" thickBot="1" x14ac:dyDescent="0.3">
      <c r="B58" s="230" t="s">
        <v>694</v>
      </c>
      <c r="C58" s="235"/>
      <c r="D58" s="239">
        <f>SUM(D49,D57)</f>
        <v>0</v>
      </c>
      <c r="E58" s="239">
        <f>SUM(E49,E57)</f>
        <v>0</v>
      </c>
      <c r="F58" s="239">
        <f>SUM(F49,F57)</f>
        <v>0</v>
      </c>
      <c r="G58" s="288">
        <f>SUM(G49,G57)</f>
        <v>0</v>
      </c>
      <c r="H58" s="303"/>
      <c r="I58" s="285"/>
      <c r="J58" s="383"/>
      <c r="K58" s="384"/>
      <c r="L58" s="295"/>
      <c r="M58" s="285"/>
      <c r="N58" s="303"/>
      <c r="O58" s="304"/>
      <c r="P58" s="295"/>
      <c r="Q58" s="304"/>
      <c r="R58" s="303"/>
      <c r="S58" s="304"/>
      <c r="T58" s="303"/>
      <c r="U58" s="304"/>
      <c r="V58" s="383"/>
      <c r="W58" s="384"/>
      <c r="X58" s="383"/>
      <c r="Y58" s="384"/>
      <c r="Z58" s="321"/>
      <c r="AA58" s="321"/>
      <c r="AB58" s="383"/>
      <c r="AC58" s="384"/>
      <c r="AD58" s="321"/>
      <c r="AE58" s="321"/>
      <c r="AF58" s="303"/>
      <c r="AG58" s="304"/>
      <c r="AH58" s="313">
        <f>SUM(AH49,AH57)</f>
        <v>-500</v>
      </c>
      <c r="AT58" s="248" t="s">
        <v>813</v>
      </c>
      <c r="AU58" s="276"/>
      <c r="AV58" s="276">
        <f>BC57</f>
        <v>500</v>
      </c>
      <c r="AZ58" s="457"/>
      <c r="BA58" s="458"/>
      <c r="BB58" s="458"/>
      <c r="BC58" s="458"/>
      <c r="BD58" s="450"/>
    </row>
    <row r="59" spans="2:67" ht="18.75" customHeight="1" thickBot="1" x14ac:dyDescent="0.3">
      <c r="B59" s="230" t="s">
        <v>695</v>
      </c>
      <c r="C59" s="235"/>
      <c r="D59" s="241">
        <f>SUM(D43,D58)</f>
        <v>0</v>
      </c>
      <c r="E59" s="241">
        <f>SUM(E43,E58)</f>
        <v>0</v>
      </c>
      <c r="F59" s="241">
        <f>SUM(F43,F58)</f>
        <v>0</v>
      </c>
      <c r="G59" s="290">
        <f>SUM(G43,G58)</f>
        <v>0</v>
      </c>
      <c r="H59" s="309"/>
      <c r="I59" s="355"/>
      <c r="J59" s="391"/>
      <c r="K59" s="392"/>
      <c r="L59" s="334"/>
      <c r="M59" s="355"/>
      <c r="N59" s="309"/>
      <c r="O59" s="310"/>
      <c r="P59" s="334"/>
      <c r="Q59" s="310"/>
      <c r="R59" s="309"/>
      <c r="S59" s="310"/>
      <c r="T59" s="309"/>
      <c r="U59" s="310"/>
      <c r="V59" s="391"/>
      <c r="W59" s="392"/>
      <c r="X59" s="391"/>
      <c r="Y59" s="392"/>
      <c r="Z59" s="379"/>
      <c r="AA59" s="379"/>
      <c r="AB59" s="391"/>
      <c r="AC59" s="392"/>
      <c r="AD59" s="379"/>
      <c r="AE59" s="379"/>
      <c r="AF59" s="309"/>
      <c r="AG59" s="310"/>
      <c r="AH59" s="314">
        <f>SUM(AH43,AH58)</f>
        <v>-500</v>
      </c>
    </row>
    <row r="60" spans="2:67" ht="15.75" thickBot="1" x14ac:dyDescent="0.3">
      <c r="H60" s="394"/>
      <c r="I60" s="398"/>
      <c r="J60" s="394"/>
      <c r="K60" s="395"/>
      <c r="L60" s="398"/>
      <c r="M60" s="398"/>
      <c r="N60" s="394"/>
      <c r="O60" s="395"/>
      <c r="AB60" s="394"/>
      <c r="AC60" s="395"/>
    </row>
    <row r="61" spans="2:67" ht="16.5" thickBot="1" x14ac:dyDescent="0.3">
      <c r="H61" s="394"/>
      <c r="I61" s="398"/>
      <c r="J61" s="394"/>
      <c r="K61" s="395"/>
      <c r="L61" s="398"/>
      <c r="M61" s="398"/>
      <c r="N61" s="394"/>
      <c r="O61" s="395"/>
      <c r="AB61" s="394"/>
      <c r="AC61" s="395"/>
      <c r="AS61" s="277">
        <v>7</v>
      </c>
      <c r="AT61" s="268" t="s">
        <v>776</v>
      </c>
      <c r="AU61" s="276">
        <f>BC65</f>
        <v>0</v>
      </c>
      <c r="AV61" s="276"/>
    </row>
    <row r="62" spans="2:67" ht="15.75" x14ac:dyDescent="0.25">
      <c r="H62" s="394"/>
      <c r="I62" s="398"/>
      <c r="J62" s="394"/>
      <c r="K62" s="395"/>
      <c r="L62" s="398"/>
      <c r="M62" s="398"/>
      <c r="N62" s="394"/>
      <c r="O62" s="395"/>
      <c r="AB62" s="394"/>
      <c r="AC62" s="395"/>
      <c r="AT62" s="268" t="s">
        <v>609</v>
      </c>
      <c r="AU62" s="276"/>
      <c r="AV62" s="276">
        <f>BC65</f>
        <v>0</v>
      </c>
      <c r="AZ62" s="451" t="s">
        <v>769</v>
      </c>
      <c r="BA62" s="427"/>
      <c r="BB62" s="427"/>
      <c r="BC62" s="427"/>
      <c r="BD62" s="429"/>
    </row>
    <row r="63" spans="2:67" ht="15.75" x14ac:dyDescent="0.25">
      <c r="B63" s="227" t="str">
        <f>B6</f>
        <v>Hawkins plc</v>
      </c>
      <c r="C63" s="800" t="s">
        <v>655</v>
      </c>
      <c r="D63" s="232" t="s">
        <v>761</v>
      </c>
      <c r="E63" s="325">
        <f>3/12</f>
        <v>0.25</v>
      </c>
      <c r="F63" s="283"/>
      <c r="G63" s="283"/>
      <c r="H63" s="396"/>
      <c r="I63" s="399"/>
      <c r="J63" s="420"/>
      <c r="K63" s="421"/>
      <c r="L63" s="393"/>
      <c r="M63" s="399"/>
      <c r="N63" s="396"/>
      <c r="O63" s="397"/>
      <c r="P63" s="393"/>
      <c r="Q63" s="300"/>
      <c r="R63" s="300"/>
      <c r="S63" s="300"/>
      <c r="T63" s="300"/>
      <c r="U63" s="300"/>
      <c r="V63" s="300"/>
      <c r="W63" s="300"/>
      <c r="X63" s="300"/>
      <c r="Y63" s="300"/>
      <c r="Z63" s="300"/>
      <c r="AA63" s="399"/>
      <c r="AB63" s="396"/>
      <c r="AC63" s="397"/>
      <c r="AD63" s="393"/>
      <c r="AE63" s="300"/>
      <c r="AF63" s="300"/>
      <c r="AG63" s="300"/>
      <c r="AH63" s="228"/>
      <c r="AU63" s="276"/>
      <c r="AV63" s="276"/>
      <c r="AZ63" s="446" t="s">
        <v>775</v>
      </c>
      <c r="BA63" s="444"/>
      <c r="BB63" s="444"/>
      <c r="BC63" s="454"/>
      <c r="BD63" s="441"/>
      <c r="BF63" s="280"/>
    </row>
    <row r="64" spans="2:67" ht="15.75" x14ac:dyDescent="0.25">
      <c r="B64" s="230" t="s">
        <v>13</v>
      </c>
      <c r="C64" s="801"/>
      <c r="D64" s="228"/>
      <c r="E64" s="228"/>
      <c r="F64" s="228"/>
      <c r="G64" s="283"/>
      <c r="H64" s="797">
        <v>1</v>
      </c>
      <c r="I64" s="803"/>
      <c r="J64" s="797">
        <v>2</v>
      </c>
      <c r="K64" s="798"/>
      <c r="L64" s="803">
        <v>3</v>
      </c>
      <c r="M64" s="803"/>
      <c r="N64" s="797">
        <v>4</v>
      </c>
      <c r="O64" s="798"/>
      <c r="P64" s="803">
        <v>5</v>
      </c>
      <c r="Q64" s="798"/>
      <c r="R64" s="797">
        <v>6</v>
      </c>
      <c r="S64" s="798"/>
      <c r="T64" s="797">
        <v>7</v>
      </c>
      <c r="U64" s="798"/>
      <c r="V64" s="797">
        <v>8</v>
      </c>
      <c r="W64" s="798"/>
      <c r="X64" s="808">
        <v>9</v>
      </c>
      <c r="Y64" s="808"/>
      <c r="Z64" s="803">
        <v>10</v>
      </c>
      <c r="AA64" s="803"/>
      <c r="AB64" s="797">
        <v>11</v>
      </c>
      <c r="AC64" s="798"/>
      <c r="AD64" s="803">
        <v>12</v>
      </c>
      <c r="AE64" s="798"/>
      <c r="AF64" s="797">
        <v>13</v>
      </c>
      <c r="AG64" s="798"/>
      <c r="AH64" s="311"/>
      <c r="AT64" s="268" t="s">
        <v>777</v>
      </c>
      <c r="AU64" s="276">
        <f>BC66</f>
        <v>0</v>
      </c>
      <c r="AV64" s="276"/>
      <c r="AZ64" s="446"/>
      <c r="BA64" s="444"/>
      <c r="BB64" s="444"/>
      <c r="BC64" s="444"/>
      <c r="BD64" s="441"/>
    </row>
    <row r="65" spans="2:67" ht="16.5" thickBot="1" x14ac:dyDescent="0.3">
      <c r="B65" s="231" t="s">
        <v>717</v>
      </c>
      <c r="C65" s="802"/>
      <c r="D65" s="232" t="s">
        <v>657</v>
      </c>
      <c r="E65" s="232" t="s">
        <v>658</v>
      </c>
      <c r="F65" s="232" t="s">
        <v>658</v>
      </c>
      <c r="G65" s="284" t="s">
        <v>659</v>
      </c>
      <c r="H65" s="301" t="s">
        <v>718</v>
      </c>
      <c r="I65" s="284" t="s">
        <v>719</v>
      </c>
      <c r="J65" s="301" t="s">
        <v>718</v>
      </c>
      <c r="K65" s="284" t="s">
        <v>719</v>
      </c>
      <c r="L65" s="294" t="s">
        <v>718</v>
      </c>
      <c r="M65" s="284" t="s">
        <v>719</v>
      </c>
      <c r="N65" s="301" t="s">
        <v>718</v>
      </c>
      <c r="O65" s="302" t="s">
        <v>719</v>
      </c>
      <c r="P65" s="294" t="s">
        <v>718</v>
      </c>
      <c r="Q65" s="302" t="s">
        <v>719</v>
      </c>
      <c r="R65" s="301" t="s">
        <v>718</v>
      </c>
      <c r="S65" s="302" t="s">
        <v>719</v>
      </c>
      <c r="T65" s="301" t="s">
        <v>718</v>
      </c>
      <c r="U65" s="302" t="s">
        <v>719</v>
      </c>
      <c r="V65" s="301" t="s">
        <v>718</v>
      </c>
      <c r="W65" s="302" t="s">
        <v>719</v>
      </c>
      <c r="X65" s="475" t="s">
        <v>718</v>
      </c>
      <c r="Y65" s="476" t="s">
        <v>719</v>
      </c>
      <c r="Z65" s="294" t="s">
        <v>718</v>
      </c>
      <c r="AA65" s="284" t="s">
        <v>719</v>
      </c>
      <c r="AB65" s="294" t="s">
        <v>718</v>
      </c>
      <c r="AC65" s="284" t="s">
        <v>719</v>
      </c>
      <c r="AD65" s="294" t="s">
        <v>718</v>
      </c>
      <c r="AE65" s="284" t="s">
        <v>719</v>
      </c>
      <c r="AF65" s="301" t="s">
        <v>718</v>
      </c>
      <c r="AG65" s="302" t="s">
        <v>719</v>
      </c>
      <c r="AH65" s="294" t="s">
        <v>662</v>
      </c>
      <c r="AT65" s="268" t="s">
        <v>609</v>
      </c>
      <c r="AU65" s="276"/>
      <c r="AV65" s="276">
        <f>BC66</f>
        <v>0</v>
      </c>
      <c r="AZ65" s="446" t="s">
        <v>773</v>
      </c>
      <c r="BA65" s="444"/>
      <c r="BB65" s="444"/>
      <c r="BC65" s="445">
        <f>BC63-BC66</f>
        <v>0</v>
      </c>
      <c r="BD65" s="441"/>
    </row>
    <row r="66" spans="2:67" ht="15.75" x14ac:dyDescent="0.25">
      <c r="B66" s="233"/>
      <c r="C66" s="234" t="s">
        <v>663</v>
      </c>
      <c r="D66" s="232" t="s">
        <v>10</v>
      </c>
      <c r="E66" s="232" t="s">
        <v>10</v>
      </c>
      <c r="F66" s="232" t="s">
        <v>10</v>
      </c>
      <c r="G66" s="284" t="s">
        <v>10</v>
      </c>
      <c r="H66" s="301" t="s">
        <v>10</v>
      </c>
      <c r="I66" s="284" t="s">
        <v>10</v>
      </c>
      <c r="J66" s="301" t="s">
        <v>10</v>
      </c>
      <c r="K66" s="284" t="s">
        <v>10</v>
      </c>
      <c r="L66" s="294" t="s">
        <v>10</v>
      </c>
      <c r="M66" s="284" t="s">
        <v>10</v>
      </c>
      <c r="N66" s="301" t="s">
        <v>10</v>
      </c>
      <c r="O66" s="302" t="s">
        <v>10</v>
      </c>
      <c r="P66" s="294" t="s">
        <v>10</v>
      </c>
      <c r="Q66" s="302" t="s">
        <v>10</v>
      </c>
      <c r="R66" s="301" t="s">
        <v>10</v>
      </c>
      <c r="S66" s="302" t="s">
        <v>10</v>
      </c>
      <c r="T66" s="301" t="s">
        <v>10</v>
      </c>
      <c r="U66" s="302" t="s">
        <v>10</v>
      </c>
      <c r="V66" s="301" t="s">
        <v>10</v>
      </c>
      <c r="W66" s="302" t="s">
        <v>10</v>
      </c>
      <c r="X66" s="301" t="s">
        <v>10</v>
      </c>
      <c r="Y66" s="302" t="s">
        <v>10</v>
      </c>
      <c r="Z66" s="294" t="s">
        <v>10</v>
      </c>
      <c r="AA66" s="284" t="s">
        <v>10</v>
      </c>
      <c r="AB66" s="294" t="s">
        <v>10</v>
      </c>
      <c r="AC66" s="284" t="s">
        <v>10</v>
      </c>
      <c r="AD66" s="294" t="s">
        <v>10</v>
      </c>
      <c r="AE66" s="284" t="s">
        <v>10</v>
      </c>
      <c r="AF66" s="301" t="s">
        <v>10</v>
      </c>
      <c r="AG66" s="302" t="s">
        <v>10</v>
      </c>
      <c r="AH66" s="294" t="s">
        <v>10</v>
      </c>
      <c r="AZ66" s="446" t="s">
        <v>774</v>
      </c>
      <c r="BA66" s="444"/>
      <c r="BB66" s="444"/>
      <c r="BC66" s="445">
        <f>BC63*BC11</f>
        <v>0</v>
      </c>
      <c r="BD66" s="441"/>
    </row>
    <row r="67" spans="2:67" ht="16.5" thickBot="1" x14ac:dyDescent="0.3">
      <c r="B67" s="230" t="s">
        <v>58</v>
      </c>
      <c r="C67" s="235"/>
      <c r="D67" s="237"/>
      <c r="E67" s="237"/>
      <c r="F67" s="237"/>
      <c r="G67" s="286">
        <f>SUM(D67:F67)</f>
        <v>0</v>
      </c>
      <c r="H67" s="305"/>
      <c r="I67" s="326"/>
      <c r="J67" s="385"/>
      <c r="K67" s="380"/>
      <c r="L67" s="296"/>
      <c r="M67" s="326"/>
      <c r="N67" s="305"/>
      <c r="O67" s="306"/>
      <c r="P67" s="296"/>
      <c r="Q67" s="306"/>
      <c r="R67" s="305">
        <f>SUMIF($AT$54:$AT$58,"DR SPL - Revenue",$AU$54:$AU$58)</f>
        <v>0</v>
      </c>
      <c r="S67" s="306">
        <f>SUMIF($AT$54:$AT$58,"CR SPL - Revenue",$AV$54:$AV$58)</f>
        <v>0</v>
      </c>
      <c r="T67" s="305">
        <f>SUMIF($AT$61:$AT$65,"DR SPL - Revenue",$AU$61:$AU$65)</f>
        <v>0</v>
      </c>
      <c r="U67" s="306">
        <f>SUMIF($AT$61:$AT$65,"CR SPL - Revenue",$AV$61:$AV$65)</f>
        <v>0</v>
      </c>
      <c r="V67" s="305">
        <f>SUMIF($AT$69:$AT$76,"DR SPL - Revenue",$AU$69:$AU$76)</f>
        <v>0</v>
      </c>
      <c r="W67" s="306">
        <f>SUMIF($AT$69:$AT$76,"CR SPL - Revenue",$AV$69:$AV$76)</f>
        <v>0</v>
      </c>
      <c r="X67" s="385"/>
      <c r="Y67" s="380"/>
      <c r="Z67" s="322"/>
      <c r="AA67" s="322"/>
      <c r="AB67" s="385"/>
      <c r="AC67" s="380"/>
      <c r="AD67" s="322"/>
      <c r="AE67" s="322"/>
      <c r="AF67" s="305"/>
      <c r="AG67" s="306"/>
      <c r="AH67" s="312">
        <f>G67-SUM(H67:AG67)</f>
        <v>0</v>
      </c>
      <c r="AZ67" s="457"/>
      <c r="BA67" s="458"/>
      <c r="BB67" s="458"/>
      <c r="BC67" s="458"/>
      <c r="BD67" s="450"/>
    </row>
    <row r="68" spans="2:67" ht="16.5" thickBot="1" x14ac:dyDescent="0.3">
      <c r="B68" s="230"/>
      <c r="C68" s="235"/>
      <c r="D68" s="249"/>
      <c r="E68" s="249"/>
      <c r="F68" s="249"/>
      <c r="G68" s="331"/>
      <c r="H68" s="305"/>
      <c r="I68" s="326"/>
      <c r="J68" s="385"/>
      <c r="K68" s="380"/>
      <c r="L68" s="296"/>
      <c r="M68" s="326"/>
      <c r="N68" s="305"/>
      <c r="O68" s="306"/>
      <c r="P68" s="296"/>
      <c r="Q68" s="306"/>
      <c r="R68" s="305"/>
      <c r="S68" s="306"/>
      <c r="T68" s="305"/>
      <c r="U68" s="306"/>
      <c r="V68" s="385"/>
      <c r="W68" s="380"/>
      <c r="X68" s="385"/>
      <c r="Y68" s="380"/>
      <c r="Z68" s="322"/>
      <c r="AA68" s="322"/>
      <c r="AB68" s="385"/>
      <c r="AC68" s="380"/>
      <c r="AD68" s="322"/>
      <c r="AE68" s="322"/>
      <c r="AF68" s="305"/>
      <c r="AG68" s="306"/>
      <c r="AH68" s="295"/>
    </row>
    <row r="69" spans="2:67" ht="16.5" thickBot="1" x14ac:dyDescent="0.3">
      <c r="B69" s="230"/>
      <c r="C69" s="235"/>
      <c r="D69" s="249"/>
      <c r="E69" s="249"/>
      <c r="F69" s="249"/>
      <c r="G69" s="331"/>
      <c r="H69" s="305"/>
      <c r="I69" s="326"/>
      <c r="J69" s="385"/>
      <c r="K69" s="380"/>
      <c r="L69" s="296"/>
      <c r="M69" s="326"/>
      <c r="N69" s="305"/>
      <c r="O69" s="306"/>
      <c r="P69" s="296"/>
      <c r="Q69" s="306"/>
      <c r="R69" s="305"/>
      <c r="S69" s="306"/>
      <c r="T69" s="305"/>
      <c r="U69" s="306"/>
      <c r="V69" s="385"/>
      <c r="W69" s="380"/>
      <c r="X69" s="385"/>
      <c r="Y69" s="380"/>
      <c r="Z69" s="322"/>
      <c r="AA69" s="322"/>
      <c r="AB69" s="385"/>
      <c r="AC69" s="380"/>
      <c r="AD69" s="322"/>
      <c r="AE69" s="322"/>
      <c r="AF69" s="305"/>
      <c r="AG69" s="306"/>
      <c r="AH69" s="295"/>
      <c r="AS69" s="277">
        <v>8</v>
      </c>
      <c r="AT69" s="268" t="s">
        <v>779</v>
      </c>
      <c r="AU69" s="276">
        <f>BC71</f>
        <v>0</v>
      </c>
      <c r="AZ69" s="642" t="s">
        <v>778</v>
      </c>
      <c r="BA69" s="427"/>
      <c r="BB69" s="427"/>
      <c r="BC69" s="427"/>
      <c r="BD69" s="429"/>
    </row>
    <row r="70" spans="2:67" ht="15.75" x14ac:dyDescent="0.25">
      <c r="B70" s="233" t="s">
        <v>67</v>
      </c>
      <c r="C70" s="235"/>
      <c r="D70" s="238"/>
      <c r="E70" s="238"/>
      <c r="F70" s="238"/>
      <c r="G70" s="286">
        <f>SUM(D70:F70)</f>
        <v>0</v>
      </c>
      <c r="H70" s="305"/>
      <c r="I70" s="326"/>
      <c r="J70" s="385"/>
      <c r="K70" s="380"/>
      <c r="L70" s="296"/>
      <c r="M70" s="326"/>
      <c r="N70" s="305"/>
      <c r="O70" s="306"/>
      <c r="P70" s="296"/>
      <c r="Q70" s="306"/>
      <c r="R70" s="305">
        <f>SUMIF($AT$54:$AT$58,"DR SPL - Cost of sales",$AU$54:$AU$58)</f>
        <v>0</v>
      </c>
      <c r="S70" s="306">
        <f>-SUMIF($AT$54:$AT$58,"CR SPL - Cost of sales",$AV$54:$AV$58)</f>
        <v>0</v>
      </c>
      <c r="T70" s="305">
        <f>SUMIF($AT$61:$AT$65,"DR SPL - Cost of sales",$AU$61:$AU$65)</f>
        <v>0</v>
      </c>
      <c r="U70" s="306">
        <f>-SUMIF($AT$61:$AT$65,"CR SPL - Cost of sales",$AV$61:$AV$65)</f>
        <v>0</v>
      </c>
      <c r="V70" s="305">
        <f>SUMIF($AT$69:$AT$76,"DR SPL - Cost of sales",$AU$69:$AU$76)</f>
        <v>0</v>
      </c>
      <c r="W70" s="306">
        <f>-SUMIF($AT$69:$AT$76,"CR SPL - Cost of sales",$AV$69:$AV$76)</f>
        <v>0</v>
      </c>
      <c r="X70" s="385"/>
      <c r="Y70" s="380"/>
      <c r="Z70" s="322"/>
      <c r="AA70" s="322"/>
      <c r="AB70" s="385"/>
      <c r="AC70" s="380"/>
      <c r="AD70" s="305">
        <f>SUMIF($AT$109:$AT$116,"DR SPL - cost of sales",$AU$109:$AU$116)</f>
        <v>0</v>
      </c>
      <c r="AE70" s="306">
        <f>-SUMIF($AT$109:$AT$116,"CR SPL - cost of sales",$AV$109:$AV$116)</f>
        <v>0</v>
      </c>
      <c r="AF70" s="305"/>
      <c r="AG70" s="306"/>
      <c r="AH70" s="312">
        <f>G70+SUM(H70:AG70)</f>
        <v>0</v>
      </c>
      <c r="AT70" s="268" t="s">
        <v>787</v>
      </c>
      <c r="AV70" s="275">
        <f>BC71</f>
        <v>0</v>
      </c>
      <c r="AZ70" s="464" t="s">
        <v>811</v>
      </c>
      <c r="BA70" s="444"/>
      <c r="BB70" s="444"/>
      <c r="BC70" s="444"/>
      <c r="BD70" s="441"/>
      <c r="BJ70" s="280"/>
      <c r="BO70" s="402" t="s">
        <v>780</v>
      </c>
    </row>
    <row r="71" spans="2:67" x14ac:dyDescent="0.25">
      <c r="B71" s="233"/>
      <c r="C71" s="235"/>
      <c r="D71" s="236"/>
      <c r="E71" s="236"/>
      <c r="F71" s="236"/>
      <c r="G71" s="285"/>
      <c r="H71" s="305"/>
      <c r="I71" s="326"/>
      <c r="J71" s="385"/>
      <c r="K71" s="380"/>
      <c r="L71" s="296"/>
      <c r="M71" s="326"/>
      <c r="N71" s="305"/>
      <c r="O71" s="306"/>
      <c r="P71" s="296"/>
      <c r="Q71" s="306"/>
      <c r="R71" s="305"/>
      <c r="S71" s="306"/>
      <c r="T71" s="305"/>
      <c r="U71" s="306"/>
      <c r="V71" s="385"/>
      <c r="W71" s="380"/>
      <c r="X71" s="385"/>
      <c r="Y71" s="380"/>
      <c r="Z71" s="322"/>
      <c r="AA71" s="322"/>
      <c r="AB71" s="385"/>
      <c r="AC71" s="380"/>
      <c r="AD71" s="305"/>
      <c r="AE71" s="306"/>
      <c r="AF71" s="305"/>
      <c r="AG71" s="306"/>
      <c r="AH71" s="295"/>
      <c r="AT71" s="268" t="s">
        <v>322</v>
      </c>
      <c r="AU71" s="275">
        <f>BC76</f>
        <v>0</v>
      </c>
      <c r="AZ71" s="446" t="s">
        <v>781</v>
      </c>
      <c r="BA71" s="444"/>
      <c r="BB71" s="444"/>
      <c r="BC71" s="454"/>
      <c r="BD71" s="441"/>
      <c r="BJ71" s="280"/>
    </row>
    <row r="72" spans="2:67" x14ac:dyDescent="0.25">
      <c r="B72" s="233"/>
      <c r="C72" s="235"/>
      <c r="D72" s="249"/>
      <c r="E72" s="249"/>
      <c r="F72" s="249"/>
      <c r="G72" s="331"/>
      <c r="H72" s="305"/>
      <c r="I72" s="326"/>
      <c r="J72" s="385"/>
      <c r="K72" s="380"/>
      <c r="L72" s="296"/>
      <c r="M72" s="326"/>
      <c r="N72" s="305"/>
      <c r="O72" s="306"/>
      <c r="P72" s="296"/>
      <c r="Q72" s="306"/>
      <c r="R72" s="305"/>
      <c r="S72" s="306"/>
      <c r="T72" s="305"/>
      <c r="U72" s="306"/>
      <c r="V72" s="385"/>
      <c r="W72" s="380"/>
      <c r="X72" s="385"/>
      <c r="Y72" s="380"/>
      <c r="Z72" s="322"/>
      <c r="AA72" s="322"/>
      <c r="AB72" s="385"/>
      <c r="AC72" s="380"/>
      <c r="AD72" s="322"/>
      <c r="AE72" s="322"/>
      <c r="AF72" s="305"/>
      <c r="AG72" s="306"/>
      <c r="AH72" s="333"/>
      <c r="AT72" s="268" t="s">
        <v>819</v>
      </c>
      <c r="AV72" s="275">
        <f>BC76</f>
        <v>0</v>
      </c>
      <c r="AZ72" s="446" t="s">
        <v>782</v>
      </c>
      <c r="BA72" s="440"/>
      <c r="BB72" s="440"/>
      <c r="BC72" s="454"/>
      <c r="BD72" s="441"/>
    </row>
    <row r="73" spans="2:67" x14ac:dyDescent="0.25">
      <c r="B73" s="233" t="s">
        <v>720</v>
      </c>
      <c r="C73" s="235"/>
      <c r="D73" s="242">
        <f>D67-D70</f>
        <v>0</v>
      </c>
      <c r="E73" s="242">
        <f>E67-E70</f>
        <v>0</v>
      </c>
      <c r="F73" s="242">
        <f>F67-F70</f>
        <v>0</v>
      </c>
      <c r="G73" s="291">
        <f>G67-G70</f>
        <v>0</v>
      </c>
      <c r="H73" s="303"/>
      <c r="I73" s="285"/>
      <c r="J73" s="383"/>
      <c r="K73" s="384"/>
      <c r="L73" s="295"/>
      <c r="M73" s="285"/>
      <c r="N73" s="303"/>
      <c r="O73" s="304"/>
      <c r="P73" s="295"/>
      <c r="Q73" s="304"/>
      <c r="R73" s="303"/>
      <c r="S73" s="304"/>
      <c r="T73" s="303"/>
      <c r="U73" s="304"/>
      <c r="V73" s="383"/>
      <c r="W73" s="384"/>
      <c r="X73" s="383"/>
      <c r="Y73" s="384"/>
      <c r="Z73" s="321"/>
      <c r="AA73" s="321"/>
      <c r="AB73" s="383"/>
      <c r="AC73" s="384"/>
      <c r="AD73" s="321"/>
      <c r="AE73" s="321"/>
      <c r="AF73" s="303"/>
      <c r="AG73" s="304"/>
      <c r="AH73" s="315">
        <f>AH67-AH70</f>
        <v>0</v>
      </c>
      <c r="AZ73" s="446" t="s">
        <v>783</v>
      </c>
      <c r="BA73" s="444"/>
      <c r="BB73" s="444"/>
      <c r="BC73" s="364">
        <f>BC71-BC72</f>
        <v>0</v>
      </c>
      <c r="BD73" s="441"/>
    </row>
    <row r="74" spans="2:67" x14ac:dyDescent="0.25">
      <c r="B74" s="233" t="s">
        <v>95</v>
      </c>
      <c r="C74" s="235"/>
      <c r="D74" s="238"/>
      <c r="E74" s="238"/>
      <c r="F74" s="238"/>
      <c r="G74" s="286">
        <f>SUM(D74:F74)</f>
        <v>0</v>
      </c>
      <c r="H74" s="305"/>
      <c r="I74" s="326"/>
      <c r="J74" s="385"/>
      <c r="K74" s="380"/>
      <c r="L74" s="296"/>
      <c r="M74" s="326"/>
      <c r="N74" s="305"/>
      <c r="O74" s="306"/>
      <c r="P74" s="296"/>
      <c r="Q74" s="306"/>
      <c r="R74" s="305"/>
      <c r="S74" s="306"/>
      <c r="T74" s="305"/>
      <c r="U74" s="306"/>
      <c r="V74" s="385"/>
      <c r="W74" s="380"/>
      <c r="X74" s="385">
        <f>SUMIF($AT$81:$AT$82,"DR SPL - Other income",$AU$81:$AU$82)</f>
        <v>0</v>
      </c>
      <c r="Y74" s="380"/>
      <c r="Z74" s="322">
        <f>SUMIF($AT$86:$AT$97,"DR SPL - gain on sale",AU$86:AU$97)</f>
        <v>0</v>
      </c>
      <c r="AA74" s="322">
        <f>SUMIF($AT$86:$AT$97,"CR SPL - gain on sale",AV$86:AV$97)</f>
        <v>0</v>
      </c>
      <c r="AB74" s="385"/>
      <c r="AC74" s="380"/>
      <c r="AD74" s="322"/>
      <c r="AE74" s="322"/>
      <c r="AF74" s="305"/>
      <c r="AG74" s="306"/>
      <c r="AH74" s="312">
        <f>G74-H74-H75-H76+I76+I75+I74</f>
        <v>0</v>
      </c>
      <c r="AZ74" s="439"/>
      <c r="BA74" s="440"/>
      <c r="BB74" s="440"/>
      <c r="BC74" s="440"/>
      <c r="BD74" s="441"/>
    </row>
    <row r="75" spans="2:67" x14ac:dyDescent="0.25">
      <c r="B75" s="233"/>
      <c r="C75" s="235"/>
      <c r="D75" s="236"/>
      <c r="E75" s="236"/>
      <c r="F75" s="236"/>
      <c r="G75" s="285"/>
      <c r="H75" s="305"/>
      <c r="I75" s="326"/>
      <c r="J75" s="385"/>
      <c r="K75" s="380"/>
      <c r="L75" s="296"/>
      <c r="M75" s="326"/>
      <c r="N75" s="305"/>
      <c r="O75" s="306"/>
      <c r="P75" s="296"/>
      <c r="Q75" s="306"/>
      <c r="R75" s="305"/>
      <c r="S75" s="306"/>
      <c r="T75" s="305"/>
      <c r="U75" s="306"/>
      <c r="V75" s="385"/>
      <c r="W75" s="380"/>
      <c r="X75" s="385"/>
      <c r="Y75" s="380"/>
      <c r="Z75" s="322"/>
      <c r="AA75" s="322"/>
      <c r="AB75" s="385"/>
      <c r="AC75" s="380"/>
      <c r="AD75" s="322"/>
      <c r="AE75" s="322"/>
      <c r="AF75" s="305"/>
      <c r="AG75" s="306"/>
      <c r="AH75" s="295"/>
      <c r="AT75" s="268" t="s">
        <v>777</v>
      </c>
      <c r="AU75" s="275">
        <f>BC79</f>
        <v>0</v>
      </c>
      <c r="AZ75" s="446" t="s">
        <v>784</v>
      </c>
      <c r="BA75" s="440"/>
      <c r="BB75" s="440"/>
      <c r="BC75" s="104">
        <f>0.4*BC73</f>
        <v>0</v>
      </c>
      <c r="BD75" s="441"/>
    </row>
    <row r="76" spans="2:67" ht="15.75" thickBot="1" x14ac:dyDescent="0.3">
      <c r="B76" s="233"/>
      <c r="C76" s="235"/>
      <c r="D76" s="236"/>
      <c r="E76" s="236"/>
      <c r="F76" s="236"/>
      <c r="G76" s="285"/>
      <c r="H76" s="305"/>
      <c r="I76" s="326"/>
      <c r="J76" s="385"/>
      <c r="K76" s="380"/>
      <c r="L76" s="296"/>
      <c r="M76" s="326"/>
      <c r="N76" s="305"/>
      <c r="O76" s="306"/>
      <c r="P76" s="296"/>
      <c r="Q76" s="306"/>
      <c r="R76" s="305"/>
      <c r="S76" s="306"/>
      <c r="T76" s="305"/>
      <c r="U76" s="306"/>
      <c r="V76" s="385"/>
      <c r="W76" s="380"/>
      <c r="X76" s="385"/>
      <c r="Y76" s="380"/>
      <c r="Z76" s="322"/>
      <c r="AA76" s="322"/>
      <c r="AB76" s="385"/>
      <c r="AC76" s="380"/>
      <c r="AD76" s="322"/>
      <c r="AE76" s="322"/>
      <c r="AF76" s="305"/>
      <c r="AG76" s="306"/>
      <c r="AH76" s="295"/>
      <c r="AT76" s="268" t="s">
        <v>713</v>
      </c>
      <c r="AV76" s="275">
        <f>BC79</f>
        <v>0</v>
      </c>
      <c r="AZ76" s="446" t="s">
        <v>785</v>
      </c>
      <c r="BA76" s="440"/>
      <c r="BB76" s="440"/>
      <c r="BC76" s="367">
        <f>BC73-BC75</f>
        <v>0</v>
      </c>
      <c r="BD76" s="441"/>
      <c r="BE76" s="402" t="s">
        <v>1582</v>
      </c>
    </row>
    <row r="77" spans="2:67" ht="15.75" thickTop="1" x14ac:dyDescent="0.25">
      <c r="B77" s="233" t="s">
        <v>721</v>
      </c>
      <c r="C77" s="235"/>
      <c r="D77" s="250"/>
      <c r="E77" s="250"/>
      <c r="F77" s="250"/>
      <c r="G77" s="286">
        <f>SUM(D77:F77)</f>
        <v>0</v>
      </c>
      <c r="H77" s="305"/>
      <c r="I77" s="326"/>
      <c r="J77" s="385"/>
      <c r="K77" s="380"/>
      <c r="L77" s="296"/>
      <c r="M77" s="326"/>
      <c r="N77" s="305"/>
      <c r="O77" s="306"/>
      <c r="P77" s="296"/>
      <c r="Q77" s="306"/>
      <c r="R77" s="305"/>
      <c r="S77" s="306"/>
      <c r="T77" s="305"/>
      <c r="U77" s="306"/>
      <c r="V77" s="385"/>
      <c r="W77" s="380"/>
      <c r="X77" s="385"/>
      <c r="Y77" s="380"/>
      <c r="Z77" s="322"/>
      <c r="AA77" s="322"/>
      <c r="AB77" s="385"/>
      <c r="AC77" s="380"/>
      <c r="AD77" s="322"/>
      <c r="AE77" s="322"/>
      <c r="AF77" s="305"/>
      <c r="AG77" s="306"/>
      <c r="AH77" s="312">
        <f>G77+H77+H78+H79-I79-I78-I77</f>
        <v>0</v>
      </c>
      <c r="AZ77" s="439"/>
      <c r="BA77" s="440"/>
      <c r="BB77" s="440"/>
      <c r="BC77" s="440"/>
      <c r="BD77" s="441"/>
      <c r="BE77" s="402" t="s">
        <v>1583</v>
      </c>
    </row>
    <row r="78" spans="2:67" x14ac:dyDescent="0.25">
      <c r="B78" s="233"/>
      <c r="C78" s="235"/>
      <c r="D78" s="236"/>
      <c r="E78" s="236"/>
      <c r="F78" s="236"/>
      <c r="G78" s="285"/>
      <c r="H78" s="305"/>
      <c r="I78" s="326"/>
      <c r="J78" s="385"/>
      <c r="K78" s="380"/>
      <c r="L78" s="296"/>
      <c r="M78" s="326"/>
      <c r="N78" s="305"/>
      <c r="O78" s="306"/>
      <c r="P78" s="296"/>
      <c r="Q78" s="306"/>
      <c r="R78" s="305"/>
      <c r="S78" s="306"/>
      <c r="T78" s="305"/>
      <c r="U78" s="306"/>
      <c r="V78" s="385"/>
      <c r="W78" s="380"/>
      <c r="X78" s="385"/>
      <c r="Y78" s="380"/>
      <c r="Z78" s="322"/>
      <c r="AA78" s="322"/>
      <c r="AB78" s="385"/>
      <c r="AC78" s="380"/>
      <c r="AD78" s="322"/>
      <c r="AE78" s="322"/>
      <c r="AF78" s="305"/>
      <c r="AG78" s="306"/>
      <c r="AH78" s="295"/>
      <c r="AZ78" s="446"/>
      <c r="BA78" s="444"/>
      <c r="BB78" s="444"/>
      <c r="BC78" s="444"/>
      <c r="BD78" s="441"/>
    </row>
    <row r="79" spans="2:67" ht="15.75" thickBot="1" x14ac:dyDescent="0.3">
      <c r="B79" s="233"/>
      <c r="C79" s="235"/>
      <c r="D79" s="236"/>
      <c r="E79" s="236"/>
      <c r="F79" s="236"/>
      <c r="G79" s="285"/>
      <c r="H79" s="305"/>
      <c r="I79" s="326"/>
      <c r="J79" s="385"/>
      <c r="K79" s="380"/>
      <c r="L79" s="296"/>
      <c r="M79" s="326"/>
      <c r="N79" s="305"/>
      <c r="O79" s="306"/>
      <c r="P79" s="296"/>
      <c r="Q79" s="306"/>
      <c r="R79" s="305"/>
      <c r="S79" s="306"/>
      <c r="T79" s="305"/>
      <c r="U79" s="306"/>
      <c r="V79" s="385"/>
      <c r="W79" s="380"/>
      <c r="X79" s="385"/>
      <c r="Y79" s="380"/>
      <c r="Z79" s="322"/>
      <c r="AA79" s="322"/>
      <c r="AB79" s="385"/>
      <c r="AC79" s="380"/>
      <c r="AD79" s="322"/>
      <c r="AE79" s="322"/>
      <c r="AF79" s="305"/>
      <c r="AG79" s="306"/>
      <c r="AH79" s="295"/>
      <c r="AZ79" s="457" t="s">
        <v>786</v>
      </c>
      <c r="BA79" s="458"/>
      <c r="BB79" s="458"/>
      <c r="BC79" s="465">
        <f>IF(AZ70="Sub -&gt; Parent",BC76*BC11,0)</f>
        <v>0</v>
      </c>
      <c r="BD79" s="450"/>
      <c r="BE79" s="402" t="s">
        <v>1584</v>
      </c>
    </row>
    <row r="80" spans="2:67" ht="15.75" thickBot="1" x14ac:dyDescent="0.3">
      <c r="B80" s="233" t="s">
        <v>722</v>
      </c>
      <c r="C80" s="235"/>
      <c r="D80" s="250"/>
      <c r="E80" s="250"/>
      <c r="F80" s="250"/>
      <c r="G80" s="286">
        <f>SUM(D80:F80)</f>
        <v>0</v>
      </c>
      <c r="H80" s="305"/>
      <c r="I80" s="326"/>
      <c r="J80" s="385"/>
      <c r="K80" s="380"/>
      <c r="L80" s="296"/>
      <c r="M80" s="326"/>
      <c r="N80" s="305"/>
      <c r="O80" s="306"/>
      <c r="P80" s="296"/>
      <c r="Q80" s="306"/>
      <c r="R80" s="305">
        <f>SUMIF($AT$33:$AT$35,"DR SPL - Impairment loss",$AU$33:$AU$35)</f>
        <v>0</v>
      </c>
      <c r="S80" s="306">
        <f>SUMIF($AT$33:$AT$35,"CR SPL - Impairment loss",$AU$33:$AU$35)</f>
        <v>0</v>
      </c>
      <c r="T80" s="305">
        <f>SUMIF($AT$61:$AT$65,"DR SPL - Impairment loss",$AU$61:$AU$65)+SUMIF($AT$61:$AT$65,"DR SPL - Administrative Expenses",$AU$61:$AU$65)</f>
        <v>0</v>
      </c>
      <c r="U80" s="306">
        <f>SUMIF($AT$61:$AT$65,"CR SPL - Impairment loss",$AV$61:$AV$65)+SUMIF($AT$61:$AT$65,"CR SPL - Administrative Expenses",$AV$61:$AV$65)</f>
        <v>0</v>
      </c>
      <c r="V80" s="385"/>
      <c r="W80" s="380"/>
      <c r="X80" s="385"/>
      <c r="Y80" s="380">
        <f>-SUMIF($AT$81:$AT$82,"CR SPL - Administrative expenses",$AV$81:$AV$82)</f>
        <v>0</v>
      </c>
      <c r="Z80" s="322">
        <f>SUMIF($AT$86:$AT$97,"DR SPL - depreciation charge",AU$86:AU$97)</f>
        <v>0</v>
      </c>
      <c r="AA80" s="322">
        <f>SUMIF($AT$86:$AT$97,"CR SPL - depreciation charge",AV$86:AV$97)</f>
        <v>0</v>
      </c>
      <c r="AB80" s="385"/>
      <c r="AC80" s="380"/>
      <c r="AD80" s="305">
        <f>SUMIF($AT$109:$AT$116,"DR SPL - depreciation charge",$AU$109:$AU$116)</f>
        <v>0</v>
      </c>
      <c r="AE80" s="306">
        <f>-SUMIF($AT$109:$AT$116,"CR SPL - depreciation charge",$AV$109:$AV$116)</f>
        <v>0</v>
      </c>
      <c r="AF80" s="305"/>
      <c r="AG80" s="306"/>
      <c r="AH80" s="312">
        <f>G80+SUM(H80:AG80)</f>
        <v>0</v>
      </c>
    </row>
    <row r="81" spans="2:67" ht="16.5" thickBot="1" x14ac:dyDescent="0.3">
      <c r="B81" s="233"/>
      <c r="C81" s="235"/>
      <c r="D81" s="236"/>
      <c r="E81" s="236"/>
      <c r="F81" s="236"/>
      <c r="G81" s="285"/>
      <c r="H81" s="305"/>
      <c r="I81" s="326"/>
      <c r="J81" s="385"/>
      <c r="K81" s="380"/>
      <c r="L81" s="296"/>
      <c r="M81" s="326"/>
      <c r="N81" s="305"/>
      <c r="O81" s="306"/>
      <c r="P81" s="296"/>
      <c r="Q81" s="306"/>
      <c r="R81" s="305"/>
      <c r="S81" s="306"/>
      <c r="T81" s="305"/>
      <c r="U81" s="306"/>
      <c r="V81" s="385"/>
      <c r="W81" s="380"/>
      <c r="X81" s="385"/>
      <c r="Y81" s="380"/>
      <c r="Z81" s="322"/>
      <c r="AA81" s="322"/>
      <c r="AB81" s="385"/>
      <c r="AC81" s="380"/>
      <c r="AD81" s="322"/>
      <c r="AE81" s="322"/>
      <c r="AF81" s="305"/>
      <c r="AG81" s="306"/>
      <c r="AH81" s="295"/>
      <c r="AS81" s="277">
        <v>9</v>
      </c>
      <c r="AT81" s="268" t="s">
        <v>1093</v>
      </c>
      <c r="AU81" s="275">
        <f>BC82</f>
        <v>0</v>
      </c>
      <c r="AZ81" s="451" t="s">
        <v>790</v>
      </c>
      <c r="BA81" s="427"/>
      <c r="BB81" s="427"/>
      <c r="BC81" s="427"/>
      <c r="BD81" s="429"/>
    </row>
    <row r="82" spans="2:67" x14ac:dyDescent="0.25">
      <c r="B82" s="233" t="s">
        <v>939</v>
      </c>
      <c r="C82" s="235"/>
      <c r="D82" s="236"/>
      <c r="E82" s="236"/>
      <c r="F82" s="236"/>
      <c r="G82" s="285"/>
      <c r="H82" s="305"/>
      <c r="I82" s="326"/>
      <c r="J82" s="385"/>
      <c r="K82" s="380"/>
      <c r="L82" s="296"/>
      <c r="M82" s="326"/>
      <c r="N82" s="305"/>
      <c r="O82" s="306"/>
      <c r="P82" s="296"/>
      <c r="Q82" s="306"/>
      <c r="R82" s="305"/>
      <c r="S82" s="306"/>
      <c r="T82" s="305"/>
      <c r="U82" s="306"/>
      <c r="V82" s="385"/>
      <c r="W82" s="380"/>
      <c r="X82" s="385"/>
      <c r="Y82" s="380"/>
      <c r="Z82" s="322"/>
      <c r="AA82" s="322"/>
      <c r="AB82" s="385">
        <f>SUMIF($AT$100:$AT$104,"DR SPL - Loss on disposal",$AU$100:$AU$104)</f>
        <v>0</v>
      </c>
      <c r="AC82" s="380">
        <f>-SUMIF($AT$100:$AT$104,"CR SPL - gain on disposal",$AU$100:$AU$104)</f>
        <v>0</v>
      </c>
      <c r="AD82" s="322"/>
      <c r="AE82" s="322"/>
      <c r="AF82" s="305"/>
      <c r="AG82" s="306"/>
      <c r="AH82" s="295"/>
      <c r="AT82" s="268" t="s">
        <v>1094</v>
      </c>
      <c r="AV82" s="275">
        <f>BC82</f>
        <v>0</v>
      </c>
      <c r="AZ82" s="446" t="s">
        <v>1092</v>
      </c>
      <c r="BA82" s="444"/>
      <c r="BB82" s="444"/>
      <c r="BC82" s="454"/>
      <c r="BD82" s="441"/>
    </row>
    <row r="83" spans="2:67" ht="15.75" thickBot="1" x14ac:dyDescent="0.3">
      <c r="B83" s="233"/>
      <c r="C83" s="235"/>
      <c r="D83" s="236"/>
      <c r="E83" s="236"/>
      <c r="F83" s="236"/>
      <c r="G83" s="285"/>
      <c r="H83" s="305"/>
      <c r="I83" s="326"/>
      <c r="J83" s="385"/>
      <c r="K83" s="380"/>
      <c r="L83" s="296"/>
      <c r="M83" s="326"/>
      <c r="N83" s="305"/>
      <c r="O83" s="306"/>
      <c r="P83" s="296"/>
      <c r="Q83" s="306"/>
      <c r="R83" s="305"/>
      <c r="S83" s="306"/>
      <c r="T83" s="305"/>
      <c r="U83" s="306"/>
      <c r="V83" s="385"/>
      <c r="W83" s="380"/>
      <c r="X83" s="385"/>
      <c r="Y83" s="380"/>
      <c r="Z83" s="322"/>
      <c r="AA83" s="322"/>
      <c r="AB83" s="385"/>
      <c r="AC83" s="380"/>
      <c r="AD83" s="322"/>
      <c r="AE83" s="322"/>
      <c r="AF83" s="305"/>
      <c r="AG83" s="306"/>
      <c r="AH83" s="295"/>
      <c r="AZ83" s="457"/>
      <c r="BA83" s="458"/>
      <c r="BB83" s="458"/>
      <c r="BC83" s="458"/>
      <c r="BD83" s="450"/>
    </row>
    <row r="84" spans="2:67" ht="15.75" thickBot="1" x14ac:dyDescent="0.3">
      <c r="B84" s="233"/>
      <c r="C84" s="235"/>
      <c r="D84" s="236"/>
      <c r="E84" s="236"/>
      <c r="F84" s="236"/>
      <c r="G84" s="285"/>
      <c r="H84" s="305"/>
      <c r="I84" s="326"/>
      <c r="J84" s="385"/>
      <c r="K84" s="380"/>
      <c r="L84" s="296"/>
      <c r="M84" s="326"/>
      <c r="N84" s="305"/>
      <c r="O84" s="306"/>
      <c r="P84" s="296"/>
      <c r="Q84" s="306"/>
      <c r="R84" s="305"/>
      <c r="S84" s="306"/>
      <c r="T84" s="305"/>
      <c r="U84" s="306"/>
      <c r="V84" s="385"/>
      <c r="W84" s="380"/>
      <c r="X84" s="385"/>
      <c r="Y84" s="380"/>
      <c r="Z84" s="322"/>
      <c r="AA84" s="322"/>
      <c r="AB84" s="385"/>
      <c r="AC84" s="380"/>
      <c r="AD84" s="322"/>
      <c r="AE84" s="322"/>
      <c r="AF84" s="305"/>
      <c r="AG84" s="306"/>
      <c r="AH84" s="295"/>
    </row>
    <row r="85" spans="2:67" ht="16.5" thickBot="1" x14ac:dyDescent="0.3">
      <c r="B85" s="233" t="s">
        <v>723</v>
      </c>
      <c r="C85" s="235"/>
      <c r="D85" s="237"/>
      <c r="E85" s="237"/>
      <c r="F85" s="237"/>
      <c r="G85" s="286">
        <f>SUM(D85:F85)</f>
        <v>0</v>
      </c>
      <c r="H85" s="305"/>
      <c r="I85" s="326"/>
      <c r="J85" s="385"/>
      <c r="K85" s="380"/>
      <c r="L85" s="296"/>
      <c r="M85" s="326"/>
      <c r="N85" s="305"/>
      <c r="O85" s="306"/>
      <c r="P85" s="296"/>
      <c r="Q85" s="306"/>
      <c r="R85" s="305"/>
      <c r="S85" s="306"/>
      <c r="T85" s="305"/>
      <c r="U85" s="306"/>
      <c r="V85" s="385"/>
      <c r="W85" s="380"/>
      <c r="X85" s="385"/>
      <c r="Y85" s="380"/>
      <c r="Z85" s="322"/>
      <c r="AA85" s="322"/>
      <c r="AB85" s="385"/>
      <c r="AC85" s="380"/>
      <c r="AD85" s="322"/>
      <c r="AE85" s="322"/>
      <c r="AF85" s="305"/>
      <c r="AG85" s="306"/>
      <c r="AH85" s="312">
        <f>G85+H85+H86+H87-I87-I86-I85</f>
        <v>0</v>
      </c>
      <c r="AZ85" s="451" t="s">
        <v>793</v>
      </c>
      <c r="BA85" s="427"/>
      <c r="BB85" s="427"/>
      <c r="BC85" s="427"/>
      <c r="BD85" s="429"/>
      <c r="BE85" s="402" t="s">
        <v>794</v>
      </c>
    </row>
    <row r="86" spans="2:67" ht="16.5" thickBot="1" x14ac:dyDescent="0.3">
      <c r="B86" s="233"/>
      <c r="C86" s="235"/>
      <c r="D86" s="236"/>
      <c r="E86" s="236"/>
      <c r="F86" s="236"/>
      <c r="G86" s="285"/>
      <c r="H86" s="305"/>
      <c r="I86" s="326"/>
      <c r="J86" s="385"/>
      <c r="K86" s="380"/>
      <c r="L86" s="296"/>
      <c r="M86" s="326"/>
      <c r="N86" s="305"/>
      <c r="O86" s="306"/>
      <c r="P86" s="296"/>
      <c r="Q86" s="306"/>
      <c r="R86" s="305"/>
      <c r="S86" s="306"/>
      <c r="T86" s="305"/>
      <c r="U86" s="306"/>
      <c r="V86" s="385"/>
      <c r="W86" s="380"/>
      <c r="X86" s="385"/>
      <c r="Y86" s="380"/>
      <c r="Z86" s="322"/>
      <c r="AA86" s="322"/>
      <c r="AB86" s="385"/>
      <c r="AC86" s="380"/>
      <c r="AD86" s="322"/>
      <c r="AE86" s="322"/>
      <c r="AF86" s="305"/>
      <c r="AG86" s="306"/>
      <c r="AH86" s="295"/>
      <c r="AS86" s="277">
        <v>10</v>
      </c>
      <c r="AT86" s="268" t="s">
        <v>801</v>
      </c>
      <c r="AU86" s="275">
        <f>BC92</f>
        <v>0</v>
      </c>
      <c r="AZ86" s="464" t="s">
        <v>799</v>
      </c>
      <c r="BA86" s="444"/>
      <c r="BB86" s="444"/>
      <c r="BC86" s="444"/>
      <c r="BD86" s="441"/>
      <c r="BE86" s="402" t="s">
        <v>795</v>
      </c>
    </row>
    <row r="87" spans="2:67" x14ac:dyDescent="0.25">
      <c r="B87" s="233"/>
      <c r="C87" s="235"/>
      <c r="D87" s="236"/>
      <c r="E87" s="236"/>
      <c r="F87" s="236"/>
      <c r="G87" s="285"/>
      <c r="H87" s="305"/>
      <c r="I87" s="326"/>
      <c r="J87" s="385"/>
      <c r="K87" s="380"/>
      <c r="L87" s="296"/>
      <c r="M87" s="326"/>
      <c r="N87" s="305"/>
      <c r="O87" s="306"/>
      <c r="P87" s="296"/>
      <c r="Q87" s="306"/>
      <c r="R87" s="305"/>
      <c r="S87" s="306"/>
      <c r="T87" s="305"/>
      <c r="U87" s="306"/>
      <c r="V87" s="385"/>
      <c r="W87" s="380"/>
      <c r="X87" s="385"/>
      <c r="Y87" s="380"/>
      <c r="Z87" s="322"/>
      <c r="AA87" s="322"/>
      <c r="AB87" s="385"/>
      <c r="AC87" s="380"/>
      <c r="AD87" s="322"/>
      <c r="AE87" s="322"/>
      <c r="AF87" s="305"/>
      <c r="AG87" s="306"/>
      <c r="AH87" s="295"/>
      <c r="AT87" s="268" t="str">
        <f>IF(AU86-AV88&gt;0,"CR PPE - Cost","DR PPE - Cost")</f>
        <v>DR PPE - Cost</v>
      </c>
      <c r="AU87" s="275">
        <f>IF($AU$86-$AV$88&gt;0,0,$AV$88-$AU$86)</f>
        <v>0</v>
      </c>
      <c r="AV87" s="275">
        <f>IF($AU$86-$AV$88&lt;0,0,$AU$86-$AV$88)</f>
        <v>0</v>
      </c>
      <c r="AZ87" s="446" t="s">
        <v>797</v>
      </c>
      <c r="BA87" s="444"/>
      <c r="BB87" s="444"/>
      <c r="BC87" s="463"/>
      <c r="BD87" s="441"/>
      <c r="BE87" s="402" t="s">
        <v>796</v>
      </c>
    </row>
    <row r="88" spans="2:67" x14ac:dyDescent="0.25">
      <c r="B88" s="233" t="s">
        <v>631</v>
      </c>
      <c r="C88" s="235"/>
      <c r="D88" s="250"/>
      <c r="E88" s="250"/>
      <c r="F88" s="250"/>
      <c r="G88" s="286">
        <f>SUM(D88:F88)</f>
        <v>0</v>
      </c>
      <c r="H88" s="305"/>
      <c r="I88" s="326"/>
      <c r="J88" s="385"/>
      <c r="K88" s="380"/>
      <c r="L88" s="296"/>
      <c r="M88" s="326"/>
      <c r="N88" s="305"/>
      <c r="O88" s="306"/>
      <c r="P88" s="296"/>
      <c r="Q88" s="306"/>
      <c r="R88" s="305"/>
      <c r="S88" s="306"/>
      <c r="T88" s="305"/>
      <c r="U88" s="306"/>
      <c r="V88" s="385"/>
      <c r="W88" s="380"/>
      <c r="X88" s="385"/>
      <c r="Y88" s="380"/>
      <c r="Z88" s="322"/>
      <c r="AA88" s="322"/>
      <c r="AB88" s="385"/>
      <c r="AC88" s="380"/>
      <c r="AD88" s="305">
        <f>SUMIF($AT$109:$AT$116,"DR SPL - Finance costs",$AU$109:$AU$116)</f>
        <v>0</v>
      </c>
      <c r="AE88" s="306">
        <f>-SUMIF($AT$109:$AT$116,"CR SPL - Finance costs",$AV$109:$AV$116)</f>
        <v>0</v>
      </c>
      <c r="AF88" s="305"/>
      <c r="AG88" s="306"/>
      <c r="AH88" s="312">
        <f>G88+H88+H89+H90-I90-I89-I88</f>
        <v>0</v>
      </c>
      <c r="AT88" s="268" t="s">
        <v>802</v>
      </c>
      <c r="AV88" s="275">
        <f>BC90</f>
        <v>0</v>
      </c>
      <c r="AZ88" s="446"/>
      <c r="BA88" s="444"/>
      <c r="BB88" s="444"/>
      <c r="BC88" s="444"/>
      <c r="BD88" s="441"/>
      <c r="BE88" s="402" t="s">
        <v>812</v>
      </c>
    </row>
    <row r="89" spans="2:67" x14ac:dyDescent="0.25">
      <c r="B89" s="233"/>
      <c r="C89" s="235"/>
      <c r="D89" s="236"/>
      <c r="E89" s="236"/>
      <c r="F89" s="236"/>
      <c r="G89" s="285"/>
      <c r="H89" s="305"/>
      <c r="I89" s="326"/>
      <c r="J89" s="385"/>
      <c r="K89" s="380"/>
      <c r="L89" s="296"/>
      <c r="M89" s="326"/>
      <c r="N89" s="305"/>
      <c r="O89" s="306"/>
      <c r="P89" s="296"/>
      <c r="Q89" s="306"/>
      <c r="R89" s="305"/>
      <c r="S89" s="306"/>
      <c r="T89" s="305"/>
      <c r="U89" s="306"/>
      <c r="V89" s="385"/>
      <c r="W89" s="380"/>
      <c r="X89" s="385"/>
      <c r="Y89" s="380"/>
      <c r="Z89" s="322"/>
      <c r="AA89" s="322"/>
      <c r="AB89" s="385"/>
      <c r="AC89" s="380"/>
      <c r="AD89" s="322"/>
      <c r="AE89" s="322"/>
      <c r="AF89" s="305"/>
      <c r="AG89" s="306"/>
      <c r="AH89" s="295"/>
      <c r="AZ89" s="446" t="s">
        <v>193</v>
      </c>
      <c r="BA89" s="444"/>
      <c r="BB89" s="444"/>
      <c r="BC89" s="454"/>
      <c r="BD89" s="441"/>
      <c r="BO89" s="401"/>
    </row>
    <row r="90" spans="2:67" x14ac:dyDescent="0.25">
      <c r="B90" s="233"/>
      <c r="C90" s="235"/>
      <c r="D90" s="236"/>
      <c r="E90" s="236"/>
      <c r="F90" s="236"/>
      <c r="G90" s="285"/>
      <c r="H90" s="305"/>
      <c r="I90" s="326"/>
      <c r="J90" s="385"/>
      <c r="K90" s="380"/>
      <c r="L90" s="296"/>
      <c r="M90" s="326"/>
      <c r="N90" s="305"/>
      <c r="O90" s="306"/>
      <c r="P90" s="296"/>
      <c r="Q90" s="306"/>
      <c r="R90" s="305"/>
      <c r="S90" s="306"/>
      <c r="T90" s="305"/>
      <c r="U90" s="306"/>
      <c r="V90" s="385"/>
      <c r="W90" s="380"/>
      <c r="X90" s="385"/>
      <c r="Y90" s="380"/>
      <c r="Z90" s="322"/>
      <c r="AA90" s="322"/>
      <c r="AB90" s="385"/>
      <c r="AC90" s="380"/>
      <c r="AD90" s="322"/>
      <c r="AE90" s="322"/>
      <c r="AF90" s="305"/>
      <c r="AG90" s="306"/>
      <c r="AH90" s="295"/>
      <c r="AT90" s="268" t="s">
        <v>821</v>
      </c>
      <c r="AU90" s="275">
        <f>BC93</f>
        <v>0</v>
      </c>
      <c r="AZ90" s="446" t="s">
        <v>806</v>
      </c>
      <c r="BA90" s="444"/>
      <c r="BB90" s="444"/>
      <c r="BC90" s="454"/>
      <c r="BD90" s="441"/>
      <c r="BO90" s="401"/>
    </row>
    <row r="91" spans="2:67" x14ac:dyDescent="0.25">
      <c r="B91" s="233" t="s">
        <v>647</v>
      </c>
      <c r="C91" s="235"/>
      <c r="D91" s="237"/>
      <c r="E91" s="237"/>
      <c r="F91" s="237"/>
      <c r="G91" s="286">
        <f>SUM(D91:F91)</f>
        <v>0</v>
      </c>
      <c r="H91" s="305"/>
      <c r="I91" s="326"/>
      <c r="J91" s="385"/>
      <c r="K91" s="380"/>
      <c r="L91" s="296"/>
      <c r="M91" s="326"/>
      <c r="N91" s="305"/>
      <c r="O91" s="306"/>
      <c r="P91" s="296"/>
      <c r="Q91" s="306"/>
      <c r="R91" s="305">
        <f>SUMIF($AT$54:$AT$58,"DR Finance Income",$AU$54:$AU$58)</f>
        <v>0</v>
      </c>
      <c r="S91" s="306">
        <f>-SUMIF($AT$54:$AT$58,"CR Finance Income",$AV$54:$AV$58)</f>
        <v>0</v>
      </c>
      <c r="T91" s="305">
        <f>SUMIF($AT$61:$AT$65,"DR Finance Income",$AU$61:$AU$65)</f>
        <v>0</v>
      </c>
      <c r="U91" s="306">
        <f>-SUMIF($AT$61:$AT$65,"CR Finance Income",$AV$61:$AV$65)</f>
        <v>0</v>
      </c>
      <c r="V91" s="385"/>
      <c r="W91" s="380"/>
      <c r="X91" s="385"/>
      <c r="Y91" s="380"/>
      <c r="Z91" s="322"/>
      <c r="AA91" s="322"/>
      <c r="AB91" s="385"/>
      <c r="AC91" s="380"/>
      <c r="AD91" s="322"/>
      <c r="AE91" s="322"/>
      <c r="AF91" s="305"/>
      <c r="AG91" s="306"/>
      <c r="AH91" s="312">
        <f>G91-SUM(H91:AG91)</f>
        <v>0</v>
      </c>
      <c r="AT91" s="268" t="s">
        <v>822</v>
      </c>
      <c r="AV91" s="275">
        <f>BC93</f>
        <v>0</v>
      </c>
      <c r="AZ91" s="446" t="s">
        <v>798</v>
      </c>
      <c r="BA91" s="444"/>
      <c r="BB91" s="444"/>
      <c r="BC91" s="377">
        <f>BC89-BC90</f>
        <v>0</v>
      </c>
      <c r="BD91" s="441"/>
      <c r="BO91" s="401"/>
    </row>
    <row r="92" spans="2:67" x14ac:dyDescent="0.25">
      <c r="B92" s="233"/>
      <c r="C92" s="235"/>
      <c r="D92" s="236"/>
      <c r="E92" s="236"/>
      <c r="F92" s="236"/>
      <c r="G92" s="285"/>
      <c r="H92" s="305"/>
      <c r="I92" s="326"/>
      <c r="J92" s="385"/>
      <c r="K92" s="380"/>
      <c r="L92" s="296"/>
      <c r="M92" s="326"/>
      <c r="N92" s="305"/>
      <c r="O92" s="306"/>
      <c r="P92" s="296"/>
      <c r="Q92" s="306"/>
      <c r="R92" s="305"/>
      <c r="S92" s="306"/>
      <c r="T92" s="305"/>
      <c r="U92" s="306"/>
      <c r="V92" s="385"/>
      <c r="W92" s="380"/>
      <c r="X92" s="385"/>
      <c r="Y92" s="380"/>
      <c r="Z92" s="322"/>
      <c r="AA92" s="322"/>
      <c r="AB92" s="385"/>
      <c r="AC92" s="380"/>
      <c r="AD92" s="322"/>
      <c r="AE92" s="322"/>
      <c r="AF92" s="305"/>
      <c r="AG92" s="306"/>
      <c r="AH92" s="295"/>
      <c r="AZ92" s="446" t="s">
        <v>800</v>
      </c>
      <c r="BA92" s="444"/>
      <c r="BB92" s="444"/>
      <c r="BC92" s="364">
        <f>BC87-BC91</f>
        <v>0</v>
      </c>
      <c r="BD92" s="441"/>
      <c r="BO92" s="401"/>
    </row>
    <row r="93" spans="2:67" ht="15.75" x14ac:dyDescent="0.25">
      <c r="B93" s="233"/>
      <c r="C93" s="235"/>
      <c r="D93" s="251"/>
      <c r="E93" s="251"/>
      <c r="F93" s="251"/>
      <c r="G93" s="355"/>
      <c r="H93" s="305"/>
      <c r="I93" s="326"/>
      <c r="J93" s="385"/>
      <c r="K93" s="380"/>
      <c r="L93" s="296"/>
      <c r="M93" s="326"/>
      <c r="N93" s="305"/>
      <c r="O93" s="306"/>
      <c r="P93" s="296"/>
      <c r="Q93" s="306"/>
      <c r="R93" s="305"/>
      <c r="S93" s="306"/>
      <c r="T93" s="305"/>
      <c r="U93" s="306"/>
      <c r="V93" s="385"/>
      <c r="W93" s="380"/>
      <c r="X93" s="385"/>
      <c r="Y93" s="380"/>
      <c r="Z93" s="322"/>
      <c r="AA93" s="322"/>
      <c r="AB93" s="385"/>
      <c r="AC93" s="380"/>
      <c r="AD93" s="322"/>
      <c r="AE93" s="322"/>
      <c r="AF93" s="305"/>
      <c r="AG93" s="306"/>
      <c r="AH93" s="334"/>
      <c r="AT93" s="268" t="s">
        <v>808</v>
      </c>
      <c r="AU93" s="275">
        <f>BC96</f>
        <v>0</v>
      </c>
      <c r="AZ93" s="782" t="s">
        <v>820</v>
      </c>
      <c r="BA93" s="444"/>
      <c r="BB93" s="444"/>
      <c r="BC93" s="455">
        <f>BC92*BC11</f>
        <v>0</v>
      </c>
      <c r="BD93" s="441"/>
      <c r="BE93" s="402" t="s">
        <v>872</v>
      </c>
      <c r="BO93" s="401"/>
    </row>
    <row r="94" spans="2:67" ht="15.75" x14ac:dyDescent="0.25">
      <c r="B94" s="230" t="s">
        <v>724</v>
      </c>
      <c r="C94" s="235" t="s">
        <v>725</v>
      </c>
      <c r="D94" s="244">
        <f>D73+D74-D77-D80-D85-D88+D91</f>
        <v>0</v>
      </c>
      <c r="E94" s="244">
        <f>E73+E74-E77-E80-E85-E88+E91</f>
        <v>0</v>
      </c>
      <c r="F94" s="244">
        <f>F73+F74-F77-F80-F85-F88+F91</f>
        <v>0</v>
      </c>
      <c r="G94" s="292">
        <f>G73+G74-G77-G80-G85-G88+G91</f>
        <v>0</v>
      </c>
      <c r="H94" s="303"/>
      <c r="I94" s="285"/>
      <c r="J94" s="383"/>
      <c r="K94" s="384"/>
      <c r="L94" s="295"/>
      <c r="M94" s="285"/>
      <c r="N94" s="303"/>
      <c r="O94" s="304"/>
      <c r="P94" s="295"/>
      <c r="Q94" s="304"/>
      <c r="R94" s="303"/>
      <c r="S94" s="304"/>
      <c r="T94" s="303"/>
      <c r="U94" s="304"/>
      <c r="V94" s="383"/>
      <c r="W94" s="384"/>
      <c r="X94" s="383"/>
      <c r="Y94" s="384"/>
      <c r="Z94" s="321"/>
      <c r="AA94" s="321"/>
      <c r="AB94" s="383"/>
      <c r="AC94" s="384"/>
      <c r="AD94" s="321"/>
      <c r="AE94" s="321"/>
      <c r="AF94" s="303"/>
      <c r="AG94" s="304"/>
      <c r="AH94" s="316">
        <f>AH73+AH74-AH77-AH80-AH85-AH88+AH91</f>
        <v>0</v>
      </c>
      <c r="AT94" s="268" t="s">
        <v>809</v>
      </c>
      <c r="AV94" s="275">
        <f>BC96</f>
        <v>0</v>
      </c>
      <c r="AZ94" s="446" t="s">
        <v>803</v>
      </c>
      <c r="BA94" s="444"/>
      <c r="BB94" s="444"/>
      <c r="BC94" s="454"/>
      <c r="BD94" s="441"/>
    </row>
    <row r="95" spans="2:67" x14ac:dyDescent="0.25">
      <c r="B95" s="233" t="s">
        <v>1</v>
      </c>
      <c r="C95" s="235" t="s">
        <v>726</v>
      </c>
      <c r="D95" s="252"/>
      <c r="E95" s="252"/>
      <c r="F95" s="252"/>
      <c r="G95" s="356">
        <f>SUM(D95:F95)</f>
        <v>0</v>
      </c>
      <c r="H95" s="344"/>
      <c r="I95" s="327"/>
      <c r="J95" s="405"/>
      <c r="K95" s="406"/>
      <c r="L95" s="361"/>
      <c r="M95" s="327"/>
      <c r="N95" s="344"/>
      <c r="O95" s="345"/>
      <c r="P95" s="361"/>
      <c r="Q95" s="345"/>
      <c r="R95" s="344"/>
      <c r="S95" s="345"/>
      <c r="T95" s="344"/>
      <c r="U95" s="345"/>
      <c r="V95" s="405"/>
      <c r="W95" s="406"/>
      <c r="X95" s="405"/>
      <c r="Y95" s="406"/>
      <c r="Z95" s="369"/>
      <c r="AA95" s="369"/>
      <c r="AB95" s="405"/>
      <c r="AC95" s="406"/>
      <c r="AD95" s="369"/>
      <c r="AE95" s="369"/>
      <c r="AF95" s="344"/>
      <c r="AG95" s="345"/>
      <c r="AH95" s="335">
        <f>G95+H95+H96+H97-I97-I96-I95</f>
        <v>0</v>
      </c>
      <c r="AZ95" s="446" t="s">
        <v>804</v>
      </c>
      <c r="BA95" s="444"/>
      <c r="BB95" s="444"/>
      <c r="BC95" s="454"/>
      <c r="BD95" s="441"/>
      <c r="BO95" s="401"/>
    </row>
    <row r="96" spans="2:67" x14ac:dyDescent="0.25">
      <c r="B96" s="253"/>
      <c r="C96" s="235"/>
      <c r="D96" s="240"/>
      <c r="E96" s="240"/>
      <c r="F96" s="240"/>
      <c r="G96" s="289"/>
      <c r="H96" s="344"/>
      <c r="I96" s="327"/>
      <c r="J96" s="405"/>
      <c r="K96" s="406"/>
      <c r="L96" s="361"/>
      <c r="M96" s="327"/>
      <c r="N96" s="344"/>
      <c r="O96" s="345"/>
      <c r="P96" s="361"/>
      <c r="Q96" s="345"/>
      <c r="R96" s="344"/>
      <c r="S96" s="345"/>
      <c r="T96" s="344"/>
      <c r="U96" s="345"/>
      <c r="V96" s="405"/>
      <c r="W96" s="406"/>
      <c r="X96" s="405"/>
      <c r="Y96" s="406"/>
      <c r="Z96" s="369"/>
      <c r="AA96" s="369"/>
      <c r="AB96" s="405"/>
      <c r="AC96" s="406"/>
      <c r="AD96" s="369"/>
      <c r="AE96" s="369"/>
      <c r="AF96" s="344"/>
      <c r="AG96" s="345"/>
      <c r="AH96" s="298"/>
      <c r="AT96" s="268" t="s">
        <v>810</v>
      </c>
      <c r="AU96" s="275">
        <f>BC97</f>
        <v>0</v>
      </c>
      <c r="AZ96" s="446" t="s">
        <v>805</v>
      </c>
      <c r="BA96" s="444"/>
      <c r="BB96" s="444"/>
      <c r="BC96" s="377">
        <f>-(BC94-BC95)</f>
        <v>0</v>
      </c>
      <c r="BD96" s="441"/>
      <c r="BO96" s="401"/>
    </row>
    <row r="97" spans="2:67" ht="16.5" thickBot="1" x14ac:dyDescent="0.3">
      <c r="B97" s="253"/>
      <c r="C97" s="235"/>
      <c r="D97" s="236"/>
      <c r="E97" s="236"/>
      <c r="F97" s="236"/>
      <c r="G97" s="285"/>
      <c r="H97" s="344"/>
      <c r="I97" s="327"/>
      <c r="J97" s="405"/>
      <c r="K97" s="406"/>
      <c r="L97" s="361"/>
      <c r="M97" s="327"/>
      <c r="N97" s="344"/>
      <c r="O97" s="345"/>
      <c r="P97" s="361"/>
      <c r="Q97" s="345"/>
      <c r="R97" s="344"/>
      <c r="S97" s="345"/>
      <c r="T97" s="344"/>
      <c r="U97" s="345"/>
      <c r="V97" s="405"/>
      <c r="W97" s="406"/>
      <c r="X97" s="405"/>
      <c r="Y97" s="406"/>
      <c r="Z97" s="369"/>
      <c r="AA97" s="369"/>
      <c r="AB97" s="405"/>
      <c r="AC97" s="406"/>
      <c r="AD97" s="369"/>
      <c r="AE97" s="369"/>
      <c r="AF97" s="344"/>
      <c r="AG97" s="345"/>
      <c r="AH97" s="295"/>
      <c r="AT97" s="268" t="s">
        <v>700</v>
      </c>
      <c r="AV97" s="275">
        <f>BC97</f>
        <v>0</v>
      </c>
      <c r="AZ97" s="456" t="s">
        <v>807</v>
      </c>
      <c r="BA97" s="444"/>
      <c r="BB97" s="444"/>
      <c r="BC97" s="378">
        <f>IF(AZ86="Parent -&gt; Sub",BC96*BC11,0)</f>
        <v>0</v>
      </c>
      <c r="BD97" s="441"/>
      <c r="BO97" s="401"/>
    </row>
    <row r="98" spans="2:67" ht="17.25" thickTop="1" thickBot="1" x14ac:dyDescent="0.3">
      <c r="B98" s="254" t="s">
        <v>727</v>
      </c>
      <c r="C98" s="235" t="s">
        <v>725</v>
      </c>
      <c r="D98" s="255">
        <f>D94-D95</f>
        <v>0</v>
      </c>
      <c r="E98" s="255">
        <f>E94-E95</f>
        <v>0</v>
      </c>
      <c r="F98" s="255">
        <f>F94-F95</f>
        <v>0</v>
      </c>
      <c r="G98" s="357">
        <f>G94-G95</f>
        <v>0</v>
      </c>
      <c r="H98" s="346"/>
      <c r="I98" s="328"/>
      <c r="J98" s="407"/>
      <c r="K98" s="408"/>
      <c r="L98" s="362"/>
      <c r="M98" s="328"/>
      <c r="N98" s="346"/>
      <c r="O98" s="347"/>
      <c r="P98" s="362"/>
      <c r="Q98" s="347"/>
      <c r="R98" s="346"/>
      <c r="S98" s="347"/>
      <c r="T98" s="346"/>
      <c r="U98" s="347"/>
      <c r="V98" s="407"/>
      <c r="W98" s="408"/>
      <c r="X98" s="407"/>
      <c r="Y98" s="408"/>
      <c r="Z98" s="370"/>
      <c r="AA98" s="370"/>
      <c r="AB98" s="407"/>
      <c r="AC98" s="408"/>
      <c r="AD98" s="370"/>
      <c r="AE98" s="370"/>
      <c r="AF98" s="346"/>
      <c r="AG98" s="347"/>
      <c r="AH98" s="317">
        <f>AH94-AH95</f>
        <v>0</v>
      </c>
      <c r="AZ98" s="457"/>
      <c r="BA98" s="458"/>
      <c r="BB98" s="458"/>
      <c r="BC98" s="458"/>
      <c r="BD98" s="450"/>
      <c r="BO98" s="401"/>
    </row>
    <row r="99" spans="2:67" ht="15.75" thickBot="1" x14ac:dyDescent="0.3">
      <c r="B99" s="233" t="s">
        <v>728</v>
      </c>
      <c r="C99" s="235" t="s">
        <v>729</v>
      </c>
      <c r="D99" s="256"/>
      <c r="E99" s="256"/>
      <c r="F99" s="256"/>
      <c r="G99" s="358">
        <f>SUM(D99:F99)</f>
        <v>0</v>
      </c>
      <c r="H99" s="348"/>
      <c r="I99" s="329"/>
      <c r="J99" s="409"/>
      <c r="K99" s="410"/>
      <c r="L99" s="363"/>
      <c r="M99" s="329"/>
      <c r="N99" s="348"/>
      <c r="O99" s="349"/>
      <c r="P99" s="363"/>
      <c r="Q99" s="349"/>
      <c r="R99" s="348"/>
      <c r="S99" s="349"/>
      <c r="T99" s="348"/>
      <c r="U99" s="349"/>
      <c r="V99" s="409"/>
      <c r="W99" s="410"/>
      <c r="X99" s="409"/>
      <c r="Y99" s="410"/>
      <c r="Z99" s="372"/>
      <c r="AA99" s="372"/>
      <c r="AB99" s="409"/>
      <c r="AC99" s="410"/>
      <c r="AD99" s="372"/>
      <c r="AE99" s="372"/>
      <c r="AF99" s="348"/>
      <c r="AG99" s="349"/>
      <c r="AH99" s="336">
        <f>G99+H99-I99</f>
        <v>0</v>
      </c>
      <c r="BO99" s="401"/>
    </row>
    <row r="100" spans="2:67" ht="16.5" thickBot="1" x14ac:dyDescent="0.3">
      <c r="B100" s="230" t="s">
        <v>730</v>
      </c>
      <c r="C100" s="235" t="s">
        <v>725</v>
      </c>
      <c r="D100" s="258">
        <f>D98-D99</f>
        <v>0</v>
      </c>
      <c r="E100" s="258">
        <f>E98-E99</f>
        <v>0</v>
      </c>
      <c r="F100" s="258">
        <f>F98-F99</f>
        <v>0</v>
      </c>
      <c r="G100" s="359">
        <f>G98-G99</f>
        <v>0</v>
      </c>
      <c r="H100" s="350"/>
      <c r="I100" s="330"/>
      <c r="J100" s="411"/>
      <c r="K100" s="412"/>
      <c r="L100" s="338"/>
      <c r="M100" s="330"/>
      <c r="N100" s="350"/>
      <c r="O100" s="351"/>
      <c r="P100" s="338"/>
      <c r="Q100" s="351"/>
      <c r="R100" s="350"/>
      <c r="S100" s="351"/>
      <c r="T100" s="350"/>
      <c r="U100" s="351"/>
      <c r="V100" s="411"/>
      <c r="W100" s="412"/>
      <c r="X100" s="411"/>
      <c r="Y100" s="412"/>
      <c r="Z100" s="371"/>
      <c r="AA100" s="371"/>
      <c r="AB100" s="411"/>
      <c r="AC100" s="412"/>
      <c r="AD100" s="371"/>
      <c r="AE100" s="371"/>
      <c r="AF100" s="350"/>
      <c r="AG100" s="351"/>
      <c r="AH100" s="337">
        <f>AH98-AH99</f>
        <v>0</v>
      </c>
      <c r="AS100" s="277">
        <v>11</v>
      </c>
      <c r="AT100" s="248" t="s">
        <v>823</v>
      </c>
      <c r="AU100" s="275">
        <f>BC102</f>
        <v>0</v>
      </c>
      <c r="AV100" s="275"/>
    </row>
    <row r="101" spans="2:67" ht="15.75" x14ac:dyDescent="0.25">
      <c r="B101" s="233"/>
      <c r="C101" s="235"/>
      <c r="D101" s="259"/>
      <c r="E101" s="259"/>
      <c r="F101" s="259"/>
      <c r="G101" s="330"/>
      <c r="H101" s="350"/>
      <c r="I101" s="330"/>
      <c r="J101" s="411"/>
      <c r="K101" s="412"/>
      <c r="L101" s="338"/>
      <c r="M101" s="330"/>
      <c r="N101" s="350"/>
      <c r="O101" s="351"/>
      <c r="P101" s="338"/>
      <c r="Q101" s="351"/>
      <c r="R101" s="350"/>
      <c r="S101" s="351"/>
      <c r="T101" s="350"/>
      <c r="U101" s="351"/>
      <c r="V101" s="411"/>
      <c r="W101" s="412"/>
      <c r="X101" s="411"/>
      <c r="Y101" s="412"/>
      <c r="Z101" s="371"/>
      <c r="AA101" s="371"/>
      <c r="AB101" s="411"/>
      <c r="AC101" s="412"/>
      <c r="AD101" s="371"/>
      <c r="AE101" s="371"/>
      <c r="AF101" s="350"/>
      <c r="AG101" s="351"/>
      <c r="AH101" s="338"/>
      <c r="AT101" s="268" t="s">
        <v>821</v>
      </c>
      <c r="AU101" s="275">
        <f>BC105</f>
        <v>0</v>
      </c>
      <c r="AV101" s="275"/>
      <c r="AZ101" s="451" t="s">
        <v>836</v>
      </c>
      <c r="BA101" s="427"/>
      <c r="BB101" s="427"/>
      <c r="BC101" s="427"/>
      <c r="BD101" s="429"/>
    </row>
    <row r="102" spans="2:67" ht="15.75" x14ac:dyDescent="0.25">
      <c r="B102" s="230" t="s">
        <v>3</v>
      </c>
      <c r="C102" s="235"/>
      <c r="D102" s="259"/>
      <c r="E102" s="259"/>
      <c r="F102" s="259"/>
      <c r="G102" s="330"/>
      <c r="H102" s="350"/>
      <c r="I102" s="330"/>
      <c r="J102" s="411"/>
      <c r="K102" s="412"/>
      <c r="L102" s="338"/>
      <c r="M102" s="330"/>
      <c r="N102" s="350"/>
      <c r="O102" s="351"/>
      <c r="P102" s="338"/>
      <c r="Q102" s="351"/>
      <c r="R102" s="350"/>
      <c r="S102" s="351"/>
      <c r="T102" s="350"/>
      <c r="U102" s="351"/>
      <c r="V102" s="411"/>
      <c r="W102" s="412"/>
      <c r="X102" s="411"/>
      <c r="Y102" s="412"/>
      <c r="Z102" s="371"/>
      <c r="AA102" s="371"/>
      <c r="AB102" s="411"/>
      <c r="AC102" s="412"/>
      <c r="AD102" s="371"/>
      <c r="AE102" s="371"/>
      <c r="AF102" s="350"/>
      <c r="AG102" s="351"/>
      <c r="AH102" s="338"/>
      <c r="AT102" s="268" t="s">
        <v>704</v>
      </c>
      <c r="AU102" s="275"/>
      <c r="AV102" s="275">
        <f>BC103</f>
        <v>0</v>
      </c>
      <c r="AZ102" s="446" t="s">
        <v>154</v>
      </c>
      <c r="BA102" s="444"/>
      <c r="BB102" s="444"/>
      <c r="BC102" s="454"/>
      <c r="BD102" s="441"/>
    </row>
    <row r="103" spans="2:67" ht="15.75" x14ac:dyDescent="0.25">
      <c r="B103" s="230" t="s">
        <v>4</v>
      </c>
      <c r="C103" s="235"/>
      <c r="D103" s="259"/>
      <c r="E103" s="259"/>
      <c r="F103" s="259"/>
      <c r="G103" s="330"/>
      <c r="H103" s="350"/>
      <c r="I103" s="330"/>
      <c r="J103" s="411"/>
      <c r="K103" s="412"/>
      <c r="L103" s="338"/>
      <c r="M103" s="330"/>
      <c r="N103" s="350"/>
      <c r="O103" s="351"/>
      <c r="P103" s="338"/>
      <c r="Q103" s="351"/>
      <c r="R103" s="350"/>
      <c r="S103" s="351"/>
      <c r="T103" s="350"/>
      <c r="U103" s="351"/>
      <c r="V103" s="411"/>
      <c r="W103" s="412"/>
      <c r="X103" s="411"/>
      <c r="Y103" s="412"/>
      <c r="Z103" s="371"/>
      <c r="AA103" s="371"/>
      <c r="AB103" s="411"/>
      <c r="AC103" s="412"/>
      <c r="AD103" s="371"/>
      <c r="AE103" s="371"/>
      <c r="AF103" s="350"/>
      <c r="AG103" s="351"/>
      <c r="AH103" s="338"/>
      <c r="AK103" s="402" t="s">
        <v>1337</v>
      </c>
      <c r="AO103" s="280"/>
      <c r="AT103" s="268" t="s">
        <v>839</v>
      </c>
      <c r="AU103" s="275"/>
      <c r="AV103" s="275">
        <f>BC104</f>
        <v>0</v>
      </c>
      <c r="AZ103" s="446" t="s">
        <v>837</v>
      </c>
      <c r="BA103" s="444"/>
      <c r="BB103" s="444"/>
      <c r="BC103" s="445">
        <f>IF(BC102&lt;&gt;0,BC21-BC35-BC36,0)</f>
        <v>0</v>
      </c>
      <c r="BD103" s="441"/>
      <c r="BF103" s="402" t="s">
        <v>1946</v>
      </c>
    </row>
    <row r="104" spans="2:67" x14ac:dyDescent="0.25">
      <c r="B104" s="233" t="s">
        <v>731</v>
      </c>
      <c r="C104" s="235" t="s">
        <v>732</v>
      </c>
      <c r="D104" s="245"/>
      <c r="E104" s="245"/>
      <c r="F104" s="245"/>
      <c r="G104" s="293">
        <f>SUM(D104:F104)</f>
        <v>0</v>
      </c>
      <c r="H104" s="348"/>
      <c r="I104" s="329"/>
      <c r="J104" s="409"/>
      <c r="K104" s="410"/>
      <c r="L104" s="363"/>
      <c r="M104" s="329"/>
      <c r="N104" s="348"/>
      <c r="O104" s="349"/>
      <c r="P104" s="363"/>
      <c r="Q104" s="349"/>
      <c r="R104" s="348"/>
      <c r="S104" s="349"/>
      <c r="T104" s="348"/>
      <c r="U104" s="349"/>
      <c r="V104" s="409"/>
      <c r="W104" s="410"/>
      <c r="X104" s="409"/>
      <c r="Y104" s="410"/>
      <c r="Z104" s="372"/>
      <c r="AA104" s="372"/>
      <c r="AB104" s="409"/>
      <c r="AC104" s="410"/>
      <c r="AD104" s="372"/>
      <c r="AE104" s="372"/>
      <c r="AF104" s="348"/>
      <c r="AG104" s="349"/>
      <c r="AH104" s="317">
        <f>G104-H104+I104</f>
        <v>0</v>
      </c>
      <c r="AT104" s="268" t="str">
        <f>IF(BC107&gt;0,"CR SPL - gain on disposal","DR SPL - loss on disposal")</f>
        <v>DR SPL - loss on disposal</v>
      </c>
      <c r="AU104" s="275">
        <f>IF(BC107&lt;0,-BC107,0)</f>
        <v>0</v>
      </c>
      <c r="AV104" s="275">
        <f>IF(BC107&gt;0,BC107,0)</f>
        <v>0</v>
      </c>
      <c r="AZ104" s="446" t="s">
        <v>865</v>
      </c>
      <c r="BA104" s="444"/>
      <c r="BB104" s="444"/>
      <c r="BC104" s="454"/>
      <c r="BD104" s="441"/>
      <c r="BF104" s="402" t="s">
        <v>1947</v>
      </c>
    </row>
    <row r="105" spans="2:67" ht="30" x14ac:dyDescent="0.25">
      <c r="B105" s="233" t="s">
        <v>733</v>
      </c>
      <c r="C105" s="235" t="s">
        <v>732</v>
      </c>
      <c r="D105" s="245"/>
      <c r="E105" s="245"/>
      <c r="F105" s="245"/>
      <c r="G105" s="293">
        <f>SUM(D105:F105)</f>
        <v>0</v>
      </c>
      <c r="H105" s="348"/>
      <c r="I105" s="329"/>
      <c r="J105" s="409"/>
      <c r="K105" s="410"/>
      <c r="L105" s="363"/>
      <c r="M105" s="329"/>
      <c r="N105" s="348"/>
      <c r="O105" s="349"/>
      <c r="P105" s="363"/>
      <c r="Q105" s="349"/>
      <c r="R105" s="348"/>
      <c r="S105" s="349"/>
      <c r="T105" s="348"/>
      <c r="U105" s="349"/>
      <c r="V105" s="409"/>
      <c r="W105" s="410"/>
      <c r="X105" s="409"/>
      <c r="Y105" s="410"/>
      <c r="Z105" s="372"/>
      <c r="AA105" s="372"/>
      <c r="AB105" s="409"/>
      <c r="AC105" s="410"/>
      <c r="AD105" s="372"/>
      <c r="AE105" s="372"/>
      <c r="AF105" s="348"/>
      <c r="AG105" s="349"/>
      <c r="AH105" s="317">
        <f>G105-H105+I105</f>
        <v>0</v>
      </c>
      <c r="AZ105" s="446" t="s">
        <v>867</v>
      </c>
      <c r="BA105" s="444"/>
      <c r="BB105" s="444"/>
      <c r="BC105" s="455">
        <f>BC104*BC11</f>
        <v>0</v>
      </c>
      <c r="BD105" s="466" t="s">
        <v>864</v>
      </c>
      <c r="BF105" s="402" t="s">
        <v>1948</v>
      </c>
      <c r="BO105" s="401"/>
    </row>
    <row r="106" spans="2:67" ht="30" x14ac:dyDescent="0.25">
      <c r="B106" s="233" t="s">
        <v>734</v>
      </c>
      <c r="C106" s="235" t="s">
        <v>735</v>
      </c>
      <c r="D106" s="245"/>
      <c r="E106" s="245"/>
      <c r="F106" s="245"/>
      <c r="G106" s="293">
        <f>SUM(D106:F106)</f>
        <v>0</v>
      </c>
      <c r="H106" s="348"/>
      <c r="I106" s="329"/>
      <c r="J106" s="409"/>
      <c r="K106" s="410"/>
      <c r="L106" s="363"/>
      <c r="M106" s="329"/>
      <c r="N106" s="348"/>
      <c r="O106" s="349"/>
      <c r="P106" s="363"/>
      <c r="Q106" s="349"/>
      <c r="R106" s="348"/>
      <c r="S106" s="349"/>
      <c r="T106" s="348"/>
      <c r="U106" s="349"/>
      <c r="V106" s="409"/>
      <c r="W106" s="410"/>
      <c r="X106" s="409"/>
      <c r="Y106" s="410"/>
      <c r="Z106" s="372"/>
      <c r="AA106" s="372"/>
      <c r="AB106" s="409"/>
      <c r="AC106" s="410"/>
      <c r="AD106" s="372"/>
      <c r="AE106" s="372"/>
      <c r="AF106" s="348"/>
      <c r="AG106" s="349"/>
      <c r="AH106" s="317">
        <f>G106-H106+I106</f>
        <v>0</v>
      </c>
      <c r="AZ106" s="446" t="s">
        <v>866</v>
      </c>
      <c r="BA106" s="444"/>
      <c r="BB106" s="444"/>
      <c r="BC106" s="462">
        <f>BC104-BC105</f>
        <v>0</v>
      </c>
      <c r="BD106" s="441"/>
      <c r="BF106" s="402" t="s">
        <v>1804</v>
      </c>
      <c r="BO106" s="401"/>
    </row>
    <row r="107" spans="2:67" ht="15.75" thickBot="1" x14ac:dyDescent="0.3">
      <c r="B107" s="233" t="s">
        <v>736</v>
      </c>
      <c r="C107" s="235" t="s">
        <v>726</v>
      </c>
      <c r="D107" s="256"/>
      <c r="E107" s="256"/>
      <c r="F107" s="256"/>
      <c r="G107" s="473">
        <f>SUM(D107:F107)</f>
        <v>0</v>
      </c>
      <c r="H107" s="348"/>
      <c r="I107" s="329"/>
      <c r="J107" s="409"/>
      <c r="K107" s="410"/>
      <c r="L107" s="363"/>
      <c r="M107" s="329"/>
      <c r="N107" s="348"/>
      <c r="O107" s="349"/>
      <c r="P107" s="363"/>
      <c r="Q107" s="349"/>
      <c r="R107" s="348"/>
      <c r="S107" s="349"/>
      <c r="T107" s="348"/>
      <c r="U107" s="349"/>
      <c r="V107" s="409"/>
      <c r="W107" s="410"/>
      <c r="X107" s="409"/>
      <c r="Y107" s="410"/>
      <c r="Z107" s="372"/>
      <c r="AA107" s="372"/>
      <c r="AB107" s="409"/>
      <c r="AC107" s="410"/>
      <c r="AD107" s="372"/>
      <c r="AE107" s="372"/>
      <c r="AF107" s="348"/>
      <c r="AG107" s="349"/>
      <c r="AH107" s="336">
        <f>G107+H107-I107</f>
        <v>0</v>
      </c>
      <c r="AZ107" s="446" t="s">
        <v>871</v>
      </c>
      <c r="BA107" s="444"/>
      <c r="BB107" s="444"/>
      <c r="BC107" s="282">
        <f>BC102-BC103-BC106</f>
        <v>0</v>
      </c>
      <c r="BD107" s="441"/>
      <c r="BF107" s="402" t="s">
        <v>840</v>
      </c>
      <c r="BO107" s="401"/>
    </row>
    <row r="108" spans="2:67" ht="16.5" thickTop="1" thickBot="1" x14ac:dyDescent="0.3">
      <c r="B108" s="233"/>
      <c r="C108" s="235"/>
      <c r="D108" s="258">
        <f>D104+D105+D106-D107</f>
        <v>0</v>
      </c>
      <c r="E108" s="258">
        <f>E104+E105+E106-E107</f>
        <v>0</v>
      </c>
      <c r="F108" s="258">
        <f>F104+F105+F106-F107</f>
        <v>0</v>
      </c>
      <c r="G108" s="474">
        <f>G104+G105+G106-G107</f>
        <v>0</v>
      </c>
      <c r="H108" s="350"/>
      <c r="I108" s="330"/>
      <c r="J108" s="411"/>
      <c r="K108" s="412"/>
      <c r="L108" s="338"/>
      <c r="M108" s="330"/>
      <c r="N108" s="350"/>
      <c r="O108" s="351"/>
      <c r="P108" s="338"/>
      <c r="Q108" s="351"/>
      <c r="R108" s="350"/>
      <c r="S108" s="351"/>
      <c r="T108" s="350"/>
      <c r="U108" s="351"/>
      <c r="V108" s="411"/>
      <c r="W108" s="412"/>
      <c r="X108" s="411"/>
      <c r="Y108" s="412"/>
      <c r="Z108" s="371"/>
      <c r="AA108" s="371"/>
      <c r="AB108" s="411"/>
      <c r="AC108" s="412"/>
      <c r="AD108" s="371"/>
      <c r="AE108" s="371"/>
      <c r="AF108" s="350"/>
      <c r="AG108" s="351"/>
      <c r="AH108" s="337">
        <f>AH104+AH105+AH106-AH107</f>
        <v>0</v>
      </c>
      <c r="AZ108" s="457"/>
      <c r="BA108" s="458"/>
      <c r="BB108" s="458"/>
      <c r="BC108" s="458"/>
      <c r="BD108" s="450"/>
      <c r="BF108" s="402" t="s">
        <v>1693</v>
      </c>
      <c r="BO108" s="401"/>
    </row>
    <row r="109" spans="2:67" ht="16.5" thickBot="1" x14ac:dyDescent="0.3">
      <c r="B109" s="230" t="s">
        <v>30</v>
      </c>
      <c r="C109" s="235"/>
      <c r="D109" s="259"/>
      <c r="E109" s="259"/>
      <c r="F109" s="259"/>
      <c r="G109" s="330"/>
      <c r="H109" s="350"/>
      <c r="I109" s="330"/>
      <c r="J109" s="411"/>
      <c r="K109" s="412"/>
      <c r="L109" s="338"/>
      <c r="M109" s="330"/>
      <c r="N109" s="350"/>
      <c r="O109" s="351"/>
      <c r="P109" s="338"/>
      <c r="Q109" s="351"/>
      <c r="R109" s="350"/>
      <c r="S109" s="351"/>
      <c r="T109" s="350"/>
      <c r="U109" s="351"/>
      <c r="V109" s="411"/>
      <c r="W109" s="412"/>
      <c r="X109" s="411"/>
      <c r="Y109" s="412"/>
      <c r="Z109" s="371"/>
      <c r="AA109" s="371"/>
      <c r="AB109" s="411"/>
      <c r="AC109" s="412"/>
      <c r="AD109" s="371"/>
      <c r="AE109" s="371"/>
      <c r="AF109" s="350"/>
      <c r="AG109" s="351"/>
      <c r="AH109" s="338"/>
      <c r="AS109" s="277">
        <v>12</v>
      </c>
      <c r="AT109" s="268" t="s">
        <v>1080</v>
      </c>
      <c r="AU109" s="540">
        <f>BC114</f>
        <v>0</v>
      </c>
      <c r="BF109" s="280" t="s">
        <v>1692</v>
      </c>
      <c r="BO109" s="401"/>
    </row>
    <row r="110" spans="2:67" ht="15.75" x14ac:dyDescent="0.25">
      <c r="B110" s="233" t="s">
        <v>32</v>
      </c>
      <c r="C110" s="235" t="s">
        <v>732</v>
      </c>
      <c r="D110" s="245"/>
      <c r="E110" s="245"/>
      <c r="F110" s="245"/>
      <c r="G110" s="293">
        <f>SUM(D110:F110)</f>
        <v>0</v>
      </c>
      <c r="H110" s="348"/>
      <c r="I110" s="329"/>
      <c r="J110" s="409"/>
      <c r="K110" s="410"/>
      <c r="L110" s="363"/>
      <c r="M110" s="329"/>
      <c r="N110" s="348"/>
      <c r="O110" s="349"/>
      <c r="P110" s="363"/>
      <c r="Q110" s="349"/>
      <c r="R110" s="348"/>
      <c r="S110" s="349"/>
      <c r="T110" s="348"/>
      <c r="U110" s="349"/>
      <c r="V110" s="409"/>
      <c r="W110" s="410"/>
      <c r="X110" s="409"/>
      <c r="Y110" s="410"/>
      <c r="Z110" s="372"/>
      <c r="AA110" s="372"/>
      <c r="AB110" s="409"/>
      <c r="AC110" s="410"/>
      <c r="AD110" s="372"/>
      <c r="AE110" s="372"/>
      <c r="AF110" s="348"/>
      <c r="AG110" s="349"/>
      <c r="AH110" s="317">
        <f>G110-H110+I110</f>
        <v>0</v>
      </c>
      <c r="AT110" s="268" t="s">
        <v>802</v>
      </c>
      <c r="AV110" s="540">
        <f>BC114</f>
        <v>0</v>
      </c>
      <c r="AZ110" s="451" t="s">
        <v>1041</v>
      </c>
      <c r="BA110" s="427"/>
      <c r="BB110" s="427"/>
      <c r="BC110" s="427"/>
      <c r="BD110" s="429"/>
      <c r="BO110" s="401"/>
    </row>
    <row r="111" spans="2:67" ht="15.75" x14ac:dyDescent="0.25">
      <c r="B111" s="233" t="s">
        <v>737</v>
      </c>
      <c r="C111" s="235" t="s">
        <v>726</v>
      </c>
      <c r="D111" s="256"/>
      <c r="E111" s="256"/>
      <c r="F111" s="256"/>
      <c r="G111" s="358">
        <f>SUM(D111:F111)</f>
        <v>0</v>
      </c>
      <c r="H111" s="348"/>
      <c r="I111" s="329"/>
      <c r="J111" s="409"/>
      <c r="K111" s="410"/>
      <c r="L111" s="363"/>
      <c r="M111" s="329"/>
      <c r="N111" s="348"/>
      <c r="O111" s="349"/>
      <c r="P111" s="363"/>
      <c r="Q111" s="349"/>
      <c r="R111" s="348"/>
      <c r="S111" s="349"/>
      <c r="T111" s="348"/>
      <c r="U111" s="349"/>
      <c r="V111" s="409"/>
      <c r="W111" s="410"/>
      <c r="X111" s="409"/>
      <c r="Y111" s="410"/>
      <c r="Z111" s="372"/>
      <c r="AA111" s="372"/>
      <c r="AB111" s="409"/>
      <c r="AC111" s="410"/>
      <c r="AD111" s="372"/>
      <c r="AE111" s="372"/>
      <c r="AF111" s="348"/>
      <c r="AG111" s="349"/>
      <c r="AH111" s="336">
        <f>G111+H111-I111</f>
        <v>0</v>
      </c>
      <c r="AZ111" s="456" t="s">
        <v>1075</v>
      </c>
      <c r="BA111" s="444"/>
      <c r="BB111" s="444"/>
      <c r="BC111" s="444"/>
      <c r="BD111" s="441"/>
      <c r="BO111" s="401"/>
    </row>
    <row r="112" spans="2:67" x14ac:dyDescent="0.25">
      <c r="B112" s="233"/>
      <c r="C112" s="235"/>
      <c r="D112" s="257">
        <f>D110-D111</f>
        <v>0</v>
      </c>
      <c r="E112" s="257">
        <f>E110-E111</f>
        <v>0</v>
      </c>
      <c r="F112" s="257">
        <f>F110-F111</f>
        <v>0</v>
      </c>
      <c r="G112" s="358">
        <f>G110-G111</f>
        <v>0</v>
      </c>
      <c r="H112" s="350"/>
      <c r="I112" s="330"/>
      <c r="J112" s="411"/>
      <c r="K112" s="412"/>
      <c r="L112" s="338"/>
      <c r="M112" s="330"/>
      <c r="N112" s="350"/>
      <c r="O112" s="351"/>
      <c r="P112" s="338"/>
      <c r="Q112" s="351"/>
      <c r="R112" s="350"/>
      <c r="S112" s="351"/>
      <c r="T112" s="350"/>
      <c r="U112" s="351"/>
      <c r="V112" s="411"/>
      <c r="W112" s="412"/>
      <c r="X112" s="411"/>
      <c r="Y112" s="412"/>
      <c r="Z112" s="371"/>
      <c r="AA112" s="371"/>
      <c r="AB112" s="411"/>
      <c r="AC112" s="412"/>
      <c r="AD112" s="371"/>
      <c r="AE112" s="371"/>
      <c r="AF112" s="350"/>
      <c r="AG112" s="351"/>
      <c r="AH112" s="336">
        <f>AH110-AH111</f>
        <v>0</v>
      </c>
      <c r="AT112" s="268" t="str">
        <f>IF(AU112&lt;&gt;0,"DR Bond Liability","CR Bond Liability")</f>
        <v>CR Bond Liability</v>
      </c>
      <c r="AU112" s="268">
        <f>IF($BC$118&lt;0,-$BC$118,0)</f>
        <v>0</v>
      </c>
      <c r="AV112" s="275">
        <f>IF($BC$118&gt;0,$BC$118,0)</f>
        <v>0</v>
      </c>
      <c r="AZ112" s="446" t="s">
        <v>1076</v>
      </c>
      <c r="BA112" s="444" t="s">
        <v>1077</v>
      </c>
      <c r="BB112" s="444"/>
      <c r="BC112" s="455">
        <f>'FV adjustments (consol)'!F44</f>
        <v>0</v>
      </c>
      <c r="BD112" s="441"/>
      <c r="BE112" s="402" t="s">
        <v>1575</v>
      </c>
      <c r="BO112" s="401"/>
    </row>
    <row r="113" spans="2:58" ht="15.75" x14ac:dyDescent="0.25">
      <c r="B113" s="230" t="s">
        <v>8</v>
      </c>
      <c r="C113" s="235"/>
      <c r="D113" s="257">
        <f>SUM(D108,D112)</f>
        <v>0</v>
      </c>
      <c r="E113" s="257">
        <f>SUM(E108,E112)</f>
        <v>0</v>
      </c>
      <c r="F113" s="257">
        <f>SUM(F108,F112)</f>
        <v>0</v>
      </c>
      <c r="G113" s="358">
        <f>SUM(G108,G112)</f>
        <v>0</v>
      </c>
      <c r="H113" s="350"/>
      <c r="I113" s="330"/>
      <c r="J113" s="411"/>
      <c r="K113" s="412"/>
      <c r="L113" s="338"/>
      <c r="M113" s="330"/>
      <c r="N113" s="350"/>
      <c r="O113" s="351"/>
      <c r="P113" s="338"/>
      <c r="Q113" s="351"/>
      <c r="R113" s="350"/>
      <c r="S113" s="351"/>
      <c r="T113" s="350"/>
      <c r="U113" s="351"/>
      <c r="V113" s="411"/>
      <c r="W113" s="412"/>
      <c r="X113" s="411"/>
      <c r="Y113" s="412"/>
      <c r="Z113" s="371"/>
      <c r="AA113" s="371"/>
      <c r="AB113" s="411"/>
      <c r="AC113" s="412"/>
      <c r="AD113" s="371"/>
      <c r="AE113" s="371"/>
      <c r="AF113" s="350"/>
      <c r="AG113" s="351"/>
      <c r="AH113" s="336">
        <f>AH108+AH112</f>
        <v>0</v>
      </c>
      <c r="AT113" s="268" t="str">
        <f>IF(AV113&lt;&gt;0,"CR SPL - Finance costs","DR SPL - Finance costs")</f>
        <v>DR SPL - Finance costs</v>
      </c>
      <c r="AU113" s="275">
        <f>IF($BC$118&gt;0,$BC$118,0)</f>
        <v>0</v>
      </c>
      <c r="AV113" s="268">
        <f>IF($BC$118&lt;0,-$BC$118,0)</f>
        <v>0</v>
      </c>
      <c r="AZ113" s="446" t="s">
        <v>1078</v>
      </c>
      <c r="BA113" s="444"/>
      <c r="BB113" s="444"/>
      <c r="BC113" s="452"/>
      <c r="BD113" s="441"/>
      <c r="BE113" s="402" t="str">
        <f>"Increase of £"&amp;BC112&amp;" over remaining useful life of … = £"&amp;BC114&amp;" increase in the depreciation charge"</f>
        <v>Increase of £0 over remaining useful life of … = £0 increase in the depreciation charge</v>
      </c>
    </row>
    <row r="114" spans="2:58" ht="16.5" thickBot="1" x14ac:dyDescent="0.3">
      <c r="B114" s="254" t="s">
        <v>9</v>
      </c>
      <c r="C114" s="260"/>
      <c r="D114" s="261">
        <f>D100+D113</f>
        <v>0</v>
      </c>
      <c r="E114" s="261">
        <f>E100+E113</f>
        <v>0</v>
      </c>
      <c r="F114" s="261">
        <f>F100+F113</f>
        <v>0</v>
      </c>
      <c r="G114" s="360">
        <f>G100+G113</f>
        <v>0</v>
      </c>
      <c r="H114" s="346"/>
      <c r="I114" s="328"/>
      <c r="J114" s="407"/>
      <c r="K114" s="408"/>
      <c r="L114" s="362"/>
      <c r="M114" s="328"/>
      <c r="N114" s="346"/>
      <c r="O114" s="347"/>
      <c r="P114" s="362"/>
      <c r="Q114" s="347"/>
      <c r="R114" s="346"/>
      <c r="S114" s="347"/>
      <c r="T114" s="346"/>
      <c r="U114" s="347"/>
      <c r="V114" s="407"/>
      <c r="W114" s="408"/>
      <c r="X114" s="407"/>
      <c r="Y114" s="408"/>
      <c r="Z114" s="370"/>
      <c r="AA114" s="370"/>
      <c r="AB114" s="407"/>
      <c r="AC114" s="408"/>
      <c r="AD114" s="370"/>
      <c r="AE114" s="370"/>
      <c r="AF114" s="346"/>
      <c r="AG114" s="347"/>
      <c r="AH114" s="339">
        <f>AH100+AH113</f>
        <v>0</v>
      </c>
      <c r="AZ114" s="446" t="s">
        <v>1079</v>
      </c>
      <c r="BA114" s="444" t="str">
        <f>"=("&amp;BC113&amp;"*"&amp;BC112&amp;")"</f>
        <v>=(*0)</v>
      </c>
      <c r="BB114" s="444"/>
      <c r="BC114" s="542">
        <f>BC113*BC112</f>
        <v>0</v>
      </c>
      <c r="BD114" s="441"/>
    </row>
    <row r="115" spans="2:58" ht="15.75" x14ac:dyDescent="0.25">
      <c r="B115" s="233"/>
      <c r="C115" s="260"/>
      <c r="D115" s="240"/>
      <c r="E115" s="240"/>
      <c r="F115" s="240"/>
      <c r="G115" s="289"/>
      <c r="H115" s="303"/>
      <c r="I115" s="285"/>
      <c r="J115" s="383"/>
      <c r="K115" s="384"/>
      <c r="L115" s="295"/>
      <c r="M115" s="285"/>
      <c r="N115" s="303"/>
      <c r="O115" s="304"/>
      <c r="P115" s="295"/>
      <c r="Q115" s="304"/>
      <c r="R115" s="303"/>
      <c r="S115" s="304"/>
      <c r="T115" s="303"/>
      <c r="U115" s="304"/>
      <c r="V115" s="383"/>
      <c r="W115" s="384"/>
      <c r="X115" s="383"/>
      <c r="Y115" s="384"/>
      <c r="Z115" s="321"/>
      <c r="AA115" s="321"/>
      <c r="AB115" s="383"/>
      <c r="AC115" s="384"/>
      <c r="AD115" s="321"/>
      <c r="AE115" s="321"/>
      <c r="AF115" s="303"/>
      <c r="AG115" s="304"/>
      <c r="AH115" s="298"/>
      <c r="AT115" s="268" t="str">
        <f>IF(BC121&gt;0,"DR SPL - Cost of sales","CR SPL - Cost of sales")</f>
        <v>CR SPL - Cost of sales</v>
      </c>
      <c r="AU115" s="275">
        <f>IF($BC$121&gt;0,$BC$121,0)</f>
        <v>0</v>
      </c>
      <c r="AV115" s="268">
        <f>IF($BC$121&lt;0,-$BC$121,0)</f>
        <v>0</v>
      </c>
      <c r="AZ115" s="456" t="s">
        <v>1081</v>
      </c>
      <c r="BA115" s="444"/>
      <c r="BB115" s="444"/>
      <c r="BC115" s="541"/>
      <c r="BD115" s="441"/>
    </row>
    <row r="116" spans="2:58" x14ac:dyDescent="0.25">
      <c r="B116" s="233" t="s">
        <v>738</v>
      </c>
      <c r="C116" s="235" t="s">
        <v>725</v>
      </c>
      <c r="D116" s="236"/>
      <c r="E116" s="236"/>
      <c r="F116" s="236"/>
      <c r="G116" s="285"/>
      <c r="H116" s="303"/>
      <c r="I116" s="285"/>
      <c r="J116" s="383"/>
      <c r="K116" s="384"/>
      <c r="L116" s="295"/>
      <c r="M116" s="285"/>
      <c r="N116" s="303"/>
      <c r="O116" s="304"/>
      <c r="P116" s="295"/>
      <c r="Q116" s="304"/>
      <c r="R116" s="303"/>
      <c r="S116" s="304"/>
      <c r="T116" s="303"/>
      <c r="U116" s="304"/>
      <c r="V116" s="383"/>
      <c r="W116" s="384"/>
      <c r="X116" s="383"/>
      <c r="Y116" s="384"/>
      <c r="Z116" s="321"/>
      <c r="AA116" s="321"/>
      <c r="AB116" s="383"/>
      <c r="AC116" s="384"/>
      <c r="AD116" s="321"/>
      <c r="AE116" s="321"/>
      <c r="AF116" s="303"/>
      <c r="AG116" s="304"/>
      <c r="AH116" s="295"/>
      <c r="AT116" s="268" t="str">
        <f>IF(BC121&gt;0,"CR Inventory","DR Inventory")</f>
        <v>DR Inventory</v>
      </c>
      <c r="AU116" s="268">
        <f>IF($BC$121&lt;0,-$BC$121,0)</f>
        <v>0</v>
      </c>
      <c r="AV116" s="275">
        <f>IF($BC$121&gt;0,$BC$121,0)</f>
        <v>0</v>
      </c>
      <c r="AZ116" s="446" t="s">
        <v>1082</v>
      </c>
      <c r="BA116" s="444"/>
      <c r="BB116" s="444"/>
      <c r="BC116" s="452"/>
      <c r="BD116" s="441"/>
      <c r="BE116" s="402" t="s">
        <v>1576</v>
      </c>
    </row>
    <row r="117" spans="2:58" x14ac:dyDescent="0.25">
      <c r="B117" s="262" t="s">
        <v>739</v>
      </c>
      <c r="C117" s="260"/>
      <c r="D117" s="236"/>
      <c r="E117" s="236"/>
      <c r="F117" s="236"/>
      <c r="G117" s="285"/>
      <c r="H117" s="352"/>
      <c r="I117" s="331"/>
      <c r="J117" s="413"/>
      <c r="K117" s="414"/>
      <c r="L117" s="333"/>
      <c r="M117" s="331"/>
      <c r="N117" s="352"/>
      <c r="O117" s="353"/>
      <c r="P117" s="333"/>
      <c r="Q117" s="353"/>
      <c r="R117" s="352"/>
      <c r="S117" s="353"/>
      <c r="T117" s="352"/>
      <c r="U117" s="353"/>
      <c r="V117" s="413"/>
      <c r="W117" s="414"/>
      <c r="X117" s="413"/>
      <c r="Y117" s="414"/>
      <c r="Z117" s="321"/>
      <c r="AA117" s="321"/>
      <c r="AB117" s="383"/>
      <c r="AC117" s="384"/>
      <c r="AD117" s="321"/>
      <c r="AE117" s="321"/>
      <c r="AF117" s="352"/>
      <c r="AG117" s="353"/>
      <c r="AH117" s="335">
        <f>AH119-AH118</f>
        <v>0</v>
      </c>
      <c r="AZ117" s="446" t="s">
        <v>1083</v>
      </c>
      <c r="BA117" s="444"/>
      <c r="BB117" s="444"/>
      <c r="BC117" s="452"/>
      <c r="BD117" s="441"/>
    </row>
    <row r="118" spans="2:58" x14ac:dyDescent="0.25">
      <c r="B118" s="263" t="s">
        <v>682</v>
      </c>
      <c r="C118" s="260"/>
      <c r="D118" s="236"/>
      <c r="E118" s="236"/>
      <c r="F118" s="236"/>
      <c r="G118" s="285"/>
      <c r="H118" s="305"/>
      <c r="I118" s="326"/>
      <c r="J118" s="385"/>
      <c r="K118" s="380"/>
      <c r="L118" s="296"/>
      <c r="M118" s="326"/>
      <c r="N118" s="305"/>
      <c r="O118" s="306"/>
      <c r="P118" s="305">
        <f>SUMIF($AT$48:$AT$49,"DR SPL - Non-controlling interests",$AU$48:$AU$49)</f>
        <v>0</v>
      </c>
      <c r="Q118" s="306">
        <f>-SUMIF($AT$48:$AT$49,"DR SPL - Non-controlling interests",$AV$48:$AV$49)</f>
        <v>0</v>
      </c>
      <c r="R118" s="305">
        <f>SUMIF($AT$54:$AT$76,"DR SPL - Non-controlling interests",$AU$54:$AU$76)</f>
        <v>0</v>
      </c>
      <c r="S118" s="306">
        <f>-SUMIF($AT$54:$AT$76,"DR SPL - Non-controlling interests",$AV$54:$AV$76)</f>
        <v>0</v>
      </c>
      <c r="T118" s="305">
        <f>SUMIF($AT$54:$AT$76,"DR SPL - Non-controlling interests",$AU$54:$AU$76)</f>
        <v>0</v>
      </c>
      <c r="U118" s="306">
        <f>-SUMIF($AT$54:$AT$76,"DR SPL - Non-controlling interests",$AV$54:$AV$76)</f>
        <v>0</v>
      </c>
      <c r="V118" s="305">
        <f>SUMIF($AT$69:$AT$76,"DR SPL - Non-controlling interests",$AU$69:$AU$76)</f>
        <v>0</v>
      </c>
      <c r="W118" s="306">
        <f>-SUMIF($AT$69:$AT$76,"DR SPL - Non-controlling interests",$AV$69:$AV$76)</f>
        <v>0</v>
      </c>
      <c r="X118" s="385"/>
      <c r="Y118" s="380"/>
      <c r="Z118" s="296">
        <f>SUMIF($AT$86:$AT$97,"DR SPL - Non-controlling interests",$AU$86:$AU$97)</f>
        <v>0</v>
      </c>
      <c r="AA118" s="326">
        <f>-SUMIF($AT$86:$AT$97,"CR SPL - Non-controlling interests",$AV$86:$AV$97)</f>
        <v>0</v>
      </c>
      <c r="AB118" s="305"/>
      <c r="AC118" s="306"/>
      <c r="AD118" s="305">
        <f>SUMIF($AT$109:$AT$121,"DR NCI (SPL)",$AU$109:$AU$121)</f>
        <v>0</v>
      </c>
      <c r="AE118" s="306">
        <f>-SUMIF($AT$109:$AT$121,"CR NCI (SPL)",$AV$109:$AV$121)</f>
        <v>0</v>
      </c>
      <c r="AF118" s="305"/>
      <c r="AG118" s="306"/>
      <c r="AH118" s="298">
        <f>SUM(H118:AG118)</f>
        <v>0</v>
      </c>
      <c r="AR118" s="402" t="s">
        <v>1577</v>
      </c>
      <c r="AZ118" s="446" t="s">
        <v>1084</v>
      </c>
      <c r="BA118" s="543" t="str">
        <f>"=("&amp;BC116&amp;" * "&amp;'FV adjustments (consol)'!E57&amp;") - ("&amp;'Consol New'!BC117&amp;" * "&amp;'FV adjustments (consol)'!E58&amp;")"</f>
        <v>=( * ) - ( * )</v>
      </c>
      <c r="BB118" s="444"/>
      <c r="BC118" s="444">
        <f>'FV adjustments (consol)'!E58*'Consol New'!BC117-'Consol New'!BC116*'FV adjustments (consol)'!E57</f>
        <v>0</v>
      </c>
      <c r="BD118" s="441"/>
    </row>
    <row r="119" spans="2:58" ht="16.5" thickBot="1" x14ac:dyDescent="0.3">
      <c r="B119" s="233"/>
      <c r="C119" s="260"/>
      <c r="D119" s="236"/>
      <c r="E119" s="236"/>
      <c r="F119" s="236"/>
      <c r="G119" s="285"/>
      <c r="H119" s="303"/>
      <c r="I119" s="285"/>
      <c r="J119" s="383"/>
      <c r="K119" s="384"/>
      <c r="L119" s="295"/>
      <c r="M119" s="285"/>
      <c r="N119" s="303"/>
      <c r="O119" s="304"/>
      <c r="P119" s="295"/>
      <c r="Q119" s="304"/>
      <c r="R119" s="303"/>
      <c r="S119" s="304"/>
      <c r="T119" s="303"/>
      <c r="U119" s="304"/>
      <c r="V119" s="383"/>
      <c r="W119" s="384"/>
      <c r="X119" s="383"/>
      <c r="Y119" s="384"/>
      <c r="Z119" s="321"/>
      <c r="AA119" s="321"/>
      <c r="AB119" s="383"/>
      <c r="AC119" s="384"/>
      <c r="AD119" s="321"/>
      <c r="AE119" s="321"/>
      <c r="AF119" s="303"/>
      <c r="AG119" s="304"/>
      <c r="AH119" s="314">
        <f>AH114</f>
        <v>0</v>
      </c>
      <c r="AT119" s="268" t="s">
        <v>1580</v>
      </c>
      <c r="AU119" s="275">
        <f>AU109+AU113+AU115-AV109-AV113-AV115</f>
        <v>0</v>
      </c>
      <c r="AV119" s="268" t="str">
        <f>IF(AU119&gt;0,"DR","CR")</f>
        <v>CR</v>
      </c>
      <c r="AZ119" s="456" t="s">
        <v>67</v>
      </c>
      <c r="BA119" s="444"/>
      <c r="BB119" s="444"/>
      <c r="BC119" s="444"/>
      <c r="BD119" s="441"/>
    </row>
    <row r="120" spans="2:58" x14ac:dyDescent="0.25">
      <c r="B120" s="233" t="s">
        <v>740</v>
      </c>
      <c r="C120" s="260"/>
      <c r="D120" s="236"/>
      <c r="E120" s="236"/>
      <c r="F120" s="236"/>
      <c r="G120" s="285"/>
      <c r="H120" s="303"/>
      <c r="I120" s="285"/>
      <c r="J120" s="383"/>
      <c r="K120" s="384"/>
      <c r="L120" s="295"/>
      <c r="M120" s="285"/>
      <c r="N120" s="303"/>
      <c r="O120" s="304"/>
      <c r="P120" s="295"/>
      <c r="Q120" s="304"/>
      <c r="R120" s="303"/>
      <c r="S120" s="304"/>
      <c r="T120" s="303"/>
      <c r="U120" s="304"/>
      <c r="V120" s="383"/>
      <c r="W120" s="384"/>
      <c r="X120" s="383"/>
      <c r="Y120" s="384"/>
      <c r="Z120" s="321"/>
      <c r="AA120" s="321"/>
      <c r="AB120" s="383"/>
      <c r="AC120" s="384"/>
      <c r="AD120" s="321"/>
      <c r="AE120" s="321"/>
      <c r="AF120" s="303"/>
      <c r="AG120" s="304"/>
      <c r="AH120" s="298"/>
      <c r="AS120" s="673">
        <f>BC11</f>
        <v>0</v>
      </c>
      <c r="AT120" s="268" t="s">
        <v>1579</v>
      </c>
      <c r="AU120" s="540">
        <f>IF(AV119="DR",AU119*BC11,0)</f>
        <v>0</v>
      </c>
      <c r="AV120" s="268">
        <f>IF(AV119="CR",-AU119*BC11,0)</f>
        <v>0</v>
      </c>
      <c r="AZ120" s="446" t="s">
        <v>1085</v>
      </c>
      <c r="BA120" s="444"/>
      <c r="BB120" s="444"/>
      <c r="BC120" s="452"/>
      <c r="BD120" s="441"/>
    </row>
    <row r="121" spans="2:58" x14ac:dyDescent="0.25">
      <c r="B121" s="263" t="s">
        <v>739</v>
      </c>
      <c r="C121" s="260"/>
      <c r="D121" s="236"/>
      <c r="E121" s="236"/>
      <c r="F121" s="236"/>
      <c r="G121" s="285"/>
      <c r="H121" s="303"/>
      <c r="I121" s="285"/>
      <c r="J121" s="383"/>
      <c r="K121" s="384"/>
      <c r="L121" s="295"/>
      <c r="M121" s="285"/>
      <c r="N121" s="303"/>
      <c r="O121" s="304"/>
      <c r="P121" s="295"/>
      <c r="Q121" s="304"/>
      <c r="R121" s="303"/>
      <c r="S121" s="304"/>
      <c r="T121" s="303"/>
      <c r="U121" s="304"/>
      <c r="V121" s="383"/>
      <c r="W121" s="384"/>
      <c r="X121" s="383"/>
      <c r="Y121" s="384"/>
      <c r="Z121" s="321"/>
      <c r="AA121" s="321"/>
      <c r="AB121" s="383"/>
      <c r="AC121" s="384"/>
      <c r="AD121" s="321"/>
      <c r="AE121" s="321"/>
      <c r="AF121" s="303"/>
      <c r="AG121" s="304"/>
      <c r="AH121" s="335">
        <f>AH123-AH122</f>
        <v>0</v>
      </c>
      <c r="AS121" s="673">
        <f>BC11</f>
        <v>0</v>
      </c>
      <c r="AT121" s="268" t="s">
        <v>1578</v>
      </c>
      <c r="AU121" s="268">
        <f>IF(AV119="CR",-AU119*BC11,0)</f>
        <v>0</v>
      </c>
      <c r="AV121" s="268">
        <f>IF(AV119="DR",AU119*BC11,0)</f>
        <v>0</v>
      </c>
      <c r="AZ121" s="446" t="s">
        <v>1086</v>
      </c>
      <c r="BA121" s="444" t="str">
        <f>"("&amp;BC120&amp;" * "&amp;'FV adjustments (consol)'!F54&amp;")"</f>
        <v>( * 0)</v>
      </c>
      <c r="BB121" s="444"/>
      <c r="BC121" s="444">
        <f>BC120*'FV adjustments (consol)'!F54</f>
        <v>0</v>
      </c>
      <c r="BD121" s="441"/>
    </row>
    <row r="122" spans="2:58" ht="15.75" thickBot="1" x14ac:dyDescent="0.3">
      <c r="B122" s="263" t="s">
        <v>682</v>
      </c>
      <c r="C122" s="260"/>
      <c r="D122" s="236"/>
      <c r="E122" s="236"/>
      <c r="F122" s="236"/>
      <c r="G122" s="285"/>
      <c r="H122" s="305"/>
      <c r="I122" s="326"/>
      <c r="J122" s="385"/>
      <c r="K122" s="380"/>
      <c r="L122" s="296"/>
      <c r="M122" s="326"/>
      <c r="N122" s="305"/>
      <c r="O122" s="306"/>
      <c r="P122" s="296"/>
      <c r="Q122" s="306"/>
      <c r="R122" s="305"/>
      <c r="S122" s="306"/>
      <c r="T122" s="305"/>
      <c r="U122" s="306"/>
      <c r="V122" s="385"/>
      <c r="W122" s="380"/>
      <c r="X122" s="385"/>
      <c r="Y122" s="380"/>
      <c r="Z122" s="322"/>
      <c r="AA122" s="322"/>
      <c r="AB122" s="385"/>
      <c r="AC122" s="380"/>
      <c r="AD122" s="322"/>
      <c r="AE122" s="322"/>
      <c r="AF122" s="305"/>
      <c r="AG122" s="306"/>
      <c r="AH122" s="340">
        <f>H122-I122</f>
        <v>0</v>
      </c>
      <c r="AZ122" s="457"/>
      <c r="BA122" s="458"/>
      <c r="BB122" s="458"/>
      <c r="BC122" s="458"/>
      <c r="BD122" s="450"/>
    </row>
    <row r="123" spans="2:58" ht="16.5" thickBot="1" x14ac:dyDescent="0.3">
      <c r="B123" s="233"/>
      <c r="C123" s="260"/>
      <c r="D123" s="236"/>
      <c r="E123" s="236"/>
      <c r="F123" s="236"/>
      <c r="G123" s="285"/>
      <c r="H123" s="303"/>
      <c r="I123" s="285"/>
      <c r="J123" s="383"/>
      <c r="K123" s="384"/>
      <c r="L123" s="295"/>
      <c r="M123" s="285"/>
      <c r="N123" s="303"/>
      <c r="O123" s="304"/>
      <c r="P123" s="295"/>
      <c r="Q123" s="304"/>
      <c r="R123" s="303"/>
      <c r="S123" s="304"/>
      <c r="T123" s="303"/>
      <c r="U123" s="304"/>
      <c r="V123" s="383"/>
      <c r="W123" s="384"/>
      <c r="X123" s="383"/>
      <c r="Y123" s="384"/>
      <c r="Z123" s="321"/>
      <c r="AA123" s="321"/>
      <c r="AB123" s="383"/>
      <c r="AC123" s="384"/>
      <c r="AD123" s="321"/>
      <c r="AE123" s="321"/>
      <c r="AF123" s="303"/>
      <c r="AG123" s="304"/>
      <c r="AH123" s="314">
        <f>AH114</f>
        <v>0</v>
      </c>
      <c r="AS123" s="277">
        <v>13</v>
      </c>
      <c r="AT123" s="268" t="str">
        <f>IF(AU123&lt;&gt;0,"DR Retained earnings","CR Retained earnings")</f>
        <v>CR Retained earnings</v>
      </c>
      <c r="AU123" s="276">
        <f>IF($BC$136&gt;0,$BC$136,0)</f>
        <v>0</v>
      </c>
      <c r="AV123" s="276">
        <f>IF($BC$136&lt;0,-$BC$136,0)</f>
        <v>0</v>
      </c>
      <c r="BF123" s="402" t="s">
        <v>1339</v>
      </c>
    </row>
    <row r="124" spans="2:58" ht="15.75" x14ac:dyDescent="0.25">
      <c r="B124" s="233"/>
      <c r="C124" s="260"/>
      <c r="D124" s="236"/>
      <c r="E124" s="236"/>
      <c r="F124" s="236"/>
      <c r="G124" s="285"/>
      <c r="H124" s="303"/>
      <c r="I124" s="285"/>
      <c r="J124" s="383"/>
      <c r="K124" s="384"/>
      <c r="L124" s="295"/>
      <c r="M124" s="285"/>
      <c r="N124" s="303"/>
      <c r="O124" s="304"/>
      <c r="P124" s="295"/>
      <c r="Q124" s="304"/>
      <c r="R124" s="303"/>
      <c r="S124" s="304"/>
      <c r="T124" s="303"/>
      <c r="U124" s="304"/>
      <c r="V124" s="383"/>
      <c r="W124" s="384"/>
      <c r="X124" s="383"/>
      <c r="Y124" s="384"/>
      <c r="Z124" s="321"/>
      <c r="AA124" s="321"/>
      <c r="AB124" s="383"/>
      <c r="AC124" s="384"/>
      <c r="AD124" s="321"/>
      <c r="AE124" s="321"/>
      <c r="AF124" s="303"/>
      <c r="AG124" s="304"/>
      <c r="AH124" s="341"/>
      <c r="AT124" s="268" t="str">
        <f>IF(AU124&lt;&gt;0,"DR SPL","CR SPL")</f>
        <v>CR SPL</v>
      </c>
      <c r="AU124" s="276">
        <f>IF($BC$136&lt;0,-$BC$136,0)</f>
        <v>0</v>
      </c>
      <c r="AV124" s="276">
        <f>IF($BC$136&gt;0,$BC$136,0)</f>
        <v>0</v>
      </c>
      <c r="AZ124" s="451" t="s">
        <v>716</v>
      </c>
      <c r="BA124" s="427"/>
      <c r="BB124" s="427"/>
      <c r="BC124" s="427"/>
      <c r="BD124" s="429"/>
    </row>
    <row r="125" spans="2:58" ht="15.75" x14ac:dyDescent="0.25">
      <c r="B125" s="233" t="s">
        <v>741</v>
      </c>
      <c r="C125" s="260" t="s">
        <v>742</v>
      </c>
      <c r="D125" s="236"/>
      <c r="E125" s="236"/>
      <c r="F125" s="236"/>
      <c r="G125" s="285"/>
      <c r="H125" s="303"/>
      <c r="I125" s="285"/>
      <c r="J125" s="383"/>
      <c r="K125" s="384"/>
      <c r="L125" s="384"/>
      <c r="M125" s="285"/>
      <c r="N125" s="303"/>
      <c r="O125" s="304"/>
      <c r="P125" s="295"/>
      <c r="Q125" s="304"/>
      <c r="R125" s="303"/>
      <c r="S125" s="304"/>
      <c r="T125" s="303"/>
      <c r="U125" s="304"/>
      <c r="V125" s="383"/>
      <c r="W125" s="384"/>
      <c r="X125" s="383"/>
      <c r="Y125" s="384"/>
      <c r="Z125" s="321"/>
      <c r="AA125" s="321"/>
      <c r="AB125" s="383"/>
      <c r="AC125" s="384"/>
      <c r="AD125" s="321"/>
      <c r="AE125" s="321"/>
      <c r="AF125" s="303"/>
      <c r="AG125" s="304"/>
      <c r="AH125" s="294" t="s">
        <v>743</v>
      </c>
      <c r="AZ125" s="446" t="s">
        <v>714</v>
      </c>
      <c r="BA125" s="444"/>
      <c r="BB125" s="444"/>
      <c r="BC125" s="455">
        <f>BC35</f>
        <v>0</v>
      </c>
      <c r="BD125" s="441"/>
    </row>
    <row r="126" spans="2:58" x14ac:dyDescent="0.25">
      <c r="B126" s="263" t="s">
        <v>744</v>
      </c>
      <c r="C126" s="260"/>
      <c r="D126" s="236"/>
      <c r="E126" s="236"/>
      <c r="F126" s="236"/>
      <c r="G126" s="285"/>
      <c r="H126" s="303"/>
      <c r="I126" s="285"/>
      <c r="J126" s="383"/>
      <c r="K126" s="384"/>
      <c r="L126" s="321"/>
      <c r="M126" s="285"/>
      <c r="N126" s="303"/>
      <c r="O126" s="304"/>
      <c r="P126" s="295"/>
      <c r="Q126" s="304"/>
      <c r="R126" s="303"/>
      <c r="S126" s="304"/>
      <c r="T126" s="303"/>
      <c r="U126" s="304"/>
      <c r="V126" s="383"/>
      <c r="W126" s="384"/>
      <c r="X126" s="383"/>
      <c r="Y126" s="384"/>
      <c r="Z126" s="321"/>
      <c r="AA126" s="321"/>
      <c r="AB126" s="383"/>
      <c r="AC126" s="384"/>
      <c r="AD126" s="321"/>
      <c r="AE126" s="321"/>
      <c r="AF126" s="303"/>
      <c r="AG126" s="304"/>
      <c r="AH126" s="342"/>
      <c r="AZ126" s="446" t="s">
        <v>715</v>
      </c>
      <c r="BA126" s="444"/>
      <c r="BB126" s="444"/>
      <c r="BC126" s="445">
        <f>BC52</f>
        <v>0</v>
      </c>
      <c r="BD126" s="441"/>
    </row>
    <row r="127" spans="2:58" x14ac:dyDescent="0.25">
      <c r="B127" s="263" t="s">
        <v>745</v>
      </c>
      <c r="C127" s="235" t="s">
        <v>746</v>
      </c>
      <c r="D127" s="236"/>
      <c r="E127" s="236"/>
      <c r="F127" s="236"/>
      <c r="G127" s="285"/>
      <c r="H127" s="309"/>
      <c r="I127" s="355"/>
      <c r="J127" s="391"/>
      <c r="K127" s="392"/>
      <c r="L127" s="379"/>
      <c r="M127" s="355"/>
      <c r="N127" s="309"/>
      <c r="O127" s="310"/>
      <c r="P127" s="334"/>
      <c r="Q127" s="310"/>
      <c r="R127" s="309"/>
      <c r="S127" s="310"/>
      <c r="T127" s="309"/>
      <c r="U127" s="310"/>
      <c r="V127" s="391"/>
      <c r="W127" s="392"/>
      <c r="X127" s="391"/>
      <c r="Y127" s="392"/>
      <c r="Z127" s="379"/>
      <c r="AA127" s="379"/>
      <c r="AB127" s="391"/>
      <c r="AC127" s="392"/>
      <c r="AD127" s="379"/>
      <c r="AE127" s="379"/>
      <c r="AF127" s="309"/>
      <c r="AG127" s="310"/>
      <c r="AH127" s="343"/>
      <c r="AZ127" s="446" t="s">
        <v>897</v>
      </c>
      <c r="BA127" s="444"/>
      <c r="BB127" s="444"/>
      <c r="BC127" s="455">
        <f>BC92</f>
        <v>0</v>
      </c>
      <c r="BD127" s="441"/>
    </row>
    <row r="128" spans="2:58" x14ac:dyDescent="0.25">
      <c r="AV128" s="275"/>
      <c r="AZ128" s="446" t="s">
        <v>898</v>
      </c>
      <c r="BA128" s="444"/>
      <c r="BB128" s="444"/>
      <c r="BC128" s="455">
        <f>-BC93</f>
        <v>0</v>
      </c>
      <c r="BD128" s="441"/>
    </row>
    <row r="129" spans="9:56" x14ac:dyDescent="0.25">
      <c r="AZ129" s="446" t="s">
        <v>899</v>
      </c>
      <c r="BA129" s="444"/>
      <c r="BB129" s="444"/>
      <c r="BC129" s="455">
        <f>-BC96</f>
        <v>0</v>
      </c>
      <c r="BD129" s="441"/>
    </row>
    <row r="130" spans="9:56" ht="15.75" x14ac:dyDescent="0.25">
      <c r="I130" s="545">
        <f>SUM(H12:I59,H67:I127)</f>
        <v>0</v>
      </c>
      <c r="J130" s="545"/>
      <c r="K130" s="545">
        <f>SUM(J12:K59,J67:K127)</f>
        <v>0</v>
      </c>
      <c r="L130" s="545"/>
      <c r="M130" s="545">
        <f>SUM(L12:M59,L67:M127)</f>
        <v>0</v>
      </c>
      <c r="N130" s="545"/>
      <c r="O130" s="545">
        <f>SUM(N12:O59,N67:O127)</f>
        <v>0</v>
      </c>
      <c r="P130" s="545"/>
      <c r="Q130" s="545">
        <f>SUM(P12:Q59,P67:Q127)</f>
        <v>0</v>
      </c>
      <c r="R130" s="545"/>
      <c r="S130" s="545">
        <f>SUM(R12:S59,R67:S127)</f>
        <v>0</v>
      </c>
      <c r="T130" s="545"/>
      <c r="U130" s="545">
        <f>SUM(T12:U59,T67:U127)</f>
        <v>0</v>
      </c>
      <c r="V130" s="545"/>
      <c r="W130" s="545">
        <f>SUM(V12:W59,V67:W127)</f>
        <v>0</v>
      </c>
      <c r="X130" s="545"/>
      <c r="Y130" s="545">
        <f>SUM(X12:Y59,X67:Y127)</f>
        <v>0</v>
      </c>
      <c r="Z130" s="545"/>
      <c r="AA130" s="545">
        <f>SUM(Z12:AA59,Z67:AA127)</f>
        <v>0</v>
      </c>
      <c r="AB130" s="545"/>
      <c r="AC130" s="545">
        <f>SUM(AB12:AC59,AB67:AC127)</f>
        <v>0</v>
      </c>
      <c r="AD130" s="545"/>
      <c r="AE130" s="545">
        <f>SUM(AD12:AE59,AD67:AE127)</f>
        <v>0</v>
      </c>
      <c r="AF130" s="545"/>
      <c r="AG130" s="545">
        <f>SUM(AF12:AG59,AF67:AG127)</f>
        <v>0</v>
      </c>
      <c r="AZ130" s="446" t="s">
        <v>817</v>
      </c>
      <c r="BA130" s="444"/>
      <c r="BB130" s="444"/>
      <c r="BC130" s="445">
        <f>BC65</f>
        <v>0</v>
      </c>
      <c r="BD130" s="441"/>
    </row>
    <row r="131" spans="9:56" x14ac:dyDescent="0.25">
      <c r="AV131" s="275"/>
      <c r="AZ131" s="446" t="s">
        <v>788</v>
      </c>
      <c r="BA131" s="444"/>
      <c r="BB131" s="444"/>
      <c r="BC131" s="455">
        <f>AU69-AV70</f>
        <v>0</v>
      </c>
      <c r="BD131" s="441"/>
    </row>
    <row r="132" spans="9:56" x14ac:dyDescent="0.25">
      <c r="AZ132" s="446" t="s">
        <v>816</v>
      </c>
      <c r="BA132" s="444"/>
      <c r="BB132" s="444"/>
      <c r="BC132" s="455">
        <f>AU71</f>
        <v>0</v>
      </c>
      <c r="BD132" s="441"/>
    </row>
    <row r="133" spans="9:56" x14ac:dyDescent="0.25">
      <c r="AZ133" s="446" t="s">
        <v>789</v>
      </c>
      <c r="BA133" s="444"/>
      <c r="BB133" s="444"/>
      <c r="BC133" s="455">
        <f>-AV76</f>
        <v>0</v>
      </c>
      <c r="BD133" s="441"/>
    </row>
    <row r="134" spans="9:56" x14ac:dyDescent="0.25">
      <c r="AZ134" s="446" t="s">
        <v>869</v>
      </c>
      <c r="BA134" s="444"/>
      <c r="BB134" s="444"/>
      <c r="BC134" s="455">
        <f>-BC107</f>
        <v>0</v>
      </c>
      <c r="BD134" s="441"/>
    </row>
    <row r="135" spans="9:56" x14ac:dyDescent="0.25">
      <c r="AZ135" s="446" t="s">
        <v>1073</v>
      </c>
      <c r="BA135" s="444"/>
      <c r="BB135" s="444"/>
      <c r="BC135" s="455">
        <f>AU119+AU121-AV121</f>
        <v>0</v>
      </c>
      <c r="BD135" s="441"/>
    </row>
    <row r="136" spans="9:56" ht="16.5" thickBot="1" x14ac:dyDescent="0.3">
      <c r="AE136" s="544"/>
      <c r="AF136" s="545" t="s">
        <v>173</v>
      </c>
      <c r="AG136" s="545" t="s">
        <v>165</v>
      </c>
      <c r="AZ136" s="446"/>
      <c r="BA136" s="444"/>
      <c r="BB136" s="444"/>
      <c r="BC136" s="282">
        <f>SUM(BC125:BC135)</f>
        <v>0</v>
      </c>
      <c r="BD136" s="441"/>
    </row>
    <row r="137" spans="9:56" ht="31.5" thickTop="1" thickBot="1" x14ac:dyDescent="0.3">
      <c r="AE137" s="544" t="s">
        <v>89</v>
      </c>
      <c r="AF137" s="544">
        <f>SUM(AF67:AF127,AF12:AF59,AB12:AB59,AB67:AB127,Z67:Z127,Z12:Z59,AD12:AD59,AD67:AD127,X67:X127,X12:X59,V12:V59,V67:V127,T67:T127,T12:T59,R12:R59,R67:R127,P67:P127,P12:P59,N12:N59,N67:N127,L67:L127,L12:L59,J12:J59,J67:J127,H67:H127,H12:H59)</f>
        <v>500</v>
      </c>
      <c r="AG137" s="544">
        <f>SUM(AG67:AG127,AG12:AG59,AC12:AC59,AC67:AC127,AA67:AA127,AA12:AA59,AE12:AE59,AE67:AE127,Y67:Y127,Y12:Y59,W12:W59,W67:W127,U67:U127,U12:U59,S12:S59,S67:S127,Q67:Q127,Q12:Q59,O12:O59,O67:O127,M67:M127,M12:M59,K12:K59,K67:K127,I67:I127,I12:I59)</f>
        <v>-500</v>
      </c>
      <c r="AZ137" s="457"/>
      <c r="BA137" s="458"/>
      <c r="BB137" s="458"/>
      <c r="BC137" s="458"/>
      <c r="BD137" s="450"/>
    </row>
    <row r="138" spans="9:56" ht="30" x14ac:dyDescent="0.25">
      <c r="AE138" s="544" t="s">
        <v>1087</v>
      </c>
      <c r="AF138" s="544">
        <f>AU6</f>
        <v>500</v>
      </c>
      <c r="AG138" s="544">
        <f>-AV6</f>
        <v>-500</v>
      </c>
    </row>
    <row r="139" spans="9:56" x14ac:dyDescent="0.25">
      <c r="AE139" s="544"/>
      <c r="AF139" s="544">
        <f>AF137-AF138</f>
        <v>0</v>
      </c>
      <c r="AG139" s="544">
        <f>AG137-AG138</f>
        <v>0</v>
      </c>
      <c r="AI139" s="549" t="s">
        <v>1089</v>
      </c>
    </row>
  </sheetData>
  <mergeCells count="29">
    <mergeCell ref="Z7:AA7"/>
    <mergeCell ref="AF7:AG7"/>
    <mergeCell ref="R7:S7"/>
    <mergeCell ref="AB7:AC7"/>
    <mergeCell ref="AD7:AE7"/>
    <mergeCell ref="T7:U7"/>
    <mergeCell ref="V7:W7"/>
    <mergeCell ref="X7:Y7"/>
    <mergeCell ref="C6:C8"/>
    <mergeCell ref="H7:I7"/>
    <mergeCell ref="L7:M7"/>
    <mergeCell ref="N7:O7"/>
    <mergeCell ref="P7:Q7"/>
    <mergeCell ref="J7:K7"/>
    <mergeCell ref="BS16:CA19"/>
    <mergeCell ref="C63:C65"/>
    <mergeCell ref="H64:I64"/>
    <mergeCell ref="L64:M64"/>
    <mergeCell ref="N64:O64"/>
    <mergeCell ref="P64:Q64"/>
    <mergeCell ref="R64:S64"/>
    <mergeCell ref="T64:U64"/>
    <mergeCell ref="V64:W64"/>
    <mergeCell ref="X64:Y64"/>
    <mergeCell ref="AB64:AC64"/>
    <mergeCell ref="AD64:AE64"/>
    <mergeCell ref="J64:K64"/>
    <mergeCell ref="Z64:AA64"/>
    <mergeCell ref="AF64:AG64"/>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177B973-9DB2-4769-A015-6C654A4E0208}">
          <x14:formula1>
            <xm:f>Inputs!$B$42:$B$43</xm:f>
          </x14:formula1>
          <xm:sqref>AZ70 AZ86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5D34D5-B24B-498A-A93A-B74C9C8FDF55}">
  <sheetPr codeName="Sheet18"/>
  <dimension ref="A1:Y101"/>
  <sheetViews>
    <sheetView tabSelected="1" zoomScale="63" workbookViewId="0">
      <selection activeCell="H17" sqref="H17"/>
    </sheetView>
  </sheetViews>
  <sheetFormatPr defaultColWidth="8.7109375" defaultRowHeight="15" x14ac:dyDescent="0.2"/>
  <cols>
    <col min="1" max="1" width="2.140625" style="512" customWidth="1"/>
    <col min="2" max="2" width="8.7109375" style="512"/>
    <col min="3" max="3" width="15.85546875" style="512" customWidth="1"/>
    <col min="4" max="4" width="11.28515625" style="512" customWidth="1"/>
    <col min="5" max="5" width="17.5703125" style="512" customWidth="1"/>
    <col min="6" max="6" width="17.140625" style="512" customWidth="1"/>
    <col min="7" max="7" width="15" style="512" customWidth="1"/>
    <col min="8" max="8" width="13.42578125" style="512" customWidth="1"/>
    <col min="9" max="9" width="8.7109375" style="512"/>
    <col min="10" max="10" width="11.42578125" style="512" customWidth="1"/>
    <col min="11" max="12" width="12.5703125" style="512" bestFit="1" customWidth="1"/>
    <col min="13" max="13" width="17.42578125" style="512" customWidth="1"/>
    <col min="14" max="16384" width="8.7109375" style="512"/>
  </cols>
  <sheetData>
    <row r="1" spans="1:25" ht="14.1" customHeight="1" thickBot="1" x14ac:dyDescent="0.25"/>
    <row r="2" spans="1:25" ht="15.75" x14ac:dyDescent="0.25">
      <c r="B2" s="507" t="s">
        <v>982</v>
      </c>
      <c r="C2" s="427"/>
      <c r="D2" s="427"/>
      <c r="E2" s="427"/>
      <c r="F2" s="427"/>
      <c r="G2" s="429"/>
      <c r="K2" s="521" t="s">
        <v>1005</v>
      </c>
      <c r="S2" s="521" t="s">
        <v>1754</v>
      </c>
    </row>
    <row r="3" spans="1:25" x14ac:dyDescent="0.2">
      <c r="B3" s="469" t="s">
        <v>983</v>
      </c>
      <c r="C3" s="444"/>
      <c r="D3" s="444"/>
      <c r="E3" s="444"/>
      <c r="F3" s="444"/>
      <c r="G3" s="470"/>
      <c r="K3" s="512" t="s">
        <v>1006</v>
      </c>
      <c r="M3" s="519"/>
      <c r="S3" s="512" t="s">
        <v>1752</v>
      </c>
      <c r="W3" s="519"/>
      <c r="Y3" s="513" t="s">
        <v>1756</v>
      </c>
    </row>
    <row r="4" spans="1:25" x14ac:dyDescent="0.2">
      <c r="B4" s="469" t="s">
        <v>984</v>
      </c>
      <c r="C4" s="444"/>
      <c r="D4" s="444"/>
      <c r="E4" s="444"/>
      <c r="F4" s="444"/>
      <c r="G4" s="470"/>
      <c r="K4" s="512" t="s">
        <v>240</v>
      </c>
      <c r="M4" s="546"/>
      <c r="S4" s="512" t="s">
        <v>1753</v>
      </c>
      <c r="W4" s="519"/>
    </row>
    <row r="5" spans="1:25" x14ac:dyDescent="0.2">
      <c r="B5" s="469" t="s">
        <v>985</v>
      </c>
      <c r="C5" s="444"/>
      <c r="D5" s="532" t="s">
        <v>1021</v>
      </c>
      <c r="E5" s="532" t="s">
        <v>1006</v>
      </c>
      <c r="F5" s="532" t="s">
        <v>1022</v>
      </c>
      <c r="G5" s="471"/>
      <c r="K5" s="512" t="s">
        <v>489</v>
      </c>
      <c r="M5" s="519"/>
      <c r="S5" s="512" t="s">
        <v>1754</v>
      </c>
      <c r="W5" s="512">
        <f>W4-W3</f>
        <v>0</v>
      </c>
    </row>
    <row r="6" spans="1:25" x14ac:dyDescent="0.2">
      <c r="B6" s="469"/>
      <c r="C6" s="444"/>
      <c r="D6" s="425"/>
      <c r="E6" s="425"/>
      <c r="F6" s="425"/>
      <c r="G6" s="471">
        <f>F6*D6</f>
        <v>0</v>
      </c>
      <c r="K6" s="512" t="s">
        <v>228</v>
      </c>
      <c r="M6" s="534">
        <f>(M3)/(1+M4)^M5</f>
        <v>0</v>
      </c>
      <c r="N6" s="512" t="str">
        <f>"=("&amp;M3&amp;")/(1+"&amp;M4&amp;")^"&amp;M5</f>
        <v>=()/(1+)^</v>
      </c>
    </row>
    <row r="7" spans="1:25" x14ac:dyDescent="0.2">
      <c r="B7" s="469" t="s">
        <v>988</v>
      </c>
      <c r="C7" s="444"/>
      <c r="D7" s="425"/>
      <c r="E7" s="444"/>
      <c r="F7" s="444"/>
      <c r="G7" s="471">
        <f>D7*F6</f>
        <v>0</v>
      </c>
      <c r="H7" s="513" t="s">
        <v>843</v>
      </c>
    </row>
    <row r="8" spans="1:25" x14ac:dyDescent="0.2">
      <c r="B8" s="469" t="s">
        <v>986</v>
      </c>
      <c r="C8" s="444"/>
      <c r="D8" s="444"/>
      <c r="E8" s="444"/>
      <c r="F8" s="444"/>
      <c r="G8" s="470"/>
    </row>
    <row r="9" spans="1:25" x14ac:dyDescent="0.2">
      <c r="B9" s="469" t="s">
        <v>987</v>
      </c>
      <c r="C9" s="508"/>
      <c r="D9" s="508"/>
      <c r="E9" s="444"/>
      <c r="F9" s="444"/>
      <c r="G9" s="470"/>
      <c r="K9" s="513" t="s">
        <v>1799</v>
      </c>
    </row>
    <row r="10" spans="1:25" ht="16.5" thickBot="1" x14ac:dyDescent="0.25">
      <c r="B10" s="457"/>
      <c r="C10" s="509"/>
      <c r="D10" s="509"/>
      <c r="E10" s="458"/>
      <c r="F10" s="458"/>
      <c r="G10" s="535">
        <f>SUM(G3:G9)</f>
        <v>0</v>
      </c>
    </row>
    <row r="11" spans="1:25" x14ac:dyDescent="0.2">
      <c r="K11" s="512" t="s">
        <v>1802</v>
      </c>
      <c r="M11" s="512">
        <f>M4*M3</f>
        <v>0</v>
      </c>
      <c r="N11" s="513" t="str">
        <f>"= "&amp;M4*100&amp;"% * "&amp;M3</f>
        <v xml:space="preserve">= 0% * </v>
      </c>
    </row>
    <row r="12" spans="1:25" x14ac:dyDescent="0.2">
      <c r="B12" s="510" t="s">
        <v>372</v>
      </c>
      <c r="C12" s="514"/>
      <c r="D12" s="514"/>
      <c r="E12" s="515">
        <f>G10</f>
        <v>0</v>
      </c>
      <c r="F12" s="514"/>
    </row>
    <row r="13" spans="1:25" x14ac:dyDescent="0.2">
      <c r="B13" s="510" t="s">
        <v>989</v>
      </c>
      <c r="C13" s="514"/>
      <c r="D13" s="514"/>
      <c r="E13" s="514"/>
      <c r="F13" s="515">
        <f>G3</f>
        <v>0</v>
      </c>
      <c r="K13" s="512" t="s">
        <v>992</v>
      </c>
      <c r="N13" s="512">
        <f>M11</f>
        <v>0</v>
      </c>
    </row>
    <row r="14" spans="1:25" x14ac:dyDescent="0.2">
      <c r="B14" s="510" t="s">
        <v>991</v>
      </c>
      <c r="C14" s="514"/>
      <c r="D14" s="514"/>
      <c r="E14" s="514"/>
      <c r="F14" s="525">
        <f>D6*E6</f>
        <v>0</v>
      </c>
      <c r="K14" s="512" t="s">
        <v>1803</v>
      </c>
      <c r="M14" s="512">
        <f>M11</f>
        <v>0</v>
      </c>
    </row>
    <row r="15" spans="1:25" x14ac:dyDescent="0.2">
      <c r="A15" s="514"/>
      <c r="B15" s="510" t="s">
        <v>990</v>
      </c>
      <c r="C15" s="514"/>
      <c r="D15" s="514"/>
      <c r="E15" s="514"/>
      <c r="F15" s="515">
        <f>G6-F14</f>
        <v>0</v>
      </c>
    </row>
    <row r="16" spans="1:25" x14ac:dyDescent="0.2">
      <c r="A16" s="514"/>
      <c r="B16" s="510" t="s">
        <v>992</v>
      </c>
      <c r="C16" s="514"/>
      <c r="D16" s="514"/>
      <c r="E16" s="514"/>
      <c r="F16" s="515">
        <f>G4</f>
        <v>0</v>
      </c>
    </row>
    <row r="17" spans="1:14" x14ac:dyDescent="0.2">
      <c r="A17" s="514"/>
      <c r="B17" s="510" t="s">
        <v>1023</v>
      </c>
      <c r="C17" s="514"/>
      <c r="D17" s="514"/>
      <c r="E17" s="514"/>
      <c r="F17" s="515">
        <f>G7</f>
        <v>0</v>
      </c>
    </row>
    <row r="18" spans="1:14" x14ac:dyDescent="0.2">
      <c r="A18" s="514"/>
      <c r="B18" s="510" t="str">
        <f>IF(W5&gt;0,"CR SPL - gain on disposal","DR SPL - Loss on disposal")</f>
        <v>DR SPL - Loss on disposal</v>
      </c>
      <c r="C18" s="514"/>
      <c r="D18" s="514"/>
      <c r="E18" s="515">
        <f>IF(W5&lt;0,-W5,0)</f>
        <v>0</v>
      </c>
      <c r="F18" s="515">
        <f>IF(W5&gt;0,W5,0)</f>
        <v>0</v>
      </c>
      <c r="K18" s="512" t="s">
        <v>1162</v>
      </c>
      <c r="M18" s="512">
        <v>14</v>
      </c>
    </row>
    <row r="19" spans="1:14" x14ac:dyDescent="0.2">
      <c r="A19" s="514"/>
      <c r="B19" s="510" t="s">
        <v>1800</v>
      </c>
      <c r="C19" s="514"/>
      <c r="D19" s="514"/>
      <c r="E19" s="514"/>
      <c r="F19" s="515">
        <f>G8</f>
        <v>0</v>
      </c>
      <c r="K19" s="512" t="s">
        <v>1008</v>
      </c>
      <c r="N19" s="512">
        <v>14</v>
      </c>
    </row>
    <row r="20" spans="1:14" x14ac:dyDescent="0.2">
      <c r="A20" s="514"/>
      <c r="B20" s="510" t="s">
        <v>1755</v>
      </c>
      <c r="C20" s="514"/>
      <c r="D20" s="514"/>
      <c r="E20" s="514"/>
      <c r="F20" s="515">
        <f>W3</f>
        <v>0</v>
      </c>
    </row>
    <row r="21" spans="1:14" x14ac:dyDescent="0.2">
      <c r="A21" s="514"/>
      <c r="B21" s="514"/>
      <c r="C21" s="514"/>
      <c r="D21" s="514"/>
      <c r="E21" s="514"/>
      <c r="F21" s="514"/>
      <c r="K21" s="512" t="s">
        <v>611</v>
      </c>
      <c r="N21" s="512">
        <f>560-535</f>
        <v>25</v>
      </c>
    </row>
    <row r="22" spans="1:14" ht="15.75" x14ac:dyDescent="0.2">
      <c r="A22" s="514"/>
      <c r="B22" s="511" t="s">
        <v>993</v>
      </c>
      <c r="C22" s="514"/>
      <c r="D22" s="514"/>
      <c r="E22" s="514"/>
      <c r="F22" s="514"/>
      <c r="I22" s="747"/>
      <c r="K22" s="512" t="s">
        <v>1884</v>
      </c>
      <c r="N22" s="512">
        <v>25</v>
      </c>
    </row>
    <row r="23" spans="1:14" x14ac:dyDescent="0.2">
      <c r="A23" s="514"/>
      <c r="B23" s="510" t="s">
        <v>994</v>
      </c>
      <c r="C23" s="514"/>
      <c r="D23" s="514"/>
      <c r="E23" s="519"/>
      <c r="F23" s="519"/>
    </row>
    <row r="24" spans="1:14" x14ac:dyDescent="0.2">
      <c r="A24" s="514"/>
      <c r="B24" s="510" t="s">
        <v>989</v>
      </c>
      <c r="C24" s="514"/>
      <c r="D24" s="514"/>
      <c r="E24" s="519"/>
      <c r="F24" s="519"/>
      <c r="K24" s="512" t="s">
        <v>1885</v>
      </c>
      <c r="N24" s="512">
        <v>65</v>
      </c>
    </row>
    <row r="25" spans="1:14" x14ac:dyDescent="0.2">
      <c r="A25" s="514"/>
      <c r="B25" s="510"/>
      <c r="C25" s="514"/>
      <c r="D25" s="514"/>
      <c r="E25" s="514"/>
      <c r="F25" s="514"/>
      <c r="K25" s="512" t="s">
        <v>1886</v>
      </c>
      <c r="N25" s="512">
        <v>65</v>
      </c>
    </row>
    <row r="26" spans="1:14" x14ac:dyDescent="0.2">
      <c r="A26" s="514"/>
      <c r="B26" s="510" t="s">
        <v>1007</v>
      </c>
      <c r="C26" s="514"/>
      <c r="D26" s="514"/>
      <c r="E26" s="519"/>
      <c r="F26" s="519"/>
    </row>
    <row r="27" spans="1:14" x14ac:dyDescent="0.2">
      <c r="A27" s="514"/>
      <c r="B27" s="510" t="s">
        <v>1008</v>
      </c>
      <c r="C27" s="514"/>
      <c r="D27" s="514"/>
      <c r="E27" s="519"/>
      <c r="F27" s="519"/>
    </row>
    <row r="28" spans="1:14" x14ac:dyDescent="0.2">
      <c r="A28" s="514"/>
      <c r="B28" s="510"/>
      <c r="C28" s="514"/>
      <c r="D28" s="514"/>
      <c r="E28" s="514"/>
      <c r="F28" s="514"/>
      <c r="G28" s="514"/>
      <c r="H28" s="514"/>
      <c r="I28" s="514"/>
      <c r="J28" s="514"/>
      <c r="K28" s="514"/>
    </row>
    <row r="29" spans="1:14" x14ac:dyDescent="0.2">
      <c r="A29" s="514"/>
      <c r="B29" s="510" t="s">
        <v>1009</v>
      </c>
      <c r="C29" s="514"/>
      <c r="D29" s="514"/>
      <c r="E29" s="519"/>
      <c r="F29" s="519"/>
    </row>
    <row r="30" spans="1:14" x14ac:dyDescent="0.2">
      <c r="A30" s="514"/>
      <c r="B30" s="510" t="s">
        <v>989</v>
      </c>
      <c r="C30" s="514"/>
      <c r="D30" s="514"/>
      <c r="E30" s="519"/>
      <c r="F30" s="519"/>
    </row>
    <row r="31" spans="1:14" x14ac:dyDescent="0.2">
      <c r="A31" s="514"/>
      <c r="B31" s="510"/>
      <c r="C31" s="514"/>
      <c r="D31" s="514"/>
      <c r="E31" s="514"/>
      <c r="F31" s="514"/>
    </row>
    <row r="32" spans="1:14" ht="15.95" customHeight="1" x14ac:dyDescent="0.2">
      <c r="A32" s="514"/>
      <c r="B32" s="809" t="s">
        <v>1571</v>
      </c>
      <c r="C32" s="809"/>
      <c r="D32" s="809"/>
      <c r="E32" s="809"/>
      <c r="F32" s="809"/>
      <c r="G32" s="809"/>
      <c r="H32" s="809"/>
      <c r="I32" s="809"/>
      <c r="J32" s="809"/>
      <c r="K32" s="809"/>
    </row>
    <row r="33" spans="1:15" x14ac:dyDescent="0.2">
      <c r="A33" s="514"/>
      <c r="B33" s="809"/>
      <c r="C33" s="809"/>
      <c r="D33" s="809"/>
      <c r="E33" s="809"/>
      <c r="F33" s="809"/>
      <c r="G33" s="809"/>
      <c r="H33" s="809"/>
      <c r="I33" s="809"/>
      <c r="J33" s="809"/>
      <c r="K33" s="809"/>
    </row>
    <row r="34" spans="1:15" ht="15.6" customHeight="1" x14ac:dyDescent="0.2">
      <c r="A34" s="514"/>
      <c r="B34" s="809"/>
      <c r="C34" s="809"/>
      <c r="D34" s="809"/>
      <c r="E34" s="809"/>
      <c r="F34" s="809"/>
      <c r="G34" s="809"/>
      <c r="H34" s="809"/>
      <c r="I34" s="809"/>
      <c r="J34" s="809"/>
      <c r="K34" s="809"/>
    </row>
    <row r="35" spans="1:15" x14ac:dyDescent="0.2">
      <c r="A35" s="514"/>
      <c r="B35" s="809"/>
      <c r="C35" s="809"/>
      <c r="D35" s="809"/>
      <c r="E35" s="809"/>
      <c r="F35" s="809"/>
      <c r="G35" s="809"/>
      <c r="H35" s="809"/>
      <c r="I35" s="809"/>
      <c r="J35" s="809"/>
      <c r="K35" s="809"/>
      <c r="O35" s="513" t="s">
        <v>1000</v>
      </c>
    </row>
    <row r="36" spans="1:15" x14ac:dyDescent="0.2">
      <c r="A36" s="514"/>
      <c r="B36" s="809"/>
      <c r="C36" s="809"/>
      <c r="D36" s="809"/>
      <c r="E36" s="809"/>
      <c r="F36" s="809"/>
      <c r="G36" s="809"/>
      <c r="H36" s="809"/>
      <c r="I36" s="809"/>
      <c r="J36" s="809"/>
      <c r="K36" s="809"/>
    </row>
    <row r="37" spans="1:15" x14ac:dyDescent="0.2">
      <c r="A37" s="514"/>
      <c r="B37" s="809"/>
      <c r="C37" s="809"/>
      <c r="D37" s="809"/>
      <c r="E37" s="809"/>
      <c r="F37" s="809"/>
      <c r="G37" s="809"/>
      <c r="H37" s="809"/>
      <c r="I37" s="809"/>
      <c r="J37" s="809"/>
      <c r="K37" s="809"/>
      <c r="O37" s="513" t="s">
        <v>1020</v>
      </c>
    </row>
    <row r="38" spans="1:15" ht="15.75" x14ac:dyDescent="0.25">
      <c r="A38" s="514"/>
      <c r="B38" s="517" t="s">
        <v>1010</v>
      </c>
      <c r="C38" s="514"/>
      <c r="D38" s="514"/>
      <c r="E38" s="514"/>
      <c r="F38" s="539" t="s">
        <v>114</v>
      </c>
    </row>
    <row r="39" spans="1:15" x14ac:dyDescent="0.2">
      <c r="A39" s="514"/>
      <c r="B39" s="672" t="s">
        <v>1887</v>
      </c>
      <c r="C39" s="514"/>
      <c r="D39" s="514"/>
      <c r="E39" s="514"/>
      <c r="F39" s="514"/>
      <c r="O39" s="513" t="s">
        <v>1028</v>
      </c>
    </row>
    <row r="40" spans="1:15" ht="15.75" x14ac:dyDescent="0.2">
      <c r="B40" s="511" t="s">
        <v>36</v>
      </c>
    </row>
    <row r="41" spans="1:15" x14ac:dyDescent="0.2">
      <c r="A41" s="514"/>
      <c r="B41" s="510" t="s">
        <v>1011</v>
      </c>
      <c r="C41" s="514"/>
      <c r="D41" s="514"/>
      <c r="E41" s="743"/>
      <c r="O41" s="512" t="s">
        <v>1033</v>
      </c>
    </row>
    <row r="42" spans="1:15" x14ac:dyDescent="0.2">
      <c r="B42" s="510" t="s">
        <v>233</v>
      </c>
      <c r="E42" s="516"/>
      <c r="H42" s="530" t="str">
        <f>IF(F44&gt;0,"DR PPE","CR PPE")</f>
        <v>CR PPE</v>
      </c>
      <c r="I42" s="530"/>
      <c r="J42" s="530"/>
      <c r="K42" s="531">
        <f>F44</f>
        <v>0</v>
      </c>
      <c r="L42" s="530"/>
    </row>
    <row r="43" spans="1:15" x14ac:dyDescent="0.2">
      <c r="B43" s="510" t="s">
        <v>293</v>
      </c>
      <c r="E43" s="516"/>
      <c r="H43" s="530" t="str">
        <f>IF(E41="Yes","CR Revaluation surplus"," ")</f>
        <v xml:space="preserve"> </v>
      </c>
      <c r="I43" s="530"/>
      <c r="J43" s="530"/>
      <c r="K43" s="530"/>
      <c r="L43" s="531">
        <f>IF(E41="Yes",F44,0)</f>
        <v>0</v>
      </c>
    </row>
    <row r="44" spans="1:15" x14ac:dyDescent="0.2">
      <c r="F44" s="518">
        <f>E43-E42</f>
        <v>0</v>
      </c>
      <c r="H44" s="530"/>
      <c r="I44" s="530"/>
      <c r="J44" s="530"/>
      <c r="K44" s="530"/>
      <c r="L44" s="530"/>
      <c r="O44" s="512" t="s">
        <v>1034</v>
      </c>
    </row>
    <row r="45" spans="1:15" x14ac:dyDescent="0.2">
      <c r="F45" s="518"/>
      <c r="H45" s="530"/>
      <c r="I45" s="530"/>
      <c r="J45" s="530"/>
      <c r="K45" s="530"/>
      <c r="L45" s="530"/>
    </row>
    <row r="46" spans="1:15" ht="15.75" x14ac:dyDescent="0.2">
      <c r="B46" s="511" t="s">
        <v>1074</v>
      </c>
      <c r="H46" s="530"/>
      <c r="I46" s="530"/>
      <c r="J46" s="530"/>
      <c r="K46" s="530"/>
      <c r="L46" s="530"/>
      <c r="O46" s="512" t="s">
        <v>1035</v>
      </c>
    </row>
    <row r="47" spans="1:15" x14ac:dyDescent="0.2">
      <c r="B47" s="510" t="s">
        <v>1011</v>
      </c>
      <c r="E47" s="519"/>
      <c r="H47" s="530"/>
      <c r="I47" s="530"/>
      <c r="J47" s="530"/>
      <c r="K47" s="530"/>
      <c r="L47" s="530"/>
    </row>
    <row r="48" spans="1:15" x14ac:dyDescent="0.2">
      <c r="B48" s="510" t="s">
        <v>233</v>
      </c>
      <c r="E48" s="516"/>
      <c r="H48" s="530" t="s">
        <v>1088</v>
      </c>
      <c r="I48" s="530"/>
      <c r="J48" s="530"/>
      <c r="K48" s="531">
        <f>F50</f>
        <v>0</v>
      </c>
      <c r="L48" s="530"/>
    </row>
    <row r="49" spans="2:21" x14ac:dyDescent="0.2">
      <c r="B49" s="510" t="s">
        <v>293</v>
      </c>
      <c r="E49" s="516"/>
      <c r="H49" s="530" t="str">
        <f>IF(E47="Yes","CR Revaluation surplus"," ")</f>
        <v xml:space="preserve"> </v>
      </c>
      <c r="I49" s="530"/>
      <c r="J49" s="530"/>
      <c r="K49" s="530"/>
      <c r="L49" s="531">
        <f>IF(E47="Yes",F50,0)</f>
        <v>0</v>
      </c>
    </row>
    <row r="50" spans="2:21" ht="15.75" x14ac:dyDescent="0.2">
      <c r="B50" s="511"/>
      <c r="F50" s="518">
        <f>E49-E48</f>
        <v>0</v>
      </c>
      <c r="H50" s="530"/>
      <c r="I50" s="530"/>
      <c r="J50" s="530"/>
      <c r="K50" s="530"/>
      <c r="L50" s="530"/>
      <c r="O50" s="512" t="s">
        <v>1030</v>
      </c>
      <c r="T50" s="533"/>
    </row>
    <row r="51" spans="2:21" ht="15.75" x14ac:dyDescent="0.2">
      <c r="B51" s="511" t="s">
        <v>56</v>
      </c>
      <c r="H51" s="530"/>
      <c r="I51" s="530"/>
      <c r="J51" s="530"/>
      <c r="K51" s="530"/>
      <c r="L51" s="530"/>
    </row>
    <row r="52" spans="2:21" x14ac:dyDescent="0.2">
      <c r="B52" s="510" t="s">
        <v>233</v>
      </c>
      <c r="E52" s="519"/>
      <c r="H52" s="530" t="s">
        <v>995</v>
      </c>
      <c r="I52" s="530"/>
      <c r="J52" s="530"/>
      <c r="K52" s="530">
        <f>F54</f>
        <v>0</v>
      </c>
      <c r="L52" s="530"/>
      <c r="O52" s="512" t="s">
        <v>323</v>
      </c>
      <c r="T52" s="512">
        <f>$T$50*$K$52</f>
        <v>0</v>
      </c>
    </row>
    <row r="53" spans="2:21" x14ac:dyDescent="0.2">
      <c r="B53" s="510" t="s">
        <v>293</v>
      </c>
      <c r="E53" s="519"/>
      <c r="H53" s="530"/>
      <c r="I53" s="530"/>
      <c r="J53" s="530"/>
      <c r="K53" s="530"/>
      <c r="L53" s="530"/>
      <c r="O53" s="512" t="s">
        <v>321</v>
      </c>
      <c r="U53" s="512">
        <f>$T$50*$K$52</f>
        <v>0</v>
      </c>
    </row>
    <row r="54" spans="2:21" x14ac:dyDescent="0.2">
      <c r="F54" s="512">
        <f>E53-E52</f>
        <v>0</v>
      </c>
      <c r="H54" s="530"/>
      <c r="I54" s="530"/>
      <c r="J54" s="530"/>
      <c r="K54" s="530"/>
      <c r="L54" s="530"/>
    </row>
    <row r="55" spans="2:21" x14ac:dyDescent="0.2">
      <c r="B55" s="513" t="s">
        <v>1573</v>
      </c>
      <c r="H55" s="530"/>
      <c r="I55" s="530"/>
      <c r="J55" s="530"/>
      <c r="K55" s="530"/>
      <c r="L55" s="530"/>
      <c r="O55" s="512" t="s">
        <v>1031</v>
      </c>
      <c r="T55" s="533"/>
    </row>
    <row r="56" spans="2:21" ht="15.75" x14ac:dyDescent="0.25">
      <c r="B56" s="521" t="s">
        <v>1029</v>
      </c>
      <c r="H56" s="530"/>
      <c r="I56" s="530"/>
      <c r="J56" s="530"/>
      <c r="K56" s="530"/>
      <c r="L56" s="530"/>
      <c r="O56" s="512" t="s">
        <v>1032</v>
      </c>
      <c r="T56" s="536"/>
    </row>
    <row r="57" spans="2:21" x14ac:dyDescent="0.2">
      <c r="B57" s="512" t="s">
        <v>233</v>
      </c>
      <c r="E57" s="519"/>
      <c r="H57" s="530" t="str">
        <f>IF(F59&gt;0,"DR bond liability","CR bond liability")</f>
        <v>CR bond liability</v>
      </c>
      <c r="I57" s="530"/>
      <c r="J57" s="530"/>
      <c r="K57" s="530"/>
      <c r="L57" s="530">
        <f>IF(F59&gt;0,F59,-F59)</f>
        <v>0</v>
      </c>
    </row>
    <row r="58" spans="2:21" x14ac:dyDescent="0.2">
      <c r="B58" s="512" t="s">
        <v>293</v>
      </c>
      <c r="E58" s="519"/>
      <c r="H58" s="530"/>
      <c r="I58" s="530"/>
      <c r="J58" s="530"/>
      <c r="K58" s="530"/>
      <c r="L58" s="530"/>
      <c r="O58" s="512" t="s">
        <v>611</v>
      </c>
      <c r="T58" s="512">
        <f>E57*T55-E58*T56</f>
        <v>0</v>
      </c>
    </row>
    <row r="59" spans="2:21" x14ac:dyDescent="0.2">
      <c r="F59" s="512">
        <f>-(E58-E57)</f>
        <v>0</v>
      </c>
      <c r="H59" s="530"/>
      <c r="I59" s="530"/>
      <c r="J59" s="530"/>
      <c r="K59" s="530"/>
      <c r="L59" s="530"/>
      <c r="O59" s="512" t="s">
        <v>1037</v>
      </c>
      <c r="U59" s="512">
        <f>E57*T55-E58*T56</f>
        <v>0</v>
      </c>
    </row>
    <row r="60" spans="2:21" ht="15.75" x14ac:dyDescent="0.25">
      <c r="B60" s="521" t="s">
        <v>396</v>
      </c>
      <c r="H60" s="530"/>
      <c r="I60" s="530"/>
      <c r="J60" s="530"/>
      <c r="K60" s="530"/>
      <c r="L60" s="530"/>
    </row>
    <row r="61" spans="2:21" x14ac:dyDescent="0.2">
      <c r="B61" s="512" t="s">
        <v>233</v>
      </c>
      <c r="E61" s="519"/>
      <c r="H61" s="530" t="s">
        <v>1012</v>
      </c>
      <c r="I61" s="530"/>
      <c r="J61" s="530"/>
      <c r="K61" s="530">
        <f>F63</f>
        <v>0</v>
      </c>
      <c r="L61" s="530"/>
    </row>
    <row r="62" spans="2:21" x14ac:dyDescent="0.2">
      <c r="B62" s="512" t="s">
        <v>293</v>
      </c>
      <c r="E62" s="519"/>
      <c r="H62" s="530"/>
      <c r="I62" s="530"/>
      <c r="J62" s="530"/>
      <c r="K62" s="530"/>
      <c r="L62" s="530"/>
      <c r="O62" s="512" t="s">
        <v>1036</v>
      </c>
      <c r="T62" s="512">
        <f>-U59+T44+T52</f>
        <v>0</v>
      </c>
    </row>
    <row r="63" spans="2:21" x14ac:dyDescent="0.2">
      <c r="F63" s="512">
        <f>E62-E61</f>
        <v>0</v>
      </c>
      <c r="H63" s="530"/>
      <c r="I63" s="530"/>
      <c r="J63" s="530"/>
      <c r="K63" s="530"/>
      <c r="L63" s="530"/>
    </row>
    <row r="64" spans="2:21" x14ac:dyDescent="0.2">
      <c r="B64" s="513" t="s">
        <v>1572</v>
      </c>
      <c r="H64" s="530"/>
      <c r="I64" s="530"/>
      <c r="J64" s="530"/>
      <c r="K64" s="530"/>
      <c r="L64" s="530"/>
      <c r="O64" s="512" t="s">
        <v>1038</v>
      </c>
      <c r="T64" s="519"/>
    </row>
    <row r="65" spans="2:21" ht="15.75" x14ac:dyDescent="0.2">
      <c r="B65" s="511" t="s">
        <v>996</v>
      </c>
      <c r="H65" s="530"/>
      <c r="I65" s="530"/>
      <c r="J65" s="530"/>
      <c r="K65" s="530"/>
      <c r="L65" s="530"/>
    </row>
    <row r="66" spans="2:21" x14ac:dyDescent="0.2">
      <c r="B66" s="510" t="s">
        <v>997</v>
      </c>
      <c r="F66" s="520"/>
      <c r="H66" s="530" t="s">
        <v>998</v>
      </c>
      <c r="I66" s="530"/>
      <c r="J66" s="530"/>
      <c r="K66" s="531">
        <f>F66+F69</f>
        <v>0</v>
      </c>
      <c r="L66" s="530"/>
    </row>
    <row r="67" spans="2:21" x14ac:dyDescent="0.2">
      <c r="O67" s="512" t="s">
        <v>1039</v>
      </c>
      <c r="T67" s="512">
        <f>T64</f>
        <v>0</v>
      </c>
    </row>
    <row r="68" spans="2:21" x14ac:dyDescent="0.2">
      <c r="B68" s="527" t="s">
        <v>999</v>
      </c>
      <c r="O68" s="512" t="s">
        <v>1040</v>
      </c>
      <c r="U68" s="512">
        <f>T64</f>
        <v>0</v>
      </c>
    </row>
    <row r="69" spans="2:21" x14ac:dyDescent="0.2">
      <c r="B69" s="512" t="s">
        <v>1001</v>
      </c>
      <c r="F69" s="516"/>
      <c r="K69" s="518"/>
    </row>
    <row r="71" spans="2:21" ht="15.75" x14ac:dyDescent="0.25">
      <c r="B71" s="521" t="s">
        <v>671</v>
      </c>
    </row>
    <row r="72" spans="2:21" x14ac:dyDescent="0.2">
      <c r="E72" s="519"/>
      <c r="H72" s="512" t="s">
        <v>387</v>
      </c>
      <c r="K72" s="512">
        <f>F74</f>
        <v>0</v>
      </c>
    </row>
    <row r="73" spans="2:21" x14ac:dyDescent="0.2">
      <c r="E73" s="519"/>
    </row>
    <row r="74" spans="2:21" x14ac:dyDescent="0.2">
      <c r="F74" s="512">
        <f>E73-E72</f>
        <v>0</v>
      </c>
      <c r="O74" s="513" t="s">
        <v>1801</v>
      </c>
    </row>
    <row r="75" spans="2:21" x14ac:dyDescent="0.2">
      <c r="F75" s="525"/>
      <c r="K75" s="518"/>
    </row>
    <row r="76" spans="2:21" ht="15.75" x14ac:dyDescent="0.25">
      <c r="B76" s="521" t="s">
        <v>1013</v>
      </c>
      <c r="F76" s="525"/>
      <c r="K76" s="518"/>
    </row>
    <row r="77" spans="2:21" x14ac:dyDescent="0.2">
      <c r="B77" s="512" t="s">
        <v>1014</v>
      </c>
      <c r="F77" s="516"/>
      <c r="H77" s="512" t="s">
        <v>1015</v>
      </c>
      <c r="L77" s="518">
        <f>-F77</f>
        <v>0</v>
      </c>
    </row>
    <row r="78" spans="2:21" x14ac:dyDescent="0.2">
      <c r="B78" s="512" t="s">
        <v>1016</v>
      </c>
      <c r="F78" s="524">
        <f>SUM(F38:F77)</f>
        <v>0</v>
      </c>
    </row>
    <row r="79" spans="2:21" x14ac:dyDescent="0.2">
      <c r="F79" s="522"/>
    </row>
    <row r="80" spans="2:21" x14ac:dyDescent="0.2">
      <c r="B80" s="512" t="s">
        <v>1002</v>
      </c>
      <c r="F80" s="516"/>
    </row>
    <row r="81" spans="2:13" ht="16.5" thickBot="1" x14ac:dyDescent="0.3">
      <c r="B81" s="521" t="s">
        <v>1003</v>
      </c>
      <c r="C81" s="521"/>
      <c r="D81" s="521"/>
      <c r="E81" s="521"/>
      <c r="F81" s="528">
        <f>SUM(F78:F80)</f>
        <v>0</v>
      </c>
      <c r="H81" s="521" t="s">
        <v>771</v>
      </c>
      <c r="K81" s="366">
        <f>SUM(K42:K80)</f>
        <v>0</v>
      </c>
      <c r="L81" s="366">
        <f>SUM(L42:L80)</f>
        <v>0</v>
      </c>
      <c r="M81" s="366">
        <f>F78-K81+L81</f>
        <v>0</v>
      </c>
    </row>
    <row r="82" spans="2:13" ht="15.75" thickTop="1" x14ac:dyDescent="0.2"/>
    <row r="84" spans="2:13" x14ac:dyDescent="0.2">
      <c r="B84" s="526" t="s">
        <v>1027</v>
      </c>
    </row>
    <row r="86" spans="2:13" ht="15.75" x14ac:dyDescent="0.25">
      <c r="B86" s="521" t="s">
        <v>1019</v>
      </c>
      <c r="F86" s="529">
        <f>F78-(SUM(F88:F89))</f>
        <v>0</v>
      </c>
    </row>
    <row r="87" spans="2:13" ht="15.75" x14ac:dyDescent="0.25">
      <c r="B87" s="521" t="s">
        <v>1018</v>
      </c>
    </row>
    <row r="88" spans="2:13" x14ac:dyDescent="0.2">
      <c r="B88" s="512" t="s">
        <v>748</v>
      </c>
      <c r="F88" s="519">
        <f>SUMIF(H42:H80,"CR revaluation surplus",L42:L80)</f>
        <v>0</v>
      </c>
    </row>
    <row r="89" spans="2:13" x14ac:dyDescent="0.2">
      <c r="B89" s="512" t="s">
        <v>515</v>
      </c>
      <c r="F89" s="519">
        <f>SUMIF(H42:H80,"CR retained earnings",L42:L80)</f>
        <v>0</v>
      </c>
    </row>
    <row r="91" spans="2:13" x14ac:dyDescent="0.2">
      <c r="B91" s="513" t="s">
        <v>1574</v>
      </c>
    </row>
    <row r="93" spans="2:13" x14ac:dyDescent="0.2">
      <c r="B93" s="512" t="s">
        <v>1026</v>
      </c>
      <c r="C93" s="533"/>
    </row>
    <row r="95" spans="2:13" x14ac:dyDescent="0.2">
      <c r="B95" s="512" t="s">
        <v>875</v>
      </c>
      <c r="F95" s="518">
        <f>G10</f>
        <v>0</v>
      </c>
    </row>
    <row r="96" spans="2:13" x14ac:dyDescent="0.2">
      <c r="B96" s="512" t="s">
        <v>1025</v>
      </c>
      <c r="F96" s="518">
        <f>F99*C93</f>
        <v>0</v>
      </c>
    </row>
    <row r="97" spans="2:6" x14ac:dyDescent="0.2">
      <c r="F97" s="518">
        <f>F95+F96</f>
        <v>0</v>
      </c>
    </row>
    <row r="98" spans="2:6" x14ac:dyDescent="0.2">
      <c r="F98" s="518"/>
    </row>
    <row r="99" spans="2:6" x14ac:dyDescent="0.2">
      <c r="B99" s="512" t="s">
        <v>1024</v>
      </c>
      <c r="F99" s="518">
        <f>F81</f>
        <v>0</v>
      </c>
    </row>
    <row r="100" spans="2:6" ht="15.75" thickBot="1" x14ac:dyDescent="0.25">
      <c r="B100" s="512" t="s">
        <v>236</v>
      </c>
      <c r="F100" s="523">
        <f>F97-F99</f>
        <v>0</v>
      </c>
    </row>
    <row r="101" spans="2:6" ht="15.75" thickTop="1" x14ac:dyDescent="0.2"/>
  </sheetData>
  <mergeCells count="1">
    <mergeCell ref="B32:K37"/>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9A75464C-01DB-4203-88ED-7A2D61065DA5}">
          <x14:formula1>
            <xm:f>Inputs!$B$5:$B$6</xm:f>
          </x14:formula1>
          <xm:sqref>E41 E47</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78646C-14CD-41E0-9141-70F6EB3EB94F}">
  <sheetPr codeName="Sheet17"/>
  <dimension ref="A1:AP127"/>
  <sheetViews>
    <sheetView topLeftCell="A4" zoomScale="53" zoomScaleNormal="53" workbookViewId="0"/>
  </sheetViews>
  <sheetFormatPr defaultRowHeight="15" x14ac:dyDescent="0.25"/>
  <cols>
    <col min="1" max="1" width="8.7109375" style="229"/>
    <col min="2" max="2" width="73.5703125" style="229" customWidth="1"/>
    <col min="3" max="3" width="93.140625" style="229" hidden="1" customWidth="1"/>
    <col min="4" max="4" width="17.28515625" style="246" customWidth="1"/>
    <col min="5" max="5" width="14.42578125" style="246" customWidth="1"/>
    <col min="6" max="10" width="13.42578125" style="246" customWidth="1"/>
    <col min="11" max="11" width="12.140625" style="246" customWidth="1"/>
    <col min="12" max="12" width="13.42578125" style="246" customWidth="1"/>
    <col min="13" max="13" width="10.42578125" style="246" customWidth="1"/>
    <col min="14" max="14" width="10.85546875" style="246" customWidth="1"/>
    <col min="15" max="15" width="15" style="246" customWidth="1"/>
    <col min="16" max="16" width="11.5703125" style="246" customWidth="1"/>
    <col min="17" max="17" width="15" style="246" hidden="1" customWidth="1"/>
    <col min="18" max="18" width="11.5703125" style="246" hidden="1" customWidth="1"/>
    <col min="19" max="19" width="14.140625" style="246" hidden="1" customWidth="1"/>
    <col min="20" max="20" width="14.85546875" style="246" hidden="1" customWidth="1"/>
    <col min="21" max="24" width="11.5703125" style="246" hidden="1" customWidth="1"/>
    <col min="25" max="25" width="10.42578125" style="246" hidden="1" customWidth="1"/>
    <col min="26" max="26" width="10" style="246" hidden="1" customWidth="1"/>
    <col min="27" max="27" width="17.28515625" style="246" customWidth="1"/>
    <col min="29" max="29" width="8.140625" customWidth="1"/>
    <col min="30" max="30" width="33.85546875" customWidth="1"/>
    <col min="31" max="31" width="16.42578125" customWidth="1"/>
    <col min="32" max="32" width="16.5703125" customWidth="1"/>
    <col min="36" max="36" width="48.42578125" customWidth="1"/>
    <col min="37" max="37" width="14.85546875" customWidth="1"/>
    <col min="38" max="38" width="17.42578125" customWidth="1"/>
    <col min="39" max="39" width="23" customWidth="1"/>
  </cols>
  <sheetData>
    <row r="1" spans="2:42" ht="15.75" thickBot="1" x14ac:dyDescent="0.3"/>
    <row r="2" spans="2:42" ht="15.75" thickBot="1" x14ac:dyDescent="0.3">
      <c r="AJ2" s="435" t="s">
        <v>705</v>
      </c>
      <c r="AK2" s="436"/>
      <c r="AL2" s="437" t="s">
        <v>876</v>
      </c>
      <c r="AM2" s="438"/>
      <c r="AN2" s="429"/>
    </row>
    <row r="3" spans="2:42" ht="15.75" thickBot="1" x14ac:dyDescent="0.3">
      <c r="AC3" s="489">
        <v>1</v>
      </c>
      <c r="AD3" t="s">
        <v>372</v>
      </c>
      <c r="AE3" t="str">
        <f>IF(AM12&lt;0,-AM12," ")</f>
        <v xml:space="preserve"> </v>
      </c>
      <c r="AJ3" s="439"/>
      <c r="AK3" s="440"/>
      <c r="AL3" s="482" t="s">
        <v>141</v>
      </c>
      <c r="AM3" s="142" t="s">
        <v>141</v>
      </c>
      <c r="AN3" s="441"/>
    </row>
    <row r="4" spans="2:42" x14ac:dyDescent="0.25">
      <c r="AD4" s="3" t="s">
        <v>1090</v>
      </c>
      <c r="AF4" t="str">
        <f>IF(AM12&lt;0,-AM12," ")</f>
        <v xml:space="preserve"> </v>
      </c>
      <c r="AJ4" s="439" t="s">
        <v>875</v>
      </c>
      <c r="AK4" s="440"/>
      <c r="AL4" s="440"/>
      <c r="AM4" s="442"/>
      <c r="AN4" s="441"/>
    </row>
    <row r="5" spans="2:42" x14ac:dyDescent="0.25">
      <c r="AJ5" s="439"/>
      <c r="AK5" s="440"/>
      <c r="AL5" s="443"/>
      <c r="AM5" s="443"/>
      <c r="AN5" s="441"/>
    </row>
    <row r="6" spans="2:42" ht="15.75" x14ac:dyDescent="0.25">
      <c r="B6" s="227" t="s">
        <v>654</v>
      </c>
      <c r="C6" s="800" t="s">
        <v>655</v>
      </c>
      <c r="D6" s="228"/>
      <c r="E6" s="300"/>
      <c r="F6" s="399"/>
      <c r="G6" s="399"/>
      <c r="H6" s="399"/>
      <c r="I6" s="399"/>
      <c r="J6" s="399"/>
      <c r="K6" s="399"/>
      <c r="L6" s="300"/>
      <c r="M6" s="300"/>
      <c r="N6" s="300"/>
      <c r="O6" s="300"/>
      <c r="P6" s="300"/>
      <c r="Q6" s="300"/>
      <c r="R6" s="300"/>
      <c r="S6" s="300"/>
      <c r="T6" s="300"/>
      <c r="U6" s="300"/>
      <c r="V6" s="300"/>
      <c r="W6" s="300"/>
      <c r="X6" s="300"/>
      <c r="Y6" s="300"/>
      <c r="Z6" s="300"/>
      <c r="AA6" s="228"/>
      <c r="AJ6" s="439" t="s">
        <v>696</v>
      </c>
      <c r="AK6" s="440"/>
      <c r="AL6" s="70"/>
      <c r="AM6" s="85"/>
      <c r="AN6" s="441"/>
    </row>
    <row r="7" spans="2:42" ht="15.75" x14ac:dyDescent="0.25">
      <c r="B7" s="230" t="s">
        <v>656</v>
      </c>
      <c r="C7" s="805"/>
      <c r="D7" s="228"/>
      <c r="E7" s="797">
        <v>1</v>
      </c>
      <c r="F7" s="803"/>
      <c r="G7" s="797">
        <v>2</v>
      </c>
      <c r="H7" s="798"/>
      <c r="I7" s="797">
        <v>3</v>
      </c>
      <c r="J7" s="803"/>
      <c r="K7" s="797">
        <v>4</v>
      </c>
      <c r="L7" s="798"/>
      <c r="M7" s="803">
        <v>5</v>
      </c>
      <c r="N7" s="798"/>
      <c r="O7" s="797">
        <v>6</v>
      </c>
      <c r="P7" s="798"/>
      <c r="Q7" s="797">
        <v>6</v>
      </c>
      <c r="R7" s="798"/>
      <c r="S7" s="797">
        <v>7</v>
      </c>
      <c r="T7" s="798"/>
      <c r="U7" s="797">
        <v>8</v>
      </c>
      <c r="V7" s="798"/>
      <c r="W7" s="797">
        <v>9</v>
      </c>
      <c r="X7" s="798"/>
      <c r="Y7" s="797">
        <v>10</v>
      </c>
      <c r="Z7" s="798"/>
      <c r="AA7" s="311"/>
      <c r="AJ7" s="439" t="s">
        <v>678</v>
      </c>
      <c r="AK7" s="444"/>
      <c r="AL7" s="70"/>
      <c r="AM7" s="444"/>
      <c r="AN7" s="441"/>
    </row>
    <row r="8" spans="2:42" ht="16.5" thickBot="1" x14ac:dyDescent="0.3">
      <c r="B8" s="231" t="s">
        <v>870</v>
      </c>
      <c r="C8" s="806"/>
      <c r="D8" s="232" t="s">
        <v>883</v>
      </c>
      <c r="E8" s="301" t="s">
        <v>660</v>
      </c>
      <c r="F8" s="284" t="s">
        <v>661</v>
      </c>
      <c r="G8" s="301" t="s">
        <v>660</v>
      </c>
      <c r="H8" s="302" t="s">
        <v>661</v>
      </c>
      <c r="I8" s="301" t="s">
        <v>660</v>
      </c>
      <c r="J8" s="284" t="s">
        <v>661</v>
      </c>
      <c r="K8" s="301" t="s">
        <v>660</v>
      </c>
      <c r="L8" s="302" t="s">
        <v>661</v>
      </c>
      <c r="M8" s="294" t="s">
        <v>660</v>
      </c>
      <c r="N8" s="302" t="s">
        <v>661</v>
      </c>
      <c r="O8" s="301" t="s">
        <v>660</v>
      </c>
      <c r="P8" s="302" t="s">
        <v>661</v>
      </c>
      <c r="Q8" s="301" t="s">
        <v>660</v>
      </c>
      <c r="R8" s="302" t="s">
        <v>661</v>
      </c>
      <c r="S8" s="301" t="s">
        <v>660</v>
      </c>
      <c r="T8" s="302" t="s">
        <v>661</v>
      </c>
      <c r="U8" s="301" t="s">
        <v>660</v>
      </c>
      <c r="V8" s="302" t="s">
        <v>661</v>
      </c>
      <c r="W8" s="301" t="s">
        <v>660</v>
      </c>
      <c r="X8" s="302" t="s">
        <v>661</v>
      </c>
      <c r="Y8" s="301" t="s">
        <v>660</v>
      </c>
      <c r="Z8" s="302" t="s">
        <v>661</v>
      </c>
      <c r="AA8" s="294" t="s">
        <v>662</v>
      </c>
      <c r="AJ8" s="439" t="s">
        <v>19</v>
      </c>
      <c r="AK8" s="440"/>
      <c r="AL8" s="70"/>
      <c r="AM8" s="445"/>
      <c r="AN8" s="441"/>
    </row>
    <row r="9" spans="2:42" ht="15.75" x14ac:dyDescent="0.25">
      <c r="B9" s="233"/>
      <c r="C9" s="234" t="s">
        <v>663</v>
      </c>
      <c r="D9" s="232" t="s">
        <v>141</v>
      </c>
      <c r="E9" s="301" t="s">
        <v>141</v>
      </c>
      <c r="F9" s="284" t="s">
        <v>141</v>
      </c>
      <c r="G9" s="301" t="s">
        <v>141</v>
      </c>
      <c r="H9" s="302" t="s">
        <v>141</v>
      </c>
      <c r="I9" s="301" t="s">
        <v>141</v>
      </c>
      <c r="J9" s="284" t="s">
        <v>141</v>
      </c>
      <c r="K9" s="301" t="s">
        <v>141</v>
      </c>
      <c r="L9" s="302" t="s">
        <v>141</v>
      </c>
      <c r="M9" s="294" t="s">
        <v>141</v>
      </c>
      <c r="N9" s="232" t="s">
        <v>141</v>
      </c>
      <c r="O9" s="232" t="s">
        <v>141</v>
      </c>
      <c r="P9" s="232" t="s">
        <v>141</v>
      </c>
      <c r="Q9" s="232" t="s">
        <v>141</v>
      </c>
      <c r="R9" s="232" t="s">
        <v>141</v>
      </c>
      <c r="S9" s="232" t="s">
        <v>141</v>
      </c>
      <c r="T9" s="232" t="s">
        <v>141</v>
      </c>
      <c r="U9" s="232" t="s">
        <v>141</v>
      </c>
      <c r="V9" s="232" t="s">
        <v>141</v>
      </c>
      <c r="W9" s="232" t="s">
        <v>141</v>
      </c>
      <c r="X9" s="232" t="s">
        <v>141</v>
      </c>
      <c r="Y9" s="232" t="s">
        <v>141</v>
      </c>
      <c r="Z9" s="232" t="s">
        <v>141</v>
      </c>
      <c r="AA9" s="294" t="s">
        <v>10</v>
      </c>
      <c r="AJ9" s="439" t="s">
        <v>748</v>
      </c>
      <c r="AK9" s="444"/>
      <c r="AL9" s="70"/>
      <c r="AM9" s="85"/>
      <c r="AN9" s="441"/>
    </row>
    <row r="10" spans="2:42" ht="15.75" x14ac:dyDescent="0.25">
      <c r="B10" s="230" t="s">
        <v>664</v>
      </c>
      <c r="C10" s="235"/>
      <c r="D10" s="236"/>
      <c r="E10" s="303"/>
      <c r="F10" s="285"/>
      <c r="G10" s="383"/>
      <c r="H10" s="384"/>
      <c r="I10" s="383"/>
      <c r="J10" s="321"/>
      <c r="K10" s="303"/>
      <c r="L10" s="304"/>
      <c r="M10" s="295"/>
      <c r="N10" s="304"/>
      <c r="O10" s="303"/>
      <c r="P10" s="304"/>
      <c r="Q10" s="303"/>
      <c r="R10" s="304"/>
      <c r="S10" s="383"/>
      <c r="T10" s="384"/>
      <c r="U10" s="383"/>
      <c r="V10" s="384"/>
      <c r="W10" s="321"/>
      <c r="X10" s="321"/>
      <c r="Y10" s="303"/>
      <c r="Z10" s="304"/>
      <c r="AA10" s="295"/>
      <c r="AJ10" s="439"/>
      <c r="AK10" s="440"/>
      <c r="AL10" s="477">
        <f>SUM(AL6:AL9)</f>
        <v>0</v>
      </c>
      <c r="AM10" s="440"/>
      <c r="AN10" s="478"/>
      <c r="AP10" t="s">
        <v>1091</v>
      </c>
    </row>
    <row r="11" spans="2:42" ht="15.75" x14ac:dyDescent="0.25">
      <c r="B11" s="230" t="s">
        <v>73</v>
      </c>
      <c r="C11" s="235"/>
      <c r="D11" s="236"/>
      <c r="E11" s="303"/>
      <c r="F11" s="285"/>
      <c r="G11" s="383"/>
      <c r="H11" s="384"/>
      <c r="I11" s="383"/>
      <c r="J11" s="321"/>
      <c r="K11" s="303"/>
      <c r="L11" s="304"/>
      <c r="M11" s="295"/>
      <c r="N11" s="304"/>
      <c r="O11" s="303"/>
      <c r="P11" s="304"/>
      <c r="Q11" s="303"/>
      <c r="R11" s="304"/>
      <c r="S11" s="383"/>
      <c r="T11" s="384"/>
      <c r="U11" s="383"/>
      <c r="V11" s="384"/>
      <c r="W11" s="321"/>
      <c r="X11" s="321"/>
      <c r="Y11" s="303"/>
      <c r="Z11" s="304"/>
      <c r="AA11" s="295"/>
      <c r="AJ11" s="439" t="s">
        <v>877</v>
      </c>
      <c r="AK11" s="440"/>
      <c r="AL11" s="440"/>
      <c r="AM11" s="479">
        <f>AL10*AM2</f>
        <v>0</v>
      </c>
      <c r="AN11" s="478"/>
    </row>
    <row r="12" spans="2:42" ht="15.75" thickBot="1" x14ac:dyDescent="0.3">
      <c r="B12" s="233" t="s">
        <v>665</v>
      </c>
      <c r="C12" s="235"/>
      <c r="D12" s="237">
        <v>4500</v>
      </c>
      <c r="E12" s="305"/>
      <c r="F12" s="326"/>
      <c r="G12" s="385"/>
      <c r="H12" s="380"/>
      <c r="I12" s="385"/>
      <c r="J12" s="322"/>
      <c r="K12" s="305"/>
      <c r="L12" s="306"/>
      <c r="M12" s="296"/>
      <c r="N12" s="306"/>
      <c r="O12" s="305"/>
      <c r="P12" s="306"/>
      <c r="Q12" s="305"/>
      <c r="R12" s="306"/>
      <c r="S12" s="385"/>
      <c r="T12" s="380"/>
      <c r="U12" s="385"/>
      <c r="V12" s="380"/>
      <c r="W12" s="322"/>
      <c r="X12" s="322"/>
      <c r="Y12" s="305"/>
      <c r="Z12" s="306"/>
      <c r="AA12" s="312">
        <f>SUM(D12:Z12)</f>
        <v>4500</v>
      </c>
      <c r="AJ12" s="447" t="s">
        <v>236</v>
      </c>
      <c r="AK12" s="448"/>
      <c r="AL12" s="480"/>
      <c r="AM12" s="481">
        <f>AM4-AM11</f>
        <v>0</v>
      </c>
      <c r="AN12" s="450"/>
      <c r="AP12" t="s">
        <v>895</v>
      </c>
    </row>
    <row r="13" spans="2:42" x14ac:dyDescent="0.25">
      <c r="B13" s="233"/>
      <c r="C13" s="235"/>
      <c r="D13" s="236"/>
      <c r="E13" s="305"/>
      <c r="F13" s="326"/>
      <c r="G13" s="385"/>
      <c r="H13" s="380"/>
      <c r="I13" s="385"/>
      <c r="J13" s="322"/>
      <c r="K13" s="305"/>
      <c r="L13" s="306"/>
      <c r="M13" s="296"/>
      <c r="N13" s="306"/>
      <c r="O13" s="305"/>
      <c r="P13" s="306"/>
      <c r="Q13" s="305"/>
      <c r="R13" s="306"/>
      <c r="S13" s="385"/>
      <c r="T13" s="380"/>
      <c r="U13" s="385"/>
      <c r="V13" s="380"/>
      <c r="W13" s="322"/>
      <c r="X13" s="322"/>
      <c r="Y13" s="305"/>
      <c r="Z13" s="306"/>
      <c r="AA13" s="295"/>
    </row>
    <row r="14" spans="2:42" ht="15.75" thickBot="1" x14ac:dyDescent="0.3">
      <c r="B14" s="233" t="s">
        <v>236</v>
      </c>
      <c r="C14" s="235"/>
      <c r="D14" s="237"/>
      <c r="E14" s="305"/>
      <c r="F14" s="326"/>
      <c r="G14" s="385"/>
      <c r="H14" s="380"/>
      <c r="I14" s="385"/>
      <c r="J14" s="322"/>
      <c r="K14" s="305"/>
      <c r="L14" s="306"/>
      <c r="M14" s="296"/>
      <c r="N14" s="306"/>
      <c r="O14" s="305"/>
      <c r="P14" s="306"/>
      <c r="Q14" s="305"/>
      <c r="R14" s="306"/>
      <c r="S14" s="385"/>
      <c r="T14" s="380"/>
      <c r="U14" s="385"/>
      <c r="V14" s="380"/>
      <c r="W14" s="322"/>
      <c r="X14" s="322"/>
      <c r="Y14" s="305"/>
      <c r="Z14" s="306"/>
      <c r="AA14" s="312">
        <f>SUM(D14:Z14)</f>
        <v>0</v>
      </c>
    </row>
    <row r="15" spans="2:42" ht="17.25" customHeight="1" thickBot="1" x14ac:dyDescent="0.3">
      <c r="B15" s="233"/>
      <c r="C15" s="235"/>
      <c r="D15" s="236"/>
      <c r="E15" s="305"/>
      <c r="F15" s="326"/>
      <c r="G15" s="385"/>
      <c r="H15" s="380"/>
      <c r="I15" s="385"/>
      <c r="J15" s="322"/>
      <c r="K15" s="305"/>
      <c r="L15" s="306"/>
      <c r="M15" s="296"/>
      <c r="N15" s="306"/>
      <c r="O15" s="305"/>
      <c r="P15" s="306"/>
      <c r="Q15" s="305"/>
      <c r="R15" s="306"/>
      <c r="S15" s="385"/>
      <c r="T15" s="380"/>
      <c r="U15" s="385"/>
      <c r="V15" s="380"/>
      <c r="W15" s="322"/>
      <c r="X15" s="322"/>
      <c r="Y15" s="305"/>
      <c r="Z15" s="306"/>
      <c r="AA15" s="295"/>
      <c r="AC15" s="492">
        <v>2</v>
      </c>
      <c r="AD15" t="s">
        <v>372</v>
      </c>
      <c r="AE15" s="12">
        <f>AM21</f>
        <v>0</v>
      </c>
      <c r="AJ15" s="451" t="s">
        <v>892</v>
      </c>
      <c r="AK15" s="427"/>
      <c r="AL15" s="459"/>
      <c r="AM15" s="459"/>
      <c r="AN15" s="429"/>
    </row>
    <row r="16" spans="2:42" ht="24" customHeight="1" x14ac:dyDescent="0.25">
      <c r="B16" s="233" t="s">
        <v>666</v>
      </c>
      <c r="C16" s="235" t="s">
        <v>667</v>
      </c>
      <c r="D16" s="237"/>
      <c r="E16" s="305"/>
      <c r="F16" s="326"/>
      <c r="G16" s="385"/>
      <c r="H16" s="380"/>
      <c r="I16" s="385"/>
      <c r="J16" s="322"/>
      <c r="K16" s="305"/>
      <c r="L16" s="306"/>
      <c r="M16" s="296"/>
      <c r="N16" s="306"/>
      <c r="O16" s="305"/>
      <c r="P16" s="306"/>
      <c r="Q16" s="305"/>
      <c r="R16" s="306"/>
      <c r="S16" s="385"/>
      <c r="T16" s="380"/>
      <c r="U16" s="385"/>
      <c r="V16" s="380"/>
      <c r="W16" s="322"/>
      <c r="X16" s="322"/>
      <c r="Y16" s="305"/>
      <c r="Z16" s="306"/>
      <c r="AA16" s="312">
        <f>SUM(D16:Z16)</f>
        <v>0</v>
      </c>
      <c r="AD16" t="s">
        <v>882</v>
      </c>
      <c r="AF16" s="12">
        <f>AM21</f>
        <v>0</v>
      </c>
      <c r="AJ16" s="446" t="str">
        <f>"Retained earnings "&amp;B8</f>
        <v>Retained earnings as at 30 September 2018</v>
      </c>
      <c r="AK16" s="444"/>
      <c r="AL16" s="445"/>
      <c r="AM16" s="454"/>
      <c r="AN16" s="441"/>
    </row>
    <row r="17" spans="2:40" ht="16.5" customHeight="1" x14ac:dyDescent="0.25">
      <c r="B17" s="233" t="s">
        <v>697</v>
      </c>
      <c r="C17" s="235"/>
      <c r="D17" s="237"/>
      <c r="E17" s="305"/>
      <c r="F17" s="326"/>
      <c r="G17" s="385"/>
      <c r="H17" s="380"/>
      <c r="I17" s="385"/>
      <c r="J17" s="322"/>
      <c r="K17" s="305"/>
      <c r="L17" s="306"/>
      <c r="M17" s="296"/>
      <c r="N17" s="306"/>
      <c r="O17" s="305"/>
      <c r="P17" s="306"/>
      <c r="Q17" s="305"/>
      <c r="R17" s="306"/>
      <c r="S17" s="385"/>
      <c r="T17" s="380"/>
      <c r="U17" s="385"/>
      <c r="V17" s="380"/>
      <c r="W17" s="322"/>
      <c r="X17" s="322"/>
      <c r="Y17" s="305"/>
      <c r="Z17" s="306"/>
      <c r="AA17" s="312">
        <f>SUM(D17:Z17)</f>
        <v>0</v>
      </c>
      <c r="AJ17" s="446" t="s">
        <v>751</v>
      </c>
      <c r="AK17" s="444"/>
      <c r="AL17" s="444"/>
      <c r="AM17" s="454"/>
      <c r="AN17" s="441"/>
    </row>
    <row r="18" spans="2:40" ht="21.95" customHeight="1" x14ac:dyDescent="0.25">
      <c r="B18" s="233" t="s">
        <v>668</v>
      </c>
      <c r="C18" s="235" t="s">
        <v>669</v>
      </c>
      <c r="D18" s="237">
        <v>100</v>
      </c>
      <c r="E18" s="305">
        <f>SUMIF($AD$3:$AD$12,"DR Investment",$AE$3:$AE$12)</f>
        <v>0</v>
      </c>
      <c r="F18" s="306">
        <f>-SUMIF($AD$4:$AD$14,"CR Investment",$AF$4:$AF$14)</f>
        <v>0</v>
      </c>
      <c r="G18" s="305">
        <f>SUMIF($AD$15:$AD$19,"DR Investment",$AE$15:$AE$19)</f>
        <v>0</v>
      </c>
      <c r="H18" s="306">
        <f>-SUMIF($AD$15:$AD$19,"CR Investment",$AF$15:$AF$19)</f>
        <v>0</v>
      </c>
      <c r="I18" s="305">
        <f>SUMIF($AD$28:$AD$29,"DR Investment",$AE$28:$AE$29)</f>
        <v>0</v>
      </c>
      <c r="J18" s="326">
        <f>-SUMIF($AD$28:$AD$29,"CR Investment",$AF$28:$AF$29)</f>
        <v>0</v>
      </c>
      <c r="K18" s="305">
        <f>SUMIF($AD$33:$AD$34,"DR Investment",$AE$33:$AE$34)</f>
        <v>0</v>
      </c>
      <c r="L18" s="306">
        <f>-SUMIF($AD$33:$AD$34,"CR Investment",$AF$33:$AF$34)</f>
        <v>0</v>
      </c>
      <c r="M18" s="296">
        <f>SUMIF($AD$41:$AD$47,"DR Investment",$AE$41:$AE$47)</f>
        <v>0</v>
      </c>
      <c r="N18" s="306">
        <f>-SUMIF($AD$40:$AD$47,"CR Investment",$AF$40:$AF$47)</f>
        <v>0</v>
      </c>
      <c r="O18" s="305"/>
      <c r="P18" s="306"/>
      <c r="Q18" s="305"/>
      <c r="R18" s="306"/>
      <c r="S18" s="385"/>
      <c r="T18" s="380"/>
      <c r="U18" s="385"/>
      <c r="V18" s="380"/>
      <c r="W18" s="322"/>
      <c r="X18" s="322"/>
      <c r="Y18" s="305"/>
      <c r="Z18" s="306"/>
      <c r="AA18" s="312">
        <f>SUM(D18:Z18)</f>
        <v>100</v>
      </c>
      <c r="AD18" t="s">
        <v>372</v>
      </c>
      <c r="AE18">
        <f>AM24</f>
        <v>0</v>
      </c>
      <c r="AJ18" s="446" t="s">
        <v>896</v>
      </c>
      <c r="AK18" s="444"/>
      <c r="AL18" s="444"/>
      <c r="AM18" s="454"/>
      <c r="AN18" s="441"/>
    </row>
    <row r="19" spans="2:40" ht="12.95" customHeight="1" x14ac:dyDescent="0.25">
      <c r="B19" s="233" t="s">
        <v>670</v>
      </c>
      <c r="C19" s="235" t="s">
        <v>667</v>
      </c>
      <c r="D19" s="238"/>
      <c r="E19" s="305"/>
      <c r="F19" s="326"/>
      <c r="G19" s="385"/>
      <c r="H19" s="380"/>
      <c r="I19" s="385"/>
      <c r="J19" s="322"/>
      <c r="K19" s="305"/>
      <c r="L19" s="306"/>
      <c r="M19" s="296"/>
      <c r="N19" s="306"/>
      <c r="O19" s="305"/>
      <c r="P19" s="306"/>
      <c r="Q19" s="305"/>
      <c r="R19" s="306"/>
      <c r="S19" s="385"/>
      <c r="T19" s="380"/>
      <c r="U19" s="385"/>
      <c r="V19" s="380"/>
      <c r="W19" s="322"/>
      <c r="X19" s="322"/>
      <c r="Y19" s="305"/>
      <c r="Z19" s="306"/>
      <c r="AA19" s="312">
        <f>SUM(D19:Z19)</f>
        <v>0</v>
      </c>
      <c r="AD19" t="s">
        <v>882</v>
      </c>
      <c r="AF19">
        <f>AM24</f>
        <v>0</v>
      </c>
      <c r="AJ19" s="446" t="s">
        <v>706</v>
      </c>
      <c r="AK19" s="444"/>
      <c r="AL19" s="445"/>
      <c r="AM19" s="462">
        <f>AL8</f>
        <v>0</v>
      </c>
      <c r="AN19" s="441"/>
    </row>
    <row r="20" spans="2:40" ht="20.45" customHeight="1" x14ac:dyDescent="0.25">
      <c r="B20" s="233"/>
      <c r="C20" s="235"/>
      <c r="D20" s="239">
        <f>SUM(D12:D19)</f>
        <v>4600</v>
      </c>
      <c r="E20" s="303"/>
      <c r="F20" s="285"/>
      <c r="G20" s="386"/>
      <c r="H20" s="387"/>
      <c r="I20" s="386"/>
      <c r="J20" s="323"/>
      <c r="K20" s="318"/>
      <c r="L20" s="319"/>
      <c r="M20" s="297"/>
      <c r="N20" s="319"/>
      <c r="O20" s="318"/>
      <c r="P20" s="319"/>
      <c r="Q20" s="318"/>
      <c r="R20" s="319"/>
      <c r="S20" s="386"/>
      <c r="T20" s="387"/>
      <c r="U20" s="386"/>
      <c r="V20" s="387"/>
      <c r="W20" s="323"/>
      <c r="X20" s="323"/>
      <c r="Y20" s="318"/>
      <c r="Z20" s="319"/>
      <c r="AA20" s="313">
        <f>SUM(AA12:AA19)</f>
        <v>4600</v>
      </c>
      <c r="AJ20" s="446" t="s">
        <v>707</v>
      </c>
      <c r="AK20" s="444"/>
      <c r="AL20" s="445"/>
      <c r="AM20" s="445">
        <f>AM16-AM19-AM17+AM18</f>
        <v>0</v>
      </c>
      <c r="AN20" s="441"/>
    </row>
    <row r="21" spans="2:40" ht="13.5" customHeight="1" thickBot="1" x14ac:dyDescent="0.3">
      <c r="B21" s="230" t="s">
        <v>76</v>
      </c>
      <c r="C21" s="235"/>
      <c r="D21" s="240"/>
      <c r="E21" s="307"/>
      <c r="F21" s="289"/>
      <c r="G21" s="388"/>
      <c r="H21" s="389"/>
      <c r="I21" s="388"/>
      <c r="J21" s="324"/>
      <c r="K21" s="307"/>
      <c r="L21" s="308"/>
      <c r="M21" s="298"/>
      <c r="N21" s="308"/>
      <c r="O21" s="307"/>
      <c r="P21" s="308"/>
      <c r="Q21" s="307"/>
      <c r="R21" s="308"/>
      <c r="S21" s="388"/>
      <c r="T21" s="389"/>
      <c r="U21" s="388"/>
      <c r="V21" s="389"/>
      <c r="W21" s="324"/>
      <c r="X21" s="324"/>
      <c r="Y21" s="307"/>
      <c r="Z21" s="308"/>
      <c r="AA21" s="298"/>
      <c r="AJ21" s="446" t="str">
        <f>"Group share of historical profit (*"&amp;$AM$2&amp;")"</f>
        <v>Group share of historical profit (*)</v>
      </c>
      <c r="AK21" s="444"/>
      <c r="AL21" s="444"/>
      <c r="AM21" s="282">
        <f>AM20*AM2</f>
        <v>0</v>
      </c>
      <c r="AN21" s="441"/>
    </row>
    <row r="22" spans="2:40" ht="34.5" customHeight="1" thickTop="1" x14ac:dyDescent="0.25">
      <c r="B22" s="233" t="s">
        <v>56</v>
      </c>
      <c r="C22" s="235"/>
      <c r="D22" s="237">
        <v>510</v>
      </c>
      <c r="E22" s="305"/>
      <c r="F22" s="326"/>
      <c r="G22" s="385"/>
      <c r="H22" s="380"/>
      <c r="I22" s="385"/>
      <c r="J22" s="322"/>
      <c r="K22" s="305"/>
      <c r="L22" s="306"/>
      <c r="M22" s="296">
        <f>SUMIF($AD$41:$AD$47,"DR Inventories",$AE$41:$AE$47)</f>
        <v>0</v>
      </c>
      <c r="N22" s="306">
        <f>-SUMIF($AD$40:$AD$47,"CR Inventories",$AF$40:$AF$47)</f>
        <v>0</v>
      </c>
      <c r="O22" s="305"/>
      <c r="P22" s="306"/>
      <c r="Q22" s="305"/>
      <c r="R22" s="306"/>
      <c r="S22" s="305"/>
      <c r="T22" s="306"/>
      <c r="U22" s="385"/>
      <c r="V22" s="380"/>
      <c r="W22" s="322"/>
      <c r="X22" s="322"/>
      <c r="Y22" s="305"/>
      <c r="Z22" s="306"/>
      <c r="AA22" s="312">
        <f>SUM(D22:Z22)</f>
        <v>510</v>
      </c>
      <c r="AJ22" s="446"/>
      <c r="AK22" s="444"/>
      <c r="AL22" s="444"/>
      <c r="AM22" s="444"/>
      <c r="AN22" s="441"/>
    </row>
    <row r="23" spans="2:40" ht="33.6" customHeight="1" x14ac:dyDescent="0.25">
      <c r="B23" s="233" t="s">
        <v>671</v>
      </c>
      <c r="C23" s="235"/>
      <c r="D23" s="237">
        <v>490</v>
      </c>
      <c r="E23" s="305"/>
      <c r="F23" s="326"/>
      <c r="G23" s="385"/>
      <c r="H23" s="380"/>
      <c r="I23" s="385"/>
      <c r="J23" s="322"/>
      <c r="K23" s="305"/>
      <c r="L23" s="306"/>
      <c r="M23" s="296"/>
      <c r="N23" s="306"/>
      <c r="O23" s="305"/>
      <c r="P23" s="306"/>
      <c r="Q23" s="305"/>
      <c r="R23" s="306"/>
      <c r="S23" s="385"/>
      <c r="T23" s="380"/>
      <c r="U23" s="385"/>
      <c r="V23" s="380"/>
      <c r="W23" s="322"/>
      <c r="X23" s="322"/>
      <c r="Y23" s="305"/>
      <c r="Z23" s="306"/>
      <c r="AA23" s="312">
        <f>SUM(D23:Z23)</f>
        <v>490</v>
      </c>
      <c r="AJ23" s="446" t="s">
        <v>868</v>
      </c>
      <c r="AK23" s="444"/>
      <c r="AL23" s="444"/>
      <c r="AM23" s="425"/>
      <c r="AN23" s="441"/>
    </row>
    <row r="24" spans="2:40" ht="21" customHeight="1" thickBot="1" x14ac:dyDescent="0.3">
      <c r="B24" s="233" t="s">
        <v>672</v>
      </c>
      <c r="C24" s="235" t="s">
        <v>667</v>
      </c>
      <c r="D24" s="237"/>
      <c r="E24" s="305"/>
      <c r="F24" s="326"/>
      <c r="G24" s="385"/>
      <c r="H24" s="380"/>
      <c r="I24" s="385"/>
      <c r="J24" s="322"/>
      <c r="K24" s="305"/>
      <c r="L24" s="306"/>
      <c r="M24" s="296"/>
      <c r="N24" s="306"/>
      <c r="O24" s="305"/>
      <c r="P24" s="306"/>
      <c r="Q24" s="305"/>
      <c r="R24" s="306"/>
      <c r="S24" s="385"/>
      <c r="T24" s="380"/>
      <c r="U24" s="385"/>
      <c r="V24" s="380"/>
      <c r="W24" s="322"/>
      <c r="X24" s="322"/>
      <c r="Y24" s="305"/>
      <c r="Z24" s="306"/>
      <c r="AA24" s="312">
        <f>SUM(D24:Z24)</f>
        <v>0</v>
      </c>
      <c r="AJ24" s="446" t="str">
        <f>"Group share (*"&amp;$AM$2&amp;")"</f>
        <v>Group share (*)</v>
      </c>
      <c r="AK24" s="444"/>
      <c r="AL24" s="444"/>
      <c r="AM24" s="281">
        <f>AM23*AM2</f>
        <v>0</v>
      </c>
      <c r="AN24" s="441"/>
    </row>
    <row r="25" spans="2:40" ht="16.5" thickTop="1" thickBot="1" x14ac:dyDescent="0.3">
      <c r="B25" s="233" t="s">
        <v>92</v>
      </c>
      <c r="C25" s="235"/>
      <c r="D25" s="237">
        <v>120</v>
      </c>
      <c r="E25" s="305"/>
      <c r="F25" s="326"/>
      <c r="G25" s="385"/>
      <c r="H25" s="380"/>
      <c r="I25" s="385"/>
      <c r="J25" s="322"/>
      <c r="K25" s="305"/>
      <c r="L25" s="306"/>
      <c r="M25" s="296"/>
      <c r="N25" s="306"/>
      <c r="O25" s="305"/>
      <c r="P25" s="306"/>
      <c r="Q25" s="305"/>
      <c r="R25" s="306"/>
      <c r="S25" s="385"/>
      <c r="T25" s="380"/>
      <c r="U25" s="385"/>
      <c r="V25" s="380"/>
      <c r="W25" s="322"/>
      <c r="X25" s="322"/>
      <c r="Y25" s="305"/>
      <c r="Z25" s="306"/>
      <c r="AA25" s="312">
        <f>SUM(D25:Z25)</f>
        <v>120</v>
      </c>
      <c r="AJ25" s="457"/>
      <c r="AK25" s="458"/>
      <c r="AL25" s="458"/>
      <c r="AM25" s="458"/>
      <c r="AN25" s="450"/>
    </row>
    <row r="26" spans="2:40" x14ac:dyDescent="0.25">
      <c r="B26" s="233"/>
      <c r="C26" s="235"/>
      <c r="D26" s="239">
        <f>SUM(D22:D25)</f>
        <v>1120</v>
      </c>
      <c r="E26" s="303"/>
      <c r="F26" s="285"/>
      <c r="G26" s="383"/>
      <c r="H26" s="384"/>
      <c r="I26" s="383"/>
      <c r="J26" s="321"/>
      <c r="K26" s="303"/>
      <c r="L26" s="304"/>
      <c r="M26" s="297"/>
      <c r="N26" s="319"/>
      <c r="O26" s="318"/>
      <c r="P26" s="319"/>
      <c r="Q26" s="318"/>
      <c r="R26" s="319"/>
      <c r="S26" s="386"/>
      <c r="T26" s="387"/>
      <c r="U26" s="386"/>
      <c r="V26" s="387"/>
      <c r="W26" s="323"/>
      <c r="X26" s="323"/>
      <c r="Y26" s="318"/>
      <c r="Z26" s="319"/>
      <c r="AA26" s="313">
        <f>SUM(AA22:AA25)</f>
        <v>1120</v>
      </c>
      <c r="AJ26" s="485"/>
      <c r="AK26" s="485"/>
      <c r="AL26" s="485"/>
      <c r="AM26" s="485"/>
      <c r="AN26" s="485"/>
    </row>
    <row r="27" spans="2:40" ht="29.1" customHeight="1" thickBot="1" x14ac:dyDescent="0.3">
      <c r="B27" s="230" t="s">
        <v>673</v>
      </c>
      <c r="C27" s="235"/>
      <c r="D27" s="241">
        <f>SUM(D20,D26)</f>
        <v>5720</v>
      </c>
      <c r="E27" s="303"/>
      <c r="F27" s="285"/>
      <c r="G27" s="383"/>
      <c r="H27" s="384"/>
      <c r="I27" s="383"/>
      <c r="J27" s="321"/>
      <c r="K27" s="303"/>
      <c r="L27" s="304"/>
      <c r="M27" s="297"/>
      <c r="N27" s="319"/>
      <c r="O27" s="318"/>
      <c r="P27" s="319"/>
      <c r="Q27" s="318"/>
      <c r="R27" s="319"/>
      <c r="S27" s="386"/>
      <c r="T27" s="387"/>
      <c r="U27" s="386"/>
      <c r="V27" s="387"/>
      <c r="W27" s="323"/>
      <c r="X27" s="323"/>
      <c r="Y27" s="318"/>
      <c r="Z27" s="319"/>
      <c r="AA27" s="314">
        <f>SUM(AA20,AA26)</f>
        <v>5720</v>
      </c>
      <c r="AJ27" s="183"/>
      <c r="AK27" s="183"/>
      <c r="AL27" s="183"/>
      <c r="AM27" s="183"/>
      <c r="AN27" s="183"/>
    </row>
    <row r="28" spans="2:40" ht="21.6" customHeight="1" thickBot="1" x14ac:dyDescent="0.3">
      <c r="B28" s="233"/>
      <c r="C28" s="235"/>
      <c r="D28" s="240"/>
      <c r="E28" s="307"/>
      <c r="F28" s="289"/>
      <c r="G28" s="388"/>
      <c r="H28" s="389"/>
      <c r="I28" s="388"/>
      <c r="J28" s="324"/>
      <c r="K28" s="307"/>
      <c r="L28" s="308"/>
      <c r="M28" s="298"/>
      <c r="N28" s="308"/>
      <c r="O28" s="307"/>
      <c r="P28" s="308"/>
      <c r="Q28" s="307"/>
      <c r="R28" s="308"/>
      <c r="S28" s="388"/>
      <c r="T28" s="389"/>
      <c r="U28" s="388"/>
      <c r="V28" s="389"/>
      <c r="W28" s="324"/>
      <c r="X28" s="324"/>
      <c r="Y28" s="307"/>
      <c r="Z28" s="308"/>
      <c r="AA28" s="298"/>
      <c r="AC28" s="489">
        <v>3</v>
      </c>
      <c r="AD28" t="s">
        <v>372</v>
      </c>
      <c r="AE28" s="12">
        <f>AM30</f>
        <v>0</v>
      </c>
      <c r="AJ28" s="451" t="s">
        <v>710</v>
      </c>
      <c r="AK28" s="427"/>
      <c r="AL28" s="427"/>
      <c r="AM28" s="427"/>
      <c r="AN28" s="429"/>
    </row>
    <row r="29" spans="2:40" ht="24" customHeight="1" x14ac:dyDescent="0.25">
      <c r="B29" s="230" t="s">
        <v>674</v>
      </c>
      <c r="C29" s="235"/>
      <c r="D29" s="236"/>
      <c r="E29" s="303"/>
      <c r="F29" s="285"/>
      <c r="G29" s="383"/>
      <c r="H29" s="384"/>
      <c r="I29" s="383"/>
      <c r="J29" s="321"/>
      <c r="K29" s="303"/>
      <c r="L29" s="304"/>
      <c r="M29" s="295"/>
      <c r="N29" s="304"/>
      <c r="O29" s="303"/>
      <c r="P29" s="304"/>
      <c r="Q29" s="303"/>
      <c r="R29" s="304"/>
      <c r="S29" s="383"/>
      <c r="T29" s="384"/>
      <c r="U29" s="383"/>
      <c r="V29" s="384"/>
      <c r="W29" s="321"/>
      <c r="X29" s="321"/>
      <c r="Y29" s="303"/>
      <c r="Z29" s="304"/>
      <c r="AA29" s="295"/>
      <c r="AD29" t="s">
        <v>880</v>
      </c>
      <c r="AF29" s="12">
        <f>AM30</f>
        <v>0</v>
      </c>
      <c r="AJ29" s="446" t="s">
        <v>712</v>
      </c>
      <c r="AK29" s="444"/>
      <c r="AL29" s="444"/>
      <c r="AM29" s="454">
        <f>AM17</f>
        <v>0</v>
      </c>
      <c r="AN29" s="441"/>
    </row>
    <row r="30" spans="2:40" ht="16.5" thickBot="1" x14ac:dyDescent="0.3">
      <c r="B30" s="230" t="s">
        <v>675</v>
      </c>
      <c r="C30" s="235"/>
      <c r="D30" s="236"/>
      <c r="E30" s="303"/>
      <c r="F30" s="285"/>
      <c r="G30" s="383"/>
      <c r="H30" s="384"/>
      <c r="I30" s="383"/>
      <c r="J30" s="321"/>
      <c r="K30" s="303"/>
      <c r="L30" s="304"/>
      <c r="M30" s="295"/>
      <c r="N30" s="304"/>
      <c r="O30" s="303"/>
      <c r="P30" s="304"/>
      <c r="Q30" s="303"/>
      <c r="R30" s="304"/>
      <c r="S30" s="383"/>
      <c r="T30" s="384"/>
      <c r="U30" s="383"/>
      <c r="V30" s="384"/>
      <c r="W30" s="321"/>
      <c r="X30" s="321"/>
      <c r="Y30" s="303"/>
      <c r="Z30" s="304"/>
      <c r="AA30" s="295"/>
      <c r="AJ30" s="446" t="s">
        <v>878</v>
      </c>
      <c r="AK30" s="444"/>
      <c r="AL30" s="444"/>
      <c r="AM30" s="282">
        <f>AM29*AM2</f>
        <v>0</v>
      </c>
      <c r="AN30" s="441"/>
    </row>
    <row r="31" spans="2:40" ht="16.5" thickTop="1" thickBot="1" x14ac:dyDescent="0.3">
      <c r="B31" s="233" t="s">
        <v>676</v>
      </c>
      <c r="C31" s="235"/>
      <c r="D31" s="237">
        <v>1000</v>
      </c>
      <c r="E31" s="305"/>
      <c r="F31" s="326"/>
      <c r="G31" s="385"/>
      <c r="H31" s="380"/>
      <c r="I31" s="385"/>
      <c r="J31" s="322"/>
      <c r="K31" s="305"/>
      <c r="L31" s="306"/>
      <c r="M31" s="296"/>
      <c r="N31" s="306"/>
      <c r="O31" s="305"/>
      <c r="P31" s="306"/>
      <c r="Q31" s="305"/>
      <c r="R31" s="306"/>
      <c r="S31" s="385"/>
      <c r="T31" s="380"/>
      <c r="U31" s="385"/>
      <c r="V31" s="380"/>
      <c r="W31" s="322"/>
      <c r="X31" s="322"/>
      <c r="Y31" s="305"/>
      <c r="Z31" s="306"/>
      <c r="AA31" s="312">
        <f>D31-SUM(E31:Z31)</f>
        <v>1000</v>
      </c>
      <c r="AJ31" s="457"/>
      <c r="AK31" s="458"/>
      <c r="AL31" s="458"/>
      <c r="AM31" s="458"/>
      <c r="AN31" s="450"/>
    </row>
    <row r="32" spans="2:40" ht="15.75" thickBot="1" x14ac:dyDescent="0.3">
      <c r="B32" s="233" t="s">
        <v>677</v>
      </c>
      <c r="C32" s="235"/>
      <c r="D32" s="237"/>
      <c r="E32" s="305"/>
      <c r="F32" s="326"/>
      <c r="G32" s="385"/>
      <c r="H32" s="380"/>
      <c r="I32" s="385"/>
      <c r="J32" s="322"/>
      <c r="K32" s="305"/>
      <c r="L32" s="306"/>
      <c r="M32" s="296"/>
      <c r="N32" s="306"/>
      <c r="O32" s="305"/>
      <c r="P32" s="306"/>
      <c r="Q32" s="305"/>
      <c r="R32" s="306"/>
      <c r="S32" s="385"/>
      <c r="T32" s="380"/>
      <c r="U32" s="385"/>
      <c r="V32" s="380"/>
      <c r="W32" s="322"/>
      <c r="X32" s="322"/>
      <c r="Y32" s="305"/>
      <c r="Z32" s="306"/>
      <c r="AA32" s="312">
        <f>D32-SUM(E32:Z32)</f>
        <v>0</v>
      </c>
    </row>
    <row r="33" spans="2:40" ht="16.5" thickBot="1" x14ac:dyDescent="0.3">
      <c r="B33" s="233" t="s">
        <v>678</v>
      </c>
      <c r="C33" s="235"/>
      <c r="D33" s="237">
        <v>800</v>
      </c>
      <c r="E33" s="305"/>
      <c r="F33" s="326"/>
      <c r="G33" s="385"/>
      <c r="H33" s="380"/>
      <c r="I33" s="385"/>
      <c r="J33" s="322"/>
      <c r="K33" s="305"/>
      <c r="L33" s="306"/>
      <c r="M33" s="296"/>
      <c r="N33" s="306"/>
      <c r="O33" s="305"/>
      <c r="P33" s="306"/>
      <c r="Q33" s="305"/>
      <c r="R33" s="306"/>
      <c r="S33" s="385"/>
      <c r="T33" s="380"/>
      <c r="U33" s="385"/>
      <c r="V33" s="380"/>
      <c r="W33" s="322"/>
      <c r="X33" s="322"/>
      <c r="Y33" s="305"/>
      <c r="Z33" s="306"/>
      <c r="AA33" s="312">
        <f>D33-SUM(E33:Z33)</f>
        <v>800</v>
      </c>
      <c r="AC33" s="489">
        <v>4</v>
      </c>
      <c r="AD33" s="183" t="s">
        <v>885</v>
      </c>
      <c r="AE33" s="12">
        <f>AM36</f>
        <v>0</v>
      </c>
      <c r="AJ33" s="451" t="s">
        <v>769</v>
      </c>
      <c r="AK33" s="427"/>
      <c r="AL33" s="427"/>
      <c r="AM33" s="427"/>
      <c r="AN33" s="429"/>
    </row>
    <row r="34" spans="2:40" ht="15.95" customHeight="1" x14ac:dyDescent="0.25">
      <c r="B34" s="233" t="s">
        <v>679</v>
      </c>
      <c r="C34" s="235"/>
      <c r="D34" s="237"/>
      <c r="E34" s="305"/>
      <c r="F34" s="326"/>
      <c r="G34" s="305"/>
      <c r="H34" s="306"/>
      <c r="I34" s="305"/>
      <c r="J34" s="326"/>
      <c r="K34" s="305"/>
      <c r="L34" s="306"/>
      <c r="M34" s="296"/>
      <c r="N34" s="306"/>
      <c r="O34" s="305"/>
      <c r="P34" s="306"/>
      <c r="Q34" s="305"/>
      <c r="R34" s="306"/>
      <c r="S34" s="385"/>
      <c r="T34" s="380"/>
      <c r="U34" s="385"/>
      <c r="V34" s="380"/>
      <c r="W34" s="322"/>
      <c r="X34" s="322"/>
      <c r="Y34" s="305"/>
      <c r="Z34" s="306"/>
      <c r="AA34" s="312">
        <f>D34-SUM(E34:Z34)</f>
        <v>0</v>
      </c>
      <c r="AD34" t="s">
        <v>884</v>
      </c>
      <c r="AF34" s="12">
        <f>AM36</f>
        <v>0</v>
      </c>
      <c r="AJ34" s="446" t="s">
        <v>879</v>
      </c>
      <c r="AK34" s="444"/>
      <c r="AL34" s="444"/>
      <c r="AM34" s="454"/>
      <c r="AN34" s="441"/>
    </row>
    <row r="35" spans="2:40" x14ac:dyDescent="0.25">
      <c r="B35" s="233" t="s">
        <v>515</v>
      </c>
      <c r="C35" s="235"/>
      <c r="D35" s="237">
        <v>1840</v>
      </c>
      <c r="E35" s="305">
        <f>SUMIF($AD$3:$AD$12,"DR Retained earnings",$AE$3:$AE$12)</f>
        <v>0</v>
      </c>
      <c r="F35" s="306">
        <f>-SUMIF($AD$4:$AD$14,"CR Retained earnings",$AF$4:$AF$14)</f>
        <v>0</v>
      </c>
      <c r="G35" s="305">
        <f>SUMIF($AD$15:$AD$19,"DR Retained Earnings",$AE$15:$AE$19)</f>
        <v>0</v>
      </c>
      <c r="H35" s="306">
        <f>-SUMIF($AD$15:$AD$19,"CR Retained Earnings",$AF$15:$AF$19)</f>
        <v>0</v>
      </c>
      <c r="I35" s="305"/>
      <c r="J35" s="326"/>
      <c r="K35" s="305"/>
      <c r="L35" s="306"/>
      <c r="M35" s="296"/>
      <c r="N35" s="306"/>
      <c r="O35" s="305">
        <f>SUMIF($AD$53:$AD$54,"DR Retained Earnings",$AE$53:$AE$54)</f>
        <v>0</v>
      </c>
      <c r="P35" s="306">
        <f>-SUMIF($AD$53:$AD$54,"CR Retained Earnings",$AF$53:$AF$54)</f>
        <v>0</v>
      </c>
      <c r="Q35" s="305"/>
      <c r="R35" s="305"/>
      <c r="S35" s="385"/>
      <c r="T35" s="380"/>
      <c r="U35" s="385"/>
      <c r="V35" s="380"/>
      <c r="W35" s="322"/>
      <c r="X35" s="322"/>
      <c r="Y35" s="305"/>
      <c r="Z35" s="306"/>
      <c r="AA35" s="312">
        <f>D35-SUM(E35:Z35)</f>
        <v>1840</v>
      </c>
      <c r="AJ35" s="446"/>
      <c r="AK35" s="444"/>
      <c r="AL35" s="444"/>
      <c r="AM35" s="444"/>
      <c r="AN35" s="441"/>
    </row>
    <row r="36" spans="2:40" x14ac:dyDescent="0.25">
      <c r="B36" s="233"/>
      <c r="C36" s="235"/>
      <c r="D36" s="236"/>
      <c r="E36" s="303"/>
      <c r="F36" s="285"/>
      <c r="G36" s="383"/>
      <c r="H36" s="384"/>
      <c r="I36" s="383"/>
      <c r="J36" s="321"/>
      <c r="K36" s="303"/>
      <c r="L36" s="304"/>
      <c r="M36" s="295"/>
      <c r="N36" s="304"/>
      <c r="O36" s="303"/>
      <c r="P36" s="304"/>
      <c r="Q36" s="303"/>
      <c r="R36" s="304"/>
      <c r="S36" s="383"/>
      <c r="T36" s="384"/>
      <c r="U36" s="383"/>
      <c r="V36" s="384"/>
      <c r="W36" s="321"/>
      <c r="X36" s="321"/>
      <c r="Y36" s="303"/>
      <c r="Z36" s="304"/>
      <c r="AA36" s="295"/>
      <c r="AJ36" s="446" t="s">
        <v>773</v>
      </c>
      <c r="AK36" s="444"/>
      <c r="AL36" s="444"/>
      <c r="AM36" s="445">
        <f>AM34*AM2</f>
        <v>0</v>
      </c>
      <c r="AN36" s="441"/>
    </row>
    <row r="37" spans="2:40" ht="15.75" thickBot="1" x14ac:dyDescent="0.3">
      <c r="B37" s="233"/>
      <c r="C37" s="235"/>
      <c r="D37" s="236"/>
      <c r="E37" s="303"/>
      <c r="F37" s="285"/>
      <c r="G37" s="383"/>
      <c r="H37" s="384"/>
      <c r="I37" s="383"/>
      <c r="J37" s="321"/>
      <c r="K37" s="303"/>
      <c r="L37" s="304"/>
      <c r="M37" s="295"/>
      <c r="N37" s="304"/>
      <c r="O37" s="303"/>
      <c r="P37" s="304"/>
      <c r="Q37" s="303"/>
      <c r="R37" s="304"/>
      <c r="S37" s="383"/>
      <c r="T37" s="384"/>
      <c r="U37" s="383"/>
      <c r="V37" s="384"/>
      <c r="W37" s="321"/>
      <c r="X37" s="321"/>
      <c r="Y37" s="303"/>
      <c r="Z37" s="304"/>
      <c r="AA37" s="295"/>
      <c r="AJ37" s="457"/>
      <c r="AK37" s="458"/>
      <c r="AL37" s="458"/>
      <c r="AM37" s="458"/>
      <c r="AN37" s="450"/>
    </row>
    <row r="38" spans="2:40" x14ac:dyDescent="0.25">
      <c r="B38" s="233" t="s">
        <v>680</v>
      </c>
      <c r="C38" s="235" t="s">
        <v>681</v>
      </c>
      <c r="D38" s="237"/>
      <c r="E38" s="305"/>
      <c r="F38" s="326"/>
      <c r="G38" s="385"/>
      <c r="H38" s="380"/>
      <c r="I38" s="385"/>
      <c r="J38" s="322"/>
      <c r="K38" s="305"/>
      <c r="L38" s="306"/>
      <c r="M38" s="296"/>
      <c r="N38" s="306"/>
      <c r="O38" s="305"/>
      <c r="P38" s="306"/>
      <c r="Q38" s="305"/>
      <c r="R38" s="306"/>
      <c r="S38" s="385"/>
      <c r="T38" s="380"/>
      <c r="U38" s="385"/>
      <c r="V38" s="380"/>
      <c r="W38" s="322"/>
      <c r="X38" s="322"/>
      <c r="Y38" s="305"/>
      <c r="Z38" s="306"/>
      <c r="AA38" s="312">
        <f>D38-SUM(E38:Z38)</f>
        <v>0</v>
      </c>
      <c r="AD38" s="183"/>
      <c r="AE38" s="183"/>
      <c r="AF38" s="183"/>
      <c r="AG38" s="183"/>
      <c r="AH38" s="183"/>
      <c r="AI38" s="183"/>
    </row>
    <row r="39" spans="2:40" ht="15.75" thickBot="1" x14ac:dyDescent="0.3">
      <c r="B39" s="233"/>
      <c r="C39" s="235"/>
      <c r="D39" s="242">
        <f>SUM(D31:D38)</f>
        <v>3640</v>
      </c>
      <c r="E39" s="303"/>
      <c r="F39" s="285"/>
      <c r="G39" s="388"/>
      <c r="H39" s="389"/>
      <c r="I39" s="388"/>
      <c r="J39" s="324"/>
      <c r="K39" s="307"/>
      <c r="L39" s="308"/>
      <c r="M39" s="298"/>
      <c r="N39" s="308"/>
      <c r="O39" s="307"/>
      <c r="P39" s="308"/>
      <c r="Q39" s="307"/>
      <c r="R39" s="308"/>
      <c r="S39" s="388"/>
      <c r="T39" s="389"/>
      <c r="U39" s="388"/>
      <c r="V39" s="389"/>
      <c r="W39" s="324"/>
      <c r="X39" s="324"/>
      <c r="Y39" s="307"/>
      <c r="Z39" s="308"/>
      <c r="AA39" s="315">
        <f>SUM(AA31:AA38)</f>
        <v>3640</v>
      </c>
      <c r="AC39" s="268"/>
      <c r="AD39" s="485"/>
      <c r="AE39" s="485"/>
      <c r="AF39" s="485"/>
      <c r="AG39" s="485"/>
      <c r="AH39" s="485"/>
      <c r="AI39" s="485"/>
    </row>
    <row r="40" spans="2:40" ht="16.5" thickBot="1" x14ac:dyDescent="0.3">
      <c r="B40" s="230" t="s">
        <v>682</v>
      </c>
      <c r="C40" s="235" t="s">
        <v>683</v>
      </c>
      <c r="D40" s="243"/>
      <c r="E40" s="305"/>
      <c r="F40" s="306"/>
      <c r="G40" s="305"/>
      <c r="H40" s="306"/>
      <c r="I40" s="305"/>
      <c r="J40" s="326"/>
      <c r="K40" s="320"/>
      <c r="L40" s="488"/>
      <c r="M40" s="296"/>
      <c r="N40" s="306"/>
      <c r="O40" s="305"/>
      <c r="P40" s="306"/>
      <c r="Q40" s="305"/>
      <c r="R40" s="306"/>
      <c r="S40" s="305"/>
      <c r="T40" s="306"/>
      <c r="U40" s="305"/>
      <c r="V40" s="306"/>
      <c r="W40" s="322"/>
      <c r="X40" s="322"/>
      <c r="Y40" s="305"/>
      <c r="Z40" s="306"/>
      <c r="AA40" s="312">
        <f>D40-SUM(E40:Z40)</f>
        <v>0</v>
      </c>
      <c r="AC40" s="277">
        <v>5</v>
      </c>
      <c r="AD40" s="486" t="s">
        <v>890</v>
      </c>
      <c r="AE40" s="424"/>
      <c r="AF40" s="485"/>
      <c r="AG40" s="485"/>
      <c r="AH40" s="485"/>
      <c r="AI40" s="485"/>
      <c r="AJ40" s="451" t="s">
        <v>778</v>
      </c>
      <c r="AK40" s="427"/>
      <c r="AL40" s="427"/>
      <c r="AM40" s="427"/>
      <c r="AN40" s="429"/>
    </row>
    <row r="41" spans="2:40" ht="15.75" x14ac:dyDescent="0.25">
      <c r="B41" s="230"/>
      <c r="C41" s="235"/>
      <c r="D41" s="236"/>
      <c r="E41" s="303"/>
      <c r="F41" s="285"/>
      <c r="G41" s="383"/>
      <c r="H41" s="384"/>
      <c r="I41" s="383"/>
      <c r="J41" s="321"/>
      <c r="K41" s="303"/>
      <c r="L41" s="304"/>
      <c r="M41" s="295"/>
      <c r="N41" s="304"/>
      <c r="O41" s="303"/>
      <c r="P41" s="304"/>
      <c r="Q41" s="303"/>
      <c r="R41" s="304"/>
      <c r="S41" s="383"/>
      <c r="T41" s="384"/>
      <c r="U41" s="383"/>
      <c r="V41" s="384"/>
      <c r="W41" s="321"/>
      <c r="X41" s="321"/>
      <c r="Y41" s="303"/>
      <c r="Z41" s="304"/>
      <c r="AA41" s="295"/>
      <c r="AC41" s="485"/>
      <c r="AD41" s="485" t="s">
        <v>322</v>
      </c>
      <c r="AE41" s="487">
        <f>IF(AJ41="Group -&gt; JV/Associate",AM50,0)</f>
        <v>0</v>
      </c>
      <c r="AF41" s="487"/>
      <c r="AG41" s="485"/>
      <c r="AH41" s="485"/>
      <c r="AI41" s="485"/>
      <c r="AJ41" s="484" t="s">
        <v>889</v>
      </c>
      <c r="AK41" s="444"/>
      <c r="AL41" s="444"/>
      <c r="AM41" s="444"/>
      <c r="AN41" s="441"/>
    </row>
    <row r="42" spans="2:40" ht="15.75" x14ac:dyDescent="0.25">
      <c r="B42" s="230"/>
      <c r="C42" s="235"/>
      <c r="D42" s="236"/>
      <c r="E42" s="303"/>
      <c r="F42" s="285"/>
      <c r="G42" s="383"/>
      <c r="H42" s="384"/>
      <c r="I42" s="383"/>
      <c r="J42" s="321"/>
      <c r="K42" s="303"/>
      <c r="L42" s="304"/>
      <c r="M42" s="295"/>
      <c r="N42" s="304"/>
      <c r="O42" s="303"/>
      <c r="P42" s="304"/>
      <c r="Q42" s="303"/>
      <c r="R42" s="304"/>
      <c r="S42" s="383"/>
      <c r="T42" s="384"/>
      <c r="U42" s="383"/>
      <c r="V42" s="384"/>
      <c r="W42" s="321"/>
      <c r="X42" s="321"/>
      <c r="Y42" s="303"/>
      <c r="Z42" s="304"/>
      <c r="AA42" s="295"/>
      <c r="AC42" s="485"/>
      <c r="AD42" s="485" t="s">
        <v>884</v>
      </c>
      <c r="AE42" s="487"/>
      <c r="AF42" s="487">
        <f>IF(AJ41="Group -&gt; JV/Associate",AM50,0)</f>
        <v>0</v>
      </c>
      <c r="AG42" s="485"/>
      <c r="AH42" s="485"/>
      <c r="AI42" s="485"/>
      <c r="AJ42" s="446" t="s">
        <v>781</v>
      </c>
      <c r="AK42" s="444"/>
      <c r="AL42" s="444"/>
      <c r="AM42" s="454"/>
      <c r="AN42" s="441"/>
    </row>
    <row r="43" spans="2:40" ht="15.75" x14ac:dyDescent="0.25">
      <c r="B43" s="230" t="s">
        <v>684</v>
      </c>
      <c r="C43" s="235"/>
      <c r="D43" s="239">
        <f>D39+D40</f>
        <v>3640</v>
      </c>
      <c r="E43" s="303"/>
      <c r="F43" s="285"/>
      <c r="G43" s="386"/>
      <c r="H43" s="387"/>
      <c r="I43" s="386"/>
      <c r="J43" s="323"/>
      <c r="K43" s="318"/>
      <c r="L43" s="319"/>
      <c r="M43" s="297"/>
      <c r="N43" s="319"/>
      <c r="O43" s="318"/>
      <c r="P43" s="319"/>
      <c r="Q43" s="318"/>
      <c r="R43" s="319"/>
      <c r="S43" s="386"/>
      <c r="T43" s="387"/>
      <c r="U43" s="386"/>
      <c r="V43" s="387"/>
      <c r="W43" s="323"/>
      <c r="X43" s="323"/>
      <c r="Y43" s="318"/>
      <c r="Z43" s="319"/>
      <c r="AA43" s="313">
        <f>AA39+AA40</f>
        <v>3640</v>
      </c>
      <c r="AC43" s="485"/>
      <c r="AD43" s="485"/>
      <c r="AE43" s="485"/>
      <c r="AF43" s="487"/>
      <c r="AG43" s="485"/>
      <c r="AH43" s="485"/>
      <c r="AI43" s="485"/>
      <c r="AJ43" s="446" t="s">
        <v>782</v>
      </c>
      <c r="AK43" s="440"/>
      <c r="AL43" s="440"/>
      <c r="AM43" s="454"/>
      <c r="AN43" s="441"/>
    </row>
    <row r="44" spans="2:40" x14ac:dyDescent="0.25">
      <c r="B44" s="233"/>
      <c r="C44" s="235"/>
      <c r="D44" s="236"/>
      <c r="E44" s="303"/>
      <c r="F44" s="285"/>
      <c r="G44" s="383"/>
      <c r="H44" s="384"/>
      <c r="I44" s="383"/>
      <c r="J44" s="321"/>
      <c r="K44" s="303"/>
      <c r="L44" s="304"/>
      <c r="M44" s="295"/>
      <c r="N44" s="304"/>
      <c r="O44" s="303"/>
      <c r="P44" s="304"/>
      <c r="Q44" s="303"/>
      <c r="R44" s="304"/>
      <c r="S44" s="383"/>
      <c r="T44" s="384"/>
      <c r="U44" s="383"/>
      <c r="V44" s="384"/>
      <c r="W44" s="321"/>
      <c r="X44" s="321"/>
      <c r="Y44" s="303"/>
      <c r="Z44" s="304"/>
      <c r="AA44" s="295"/>
      <c r="AC44" s="485"/>
      <c r="AD44" s="485"/>
      <c r="AE44" s="485"/>
      <c r="AF44" s="485"/>
      <c r="AG44" s="485"/>
      <c r="AH44" s="485"/>
      <c r="AI44" s="485"/>
      <c r="AJ44" s="446" t="s">
        <v>783</v>
      </c>
      <c r="AK44" s="444"/>
      <c r="AL44" s="444"/>
      <c r="AM44" s="364">
        <f>AM42-AM43</f>
        <v>0</v>
      </c>
      <c r="AN44" s="441"/>
    </row>
    <row r="45" spans="2:40" ht="15.75" x14ac:dyDescent="0.25">
      <c r="B45" s="230" t="s">
        <v>82</v>
      </c>
      <c r="C45" s="235"/>
      <c r="D45" s="236"/>
      <c r="E45" s="303"/>
      <c r="F45" s="285"/>
      <c r="G45" s="383"/>
      <c r="H45" s="384"/>
      <c r="I45" s="383"/>
      <c r="J45" s="321"/>
      <c r="K45" s="303"/>
      <c r="L45" s="304"/>
      <c r="M45" s="295"/>
      <c r="N45" s="304"/>
      <c r="O45" s="303"/>
      <c r="P45" s="304"/>
      <c r="Q45" s="303"/>
      <c r="R45" s="304"/>
      <c r="S45" s="383"/>
      <c r="T45" s="384"/>
      <c r="U45" s="383"/>
      <c r="V45" s="384"/>
      <c r="W45" s="321"/>
      <c r="X45" s="321"/>
      <c r="Y45" s="303"/>
      <c r="Z45" s="304"/>
      <c r="AA45" s="295"/>
      <c r="AC45" s="485"/>
      <c r="AD45" s="486" t="s">
        <v>891</v>
      </c>
      <c r="AE45" s="485"/>
      <c r="AF45" s="485"/>
      <c r="AG45" s="485"/>
      <c r="AH45" s="485"/>
      <c r="AI45" s="485"/>
      <c r="AJ45" s="439"/>
      <c r="AK45" s="440"/>
      <c r="AL45" s="440"/>
      <c r="AM45" s="440"/>
      <c r="AN45" s="441"/>
    </row>
    <row r="46" spans="2:40" ht="30" x14ac:dyDescent="0.25">
      <c r="B46" s="233" t="s">
        <v>685</v>
      </c>
      <c r="C46" s="235" t="s">
        <v>667</v>
      </c>
      <c r="D46" s="237"/>
      <c r="E46" s="305"/>
      <c r="F46" s="326"/>
      <c r="G46" s="385"/>
      <c r="H46" s="380"/>
      <c r="I46" s="385"/>
      <c r="J46" s="322"/>
      <c r="K46" s="305"/>
      <c r="L46" s="306"/>
      <c r="M46" s="296"/>
      <c r="N46" s="306"/>
      <c r="O46" s="305"/>
      <c r="P46" s="306"/>
      <c r="Q46" s="305"/>
      <c r="R46" s="306"/>
      <c r="S46" s="385"/>
      <c r="T46" s="380"/>
      <c r="U46" s="385"/>
      <c r="V46" s="380"/>
      <c r="W46" s="322"/>
      <c r="X46" s="322"/>
      <c r="Y46" s="305"/>
      <c r="Z46" s="306"/>
      <c r="AA46" s="312">
        <f>D46-SUM(E46:Z46)</f>
        <v>0</v>
      </c>
      <c r="AC46" s="485"/>
      <c r="AD46" s="485" t="s">
        <v>894</v>
      </c>
      <c r="AE46" s="487">
        <f>IF(AJ41="JV/Associate -&gt; Group",AM50,0)</f>
        <v>0</v>
      </c>
      <c r="AF46" s="487"/>
      <c r="AG46" s="485"/>
      <c r="AH46" s="485"/>
      <c r="AI46" s="485"/>
      <c r="AJ46" s="446" t="s">
        <v>784</v>
      </c>
      <c r="AK46" s="440"/>
      <c r="AL46" s="440"/>
      <c r="AM46" s="104"/>
      <c r="AN46" s="441"/>
    </row>
    <row r="47" spans="2:40" ht="15.75" thickBot="1" x14ac:dyDescent="0.3">
      <c r="B47" s="233" t="s">
        <v>686</v>
      </c>
      <c r="C47" s="235" t="s">
        <v>687</v>
      </c>
      <c r="D47" s="237"/>
      <c r="E47" s="305"/>
      <c r="F47" s="326"/>
      <c r="G47" s="385"/>
      <c r="H47" s="380"/>
      <c r="I47" s="385"/>
      <c r="J47" s="322"/>
      <c r="K47" s="305"/>
      <c r="L47" s="306"/>
      <c r="M47" s="296"/>
      <c r="N47" s="306"/>
      <c r="O47" s="305"/>
      <c r="P47" s="306"/>
      <c r="Q47" s="305"/>
      <c r="R47" s="306"/>
      <c r="S47" s="385"/>
      <c r="T47" s="380"/>
      <c r="U47" s="385"/>
      <c r="V47" s="380"/>
      <c r="W47" s="322"/>
      <c r="X47" s="322"/>
      <c r="Y47" s="305"/>
      <c r="Z47" s="306"/>
      <c r="AA47" s="312">
        <f>D47-SUM(E47:Z47)</f>
        <v>0</v>
      </c>
      <c r="AC47" s="485"/>
      <c r="AD47" s="485" t="s">
        <v>321</v>
      </c>
      <c r="AE47" s="487"/>
      <c r="AF47" s="487">
        <f>IF(AJ41="JV/Associate -&gt; Group",AM50,0)</f>
        <v>0</v>
      </c>
      <c r="AG47" s="485"/>
      <c r="AH47" s="485"/>
      <c r="AI47" s="485"/>
      <c r="AJ47" s="446" t="s">
        <v>886</v>
      </c>
      <c r="AK47" s="440"/>
      <c r="AL47" s="440"/>
      <c r="AM47" s="367">
        <f>AM44-AM46</f>
        <v>0</v>
      </c>
      <c r="AN47" s="441"/>
    </row>
    <row r="48" spans="2:40" ht="15.75" thickTop="1" x14ac:dyDescent="0.25">
      <c r="B48" s="233" t="s">
        <v>688</v>
      </c>
      <c r="C48" s="235" t="s">
        <v>667</v>
      </c>
      <c r="D48" s="237"/>
      <c r="E48" s="305"/>
      <c r="F48" s="326"/>
      <c r="G48" s="385"/>
      <c r="H48" s="380"/>
      <c r="I48" s="385"/>
      <c r="J48" s="322"/>
      <c r="K48" s="305"/>
      <c r="L48" s="306"/>
      <c r="M48" s="296"/>
      <c r="N48" s="306"/>
      <c r="O48" s="305"/>
      <c r="P48" s="306"/>
      <c r="Q48" s="305"/>
      <c r="R48" s="306"/>
      <c r="S48" s="385"/>
      <c r="T48" s="380"/>
      <c r="U48" s="385"/>
      <c r="V48" s="380"/>
      <c r="W48" s="322"/>
      <c r="X48" s="322"/>
      <c r="Y48" s="305"/>
      <c r="Z48" s="306"/>
      <c r="AA48" s="312">
        <f>D48-SUM(E48:Z48)</f>
        <v>0</v>
      </c>
      <c r="AC48" s="485"/>
      <c r="AD48" s="485"/>
      <c r="AE48" s="485"/>
      <c r="AF48" s="485"/>
      <c r="AG48" s="485"/>
      <c r="AH48" s="485"/>
      <c r="AI48" s="485"/>
      <c r="AJ48" s="439"/>
      <c r="AK48" s="440"/>
      <c r="AL48" s="440"/>
      <c r="AM48" s="440"/>
      <c r="AN48" s="441"/>
    </row>
    <row r="49" spans="2:40" ht="15.75" x14ac:dyDescent="0.25">
      <c r="B49" s="230" t="s">
        <v>689</v>
      </c>
      <c r="C49" s="235"/>
      <c r="D49" s="239">
        <f>SUM(D46:D48)</f>
        <v>0</v>
      </c>
      <c r="E49" s="303"/>
      <c r="F49" s="285"/>
      <c r="G49" s="386"/>
      <c r="H49" s="387"/>
      <c r="I49" s="386"/>
      <c r="J49" s="323"/>
      <c r="K49" s="318"/>
      <c r="L49" s="319"/>
      <c r="M49" s="297"/>
      <c r="N49" s="319"/>
      <c r="O49" s="318"/>
      <c r="P49" s="319"/>
      <c r="Q49" s="318"/>
      <c r="R49" s="319"/>
      <c r="S49" s="386"/>
      <c r="T49" s="387"/>
      <c r="U49" s="386"/>
      <c r="V49" s="387"/>
      <c r="W49" s="323"/>
      <c r="X49" s="323"/>
      <c r="Y49" s="318"/>
      <c r="Z49" s="319"/>
      <c r="AA49" s="313">
        <f>SUM(AA46:AA48)</f>
        <v>0</v>
      </c>
      <c r="AC49" s="485"/>
      <c r="AD49" s="485"/>
      <c r="AE49" s="485"/>
      <c r="AF49" s="485"/>
      <c r="AG49" s="485"/>
      <c r="AH49" s="485"/>
      <c r="AI49" s="485"/>
      <c r="AJ49" s="446"/>
      <c r="AK49" s="444"/>
      <c r="AL49" s="444"/>
      <c r="AM49" s="444"/>
      <c r="AN49" s="441"/>
    </row>
    <row r="50" spans="2:40" ht="15.75" thickBot="1" x14ac:dyDescent="0.3">
      <c r="B50" s="233"/>
      <c r="C50" s="235"/>
      <c r="D50" s="236"/>
      <c r="E50" s="303"/>
      <c r="F50" s="285"/>
      <c r="G50" s="383"/>
      <c r="H50" s="384"/>
      <c r="I50" s="383"/>
      <c r="J50" s="321"/>
      <c r="K50" s="303"/>
      <c r="L50" s="304"/>
      <c r="M50" s="295"/>
      <c r="N50" s="304"/>
      <c r="O50" s="303"/>
      <c r="P50" s="304"/>
      <c r="Q50" s="303"/>
      <c r="R50" s="304"/>
      <c r="S50" s="383"/>
      <c r="T50" s="384"/>
      <c r="U50" s="383"/>
      <c r="V50" s="384"/>
      <c r="W50" s="321"/>
      <c r="X50" s="321"/>
      <c r="Y50" s="303"/>
      <c r="Z50" s="304"/>
      <c r="AA50" s="295"/>
      <c r="AC50" s="183"/>
      <c r="AD50" s="183"/>
      <c r="AE50" s="183"/>
      <c r="AF50" s="183"/>
      <c r="AG50" s="183"/>
      <c r="AH50" s="183"/>
      <c r="AI50" s="183"/>
      <c r="AJ50" s="457" t="s">
        <v>887</v>
      </c>
      <c r="AK50" s="458"/>
      <c r="AL50" s="458"/>
      <c r="AM50" s="465">
        <f>AM47*AM2</f>
        <v>0</v>
      </c>
      <c r="AN50" s="450"/>
    </row>
    <row r="51" spans="2:40" ht="15.75" x14ac:dyDescent="0.25">
      <c r="B51" s="230" t="s">
        <v>84</v>
      </c>
      <c r="C51" s="235"/>
      <c r="D51" s="236"/>
      <c r="E51" s="303"/>
      <c r="F51" s="285"/>
      <c r="G51" s="383"/>
      <c r="H51" s="384"/>
      <c r="I51" s="383"/>
      <c r="J51" s="321"/>
      <c r="K51" s="303"/>
      <c r="L51" s="304"/>
      <c r="M51" s="295"/>
      <c r="N51" s="304"/>
      <c r="O51" s="303"/>
      <c r="P51" s="304"/>
      <c r="Q51" s="303"/>
      <c r="R51" s="304"/>
      <c r="S51" s="383"/>
      <c r="T51" s="384"/>
      <c r="U51" s="383"/>
      <c r="V51" s="384"/>
      <c r="W51" s="321"/>
      <c r="X51" s="321"/>
      <c r="Y51" s="303"/>
      <c r="Z51" s="304"/>
      <c r="AA51" s="295"/>
      <c r="AC51" s="183"/>
      <c r="AD51" s="183"/>
      <c r="AE51" s="183"/>
      <c r="AF51" s="183"/>
      <c r="AG51" s="183"/>
      <c r="AH51" s="183"/>
      <c r="AI51" s="183"/>
    </row>
    <row r="52" spans="2:40" ht="15.75" thickBot="1" x14ac:dyDescent="0.3">
      <c r="B52" s="233" t="s">
        <v>86</v>
      </c>
      <c r="C52" s="235"/>
      <c r="D52" s="245"/>
      <c r="E52" s="305"/>
      <c r="F52" s="326"/>
      <c r="G52" s="385"/>
      <c r="H52" s="380"/>
      <c r="I52" s="385"/>
      <c r="J52" s="322"/>
      <c r="K52" s="305"/>
      <c r="L52" s="306"/>
      <c r="M52" s="296"/>
      <c r="N52" s="306"/>
      <c r="O52" s="305"/>
      <c r="P52" s="306"/>
      <c r="Q52" s="305"/>
      <c r="R52" s="306"/>
      <c r="S52" s="385"/>
      <c r="T52" s="380"/>
      <c r="U52" s="385"/>
      <c r="V52" s="380"/>
      <c r="W52" s="322"/>
      <c r="X52" s="322"/>
      <c r="Y52" s="305"/>
      <c r="Z52" s="306"/>
      <c r="AA52" s="312">
        <f>D52-SUM(E52:Z52)</f>
        <v>0</v>
      </c>
      <c r="AC52" s="183"/>
      <c r="AH52" s="183"/>
      <c r="AI52" s="183"/>
    </row>
    <row r="53" spans="2:40" ht="16.5" thickBot="1" x14ac:dyDescent="0.3">
      <c r="B53" s="233" t="s">
        <v>690</v>
      </c>
      <c r="C53" s="235" t="s">
        <v>667</v>
      </c>
      <c r="D53" s="245"/>
      <c r="E53" s="305"/>
      <c r="F53" s="326"/>
      <c r="G53" s="385"/>
      <c r="H53" s="380"/>
      <c r="I53" s="385"/>
      <c r="J53" s="322"/>
      <c r="K53" s="305"/>
      <c r="L53" s="306"/>
      <c r="M53" s="296"/>
      <c r="N53" s="306"/>
      <c r="O53" s="305"/>
      <c r="P53" s="306"/>
      <c r="Q53" s="305"/>
      <c r="R53" s="306"/>
      <c r="S53" s="385"/>
      <c r="T53" s="380"/>
      <c r="U53" s="385"/>
      <c r="V53" s="380"/>
      <c r="W53" s="322"/>
      <c r="X53" s="322"/>
      <c r="Y53" s="305"/>
      <c r="Z53" s="306"/>
      <c r="AA53" s="312">
        <f>D53-SUM(E53:Z53)</f>
        <v>0</v>
      </c>
      <c r="AC53" s="489">
        <v>6</v>
      </c>
      <c r="AD53" s="3" t="s">
        <v>493</v>
      </c>
      <c r="AE53" s="21">
        <f>AM57</f>
        <v>0</v>
      </c>
      <c r="AF53" s="183"/>
      <c r="AG53" s="183"/>
      <c r="AJ53" s="451" t="s">
        <v>716</v>
      </c>
      <c r="AK53" s="427"/>
      <c r="AL53" s="427"/>
      <c r="AM53" s="427"/>
      <c r="AN53" s="429"/>
    </row>
    <row r="54" spans="2:40" x14ac:dyDescent="0.25">
      <c r="B54" s="233" t="s">
        <v>691</v>
      </c>
      <c r="C54" s="235" t="s">
        <v>667</v>
      </c>
      <c r="D54" s="245"/>
      <c r="E54" s="305"/>
      <c r="F54" s="326"/>
      <c r="G54" s="385"/>
      <c r="H54" s="380"/>
      <c r="I54" s="385"/>
      <c r="J54" s="322"/>
      <c r="K54" s="305"/>
      <c r="L54" s="306"/>
      <c r="M54" s="296"/>
      <c r="N54" s="306"/>
      <c r="O54" s="305"/>
      <c r="P54" s="306"/>
      <c r="Q54" s="305"/>
      <c r="R54" s="306"/>
      <c r="S54" s="385"/>
      <c r="T54" s="380"/>
      <c r="U54" s="385"/>
      <c r="V54" s="380"/>
      <c r="W54" s="322"/>
      <c r="X54" s="322"/>
      <c r="Y54" s="305"/>
      <c r="Z54" s="306"/>
      <c r="AA54" s="312">
        <f>D54-SUM(E54:Z54)</f>
        <v>0</v>
      </c>
      <c r="AD54" s="3" t="s">
        <v>882</v>
      </c>
      <c r="AF54" s="12">
        <f>AM57</f>
        <v>0</v>
      </c>
      <c r="AJ54" s="446" t="s">
        <v>881</v>
      </c>
      <c r="AK54" s="444"/>
      <c r="AL54" s="444"/>
      <c r="AM54" s="445">
        <f>AM30</f>
        <v>0</v>
      </c>
      <c r="AN54" s="441"/>
    </row>
    <row r="55" spans="2:40" x14ac:dyDescent="0.25">
      <c r="B55" s="233" t="s">
        <v>87</v>
      </c>
      <c r="C55" s="235"/>
      <c r="D55" s="245"/>
      <c r="E55" s="305"/>
      <c r="F55" s="326"/>
      <c r="G55" s="385"/>
      <c r="H55" s="380"/>
      <c r="I55" s="385"/>
      <c r="J55" s="322"/>
      <c r="K55" s="305"/>
      <c r="L55" s="306"/>
      <c r="M55" s="296"/>
      <c r="N55" s="306"/>
      <c r="O55" s="305"/>
      <c r="P55" s="306"/>
      <c r="Q55" s="305"/>
      <c r="R55" s="306"/>
      <c r="S55" s="385"/>
      <c r="T55" s="380"/>
      <c r="U55" s="385"/>
      <c r="V55" s="380"/>
      <c r="W55" s="322"/>
      <c r="X55" s="322"/>
      <c r="Y55" s="305"/>
      <c r="Z55" s="306"/>
      <c r="AA55" s="312">
        <f>D55-SUM(E55:Z55)</f>
        <v>0</v>
      </c>
      <c r="AJ55" s="446" t="s">
        <v>817</v>
      </c>
      <c r="AK55" s="444"/>
      <c r="AL55" s="444"/>
      <c r="AM55" s="445">
        <f>-AM36</f>
        <v>0</v>
      </c>
      <c r="AN55" s="441"/>
    </row>
    <row r="56" spans="2:40" x14ac:dyDescent="0.25">
      <c r="B56" s="233" t="s">
        <v>692</v>
      </c>
      <c r="C56" s="235" t="s">
        <v>667</v>
      </c>
      <c r="D56" s="245"/>
      <c r="E56" s="305"/>
      <c r="F56" s="326"/>
      <c r="G56" s="385"/>
      <c r="H56" s="380"/>
      <c r="I56" s="385"/>
      <c r="J56" s="322"/>
      <c r="K56" s="305"/>
      <c r="L56" s="306"/>
      <c r="M56" s="296"/>
      <c r="N56" s="306"/>
      <c r="O56" s="305"/>
      <c r="P56" s="306"/>
      <c r="Q56" s="305"/>
      <c r="R56" s="306"/>
      <c r="S56" s="385"/>
      <c r="T56" s="380"/>
      <c r="U56" s="385"/>
      <c r="V56" s="380"/>
      <c r="W56" s="322"/>
      <c r="X56" s="322"/>
      <c r="Y56" s="305"/>
      <c r="Z56" s="306"/>
      <c r="AA56" s="312">
        <f>D56-SUM(E56:Z56)</f>
        <v>0</v>
      </c>
      <c r="AJ56" s="446" t="s">
        <v>816</v>
      </c>
      <c r="AK56" s="444"/>
      <c r="AL56" s="444"/>
      <c r="AM56" s="455">
        <f>-AM50</f>
        <v>0</v>
      </c>
      <c r="AN56" s="441"/>
    </row>
    <row r="57" spans="2:40" ht="16.5" thickBot="1" x14ac:dyDescent="0.3">
      <c r="B57" s="230" t="s">
        <v>693</v>
      </c>
      <c r="C57" s="235"/>
      <c r="D57" s="239">
        <f>SUM(D52:D56)</f>
        <v>0</v>
      </c>
      <c r="E57" s="303"/>
      <c r="F57" s="285"/>
      <c r="G57" s="383"/>
      <c r="H57" s="384"/>
      <c r="I57" s="383"/>
      <c r="J57" s="321"/>
      <c r="K57" s="303"/>
      <c r="L57" s="304"/>
      <c r="M57" s="295"/>
      <c r="N57" s="304"/>
      <c r="O57" s="303"/>
      <c r="P57" s="304"/>
      <c r="Q57" s="303"/>
      <c r="R57" s="304"/>
      <c r="S57" s="383"/>
      <c r="T57" s="384"/>
      <c r="U57" s="383"/>
      <c r="V57" s="384"/>
      <c r="W57" s="321"/>
      <c r="X57" s="321"/>
      <c r="Y57" s="303"/>
      <c r="Z57" s="304"/>
      <c r="AA57" s="313">
        <f>SUM(AA52:AA56)</f>
        <v>0</v>
      </c>
      <c r="AJ57" s="446"/>
      <c r="AK57" s="444"/>
      <c r="AL57" s="444"/>
      <c r="AM57" s="282">
        <f>SUM(AM54:AM56)</f>
        <v>0</v>
      </c>
      <c r="AN57" s="441"/>
    </row>
    <row r="58" spans="2:40" ht="17.25" thickTop="1" thickBot="1" x14ac:dyDescent="0.3">
      <c r="B58" s="230" t="s">
        <v>694</v>
      </c>
      <c r="C58" s="235"/>
      <c r="D58" s="239">
        <f>SUM(D49,D57)</f>
        <v>0</v>
      </c>
      <c r="E58" s="303"/>
      <c r="F58" s="285"/>
      <c r="G58" s="383"/>
      <c r="H58" s="384"/>
      <c r="I58" s="383"/>
      <c r="J58" s="321"/>
      <c r="K58" s="303"/>
      <c r="L58" s="304"/>
      <c r="M58" s="295"/>
      <c r="N58" s="304"/>
      <c r="O58" s="303"/>
      <c r="P58" s="304"/>
      <c r="Q58" s="303"/>
      <c r="R58" s="304"/>
      <c r="S58" s="383"/>
      <c r="T58" s="384"/>
      <c r="U58" s="383"/>
      <c r="V58" s="384"/>
      <c r="W58" s="321"/>
      <c r="X58" s="321"/>
      <c r="Y58" s="303"/>
      <c r="Z58" s="304"/>
      <c r="AA58" s="313">
        <f>SUM(AA49,AA57)</f>
        <v>0</v>
      </c>
      <c r="AJ58" s="457"/>
      <c r="AK58" s="458"/>
      <c r="AL58" s="458"/>
      <c r="AM58" s="458"/>
      <c r="AN58" s="450"/>
    </row>
    <row r="59" spans="2:40" ht="16.5" thickBot="1" x14ac:dyDescent="0.3">
      <c r="B59" s="230" t="s">
        <v>695</v>
      </c>
      <c r="C59" s="235"/>
      <c r="D59" s="241">
        <f>SUM(D43,D58)</f>
        <v>3640</v>
      </c>
      <c r="E59" s="309"/>
      <c r="F59" s="355"/>
      <c r="G59" s="391"/>
      <c r="H59" s="392"/>
      <c r="I59" s="391"/>
      <c r="J59" s="379"/>
      <c r="K59" s="309"/>
      <c r="L59" s="310"/>
      <c r="M59" s="334"/>
      <c r="N59" s="310"/>
      <c r="O59" s="309"/>
      <c r="P59" s="310"/>
      <c r="Q59" s="309"/>
      <c r="R59" s="310"/>
      <c r="S59" s="391"/>
      <c r="T59" s="392"/>
      <c r="U59" s="391"/>
      <c r="V59" s="392"/>
      <c r="W59" s="379"/>
      <c r="X59" s="379"/>
      <c r="Y59" s="309"/>
      <c r="Z59" s="310"/>
      <c r="AA59" s="314">
        <f>SUM(AA43,AA58)</f>
        <v>3640</v>
      </c>
    </row>
    <row r="60" spans="2:40" x14ac:dyDescent="0.25">
      <c r="E60" s="394"/>
      <c r="F60" s="398"/>
      <c r="G60" s="394"/>
      <c r="H60" s="395"/>
      <c r="I60" s="394"/>
      <c r="J60" s="398"/>
      <c r="K60" s="394"/>
      <c r="L60" s="395"/>
    </row>
    <row r="61" spans="2:40" x14ac:dyDescent="0.25">
      <c r="E61" s="394"/>
      <c r="F61" s="398"/>
      <c r="G61" s="394"/>
      <c r="H61" s="395"/>
      <c r="I61" s="394"/>
      <c r="J61" s="398"/>
      <c r="K61" s="394"/>
      <c r="L61" s="395"/>
    </row>
    <row r="62" spans="2:40" x14ac:dyDescent="0.25">
      <c r="E62" s="394"/>
      <c r="F62" s="398"/>
      <c r="G62" s="394"/>
      <c r="H62" s="395"/>
      <c r="I62" s="394"/>
      <c r="J62" s="398"/>
      <c r="K62" s="394"/>
      <c r="L62" s="395"/>
    </row>
    <row r="63" spans="2:40" ht="15.75" x14ac:dyDescent="0.25">
      <c r="B63" s="227" t="s">
        <v>654</v>
      </c>
      <c r="C63" s="800" t="s">
        <v>655</v>
      </c>
      <c r="D63" s="232"/>
      <c r="E63" s="396"/>
      <c r="F63" s="399"/>
      <c r="G63" s="396"/>
      <c r="H63" s="399"/>
      <c r="I63" s="396"/>
      <c r="J63" s="399"/>
      <c r="K63" s="396"/>
      <c r="L63" s="397"/>
      <c r="M63" s="393"/>
      <c r="N63" s="300"/>
      <c r="O63" s="300"/>
      <c r="P63" s="300"/>
      <c r="Q63" s="300"/>
      <c r="R63" s="300"/>
      <c r="S63" s="300"/>
      <c r="T63" s="300"/>
      <c r="U63" s="300"/>
      <c r="V63" s="300"/>
      <c r="W63" s="300"/>
      <c r="X63" s="300"/>
      <c r="Y63" s="300"/>
      <c r="Z63" s="300"/>
      <c r="AA63" s="228"/>
    </row>
    <row r="64" spans="2:40" ht="15.75" x14ac:dyDescent="0.25">
      <c r="B64" s="230" t="s">
        <v>13</v>
      </c>
      <c r="C64" s="801"/>
      <c r="D64" s="228"/>
      <c r="E64" s="797">
        <v>1</v>
      </c>
      <c r="F64" s="803"/>
      <c r="G64" s="797">
        <v>2</v>
      </c>
      <c r="H64" s="798"/>
      <c r="I64" s="797">
        <v>3</v>
      </c>
      <c r="J64" s="803"/>
      <c r="K64" s="797">
        <v>4</v>
      </c>
      <c r="L64" s="798"/>
      <c r="M64" s="803">
        <v>5</v>
      </c>
      <c r="N64" s="798"/>
      <c r="O64" s="797">
        <v>6</v>
      </c>
      <c r="P64" s="798"/>
      <c r="Q64" s="797">
        <v>7</v>
      </c>
      <c r="R64" s="798"/>
      <c r="S64" s="797">
        <v>8</v>
      </c>
      <c r="T64" s="798"/>
      <c r="U64" s="808">
        <v>9</v>
      </c>
      <c r="V64" s="808"/>
      <c r="W64" s="803">
        <v>10</v>
      </c>
      <c r="X64" s="798"/>
      <c r="Y64" s="797">
        <v>11</v>
      </c>
      <c r="Z64" s="798"/>
      <c r="AA64" s="311"/>
    </row>
    <row r="65" spans="2:27" ht="16.5" thickBot="1" x14ac:dyDescent="0.3">
      <c r="B65" s="231" t="s">
        <v>717</v>
      </c>
      <c r="C65" s="802"/>
      <c r="D65" s="232" t="s">
        <v>657</v>
      </c>
      <c r="E65" s="301" t="s">
        <v>718</v>
      </c>
      <c r="F65" s="284" t="s">
        <v>719</v>
      </c>
      <c r="G65" s="381"/>
      <c r="H65" s="382"/>
      <c r="I65" s="381"/>
      <c r="J65" s="483"/>
      <c r="K65" s="301" t="s">
        <v>718</v>
      </c>
      <c r="L65" s="302" t="s">
        <v>719</v>
      </c>
      <c r="M65" s="294" t="s">
        <v>718</v>
      </c>
      <c r="N65" s="302" t="s">
        <v>719</v>
      </c>
      <c r="O65" s="301" t="s">
        <v>718</v>
      </c>
      <c r="P65" s="302" t="s">
        <v>719</v>
      </c>
      <c r="Q65" s="301" t="s">
        <v>718</v>
      </c>
      <c r="R65" s="302" t="s">
        <v>719</v>
      </c>
      <c r="S65" s="301" t="s">
        <v>718</v>
      </c>
      <c r="T65" s="302" t="s">
        <v>719</v>
      </c>
      <c r="U65" s="475" t="s">
        <v>718</v>
      </c>
      <c r="V65" s="476" t="s">
        <v>719</v>
      </c>
      <c r="W65" s="294" t="s">
        <v>718</v>
      </c>
      <c r="X65" s="302" t="s">
        <v>719</v>
      </c>
      <c r="Y65" s="301" t="s">
        <v>718</v>
      </c>
      <c r="Z65" s="302" t="s">
        <v>719</v>
      </c>
      <c r="AA65" s="294" t="s">
        <v>662</v>
      </c>
    </row>
    <row r="66" spans="2:27" ht="15.75" x14ac:dyDescent="0.25">
      <c r="B66" s="233"/>
      <c r="C66" s="234" t="s">
        <v>663</v>
      </c>
      <c r="D66" s="232" t="s">
        <v>10</v>
      </c>
      <c r="E66" s="301" t="s">
        <v>10</v>
      </c>
      <c r="F66" s="284" t="s">
        <v>10</v>
      </c>
      <c r="G66" s="381"/>
      <c r="H66" s="382"/>
      <c r="I66" s="381"/>
      <c r="J66" s="483"/>
      <c r="K66" s="301" t="s">
        <v>10</v>
      </c>
      <c r="L66" s="302" t="s">
        <v>10</v>
      </c>
      <c r="M66" s="294" t="s">
        <v>10</v>
      </c>
      <c r="N66" s="302" t="s">
        <v>10</v>
      </c>
      <c r="O66" s="301" t="s">
        <v>10</v>
      </c>
      <c r="P66" s="302" t="s">
        <v>10</v>
      </c>
      <c r="Q66" s="301" t="s">
        <v>10</v>
      </c>
      <c r="R66" s="302" t="s">
        <v>10</v>
      </c>
      <c r="S66" s="301" t="s">
        <v>10</v>
      </c>
      <c r="T66" s="302" t="s">
        <v>10</v>
      </c>
      <c r="U66" s="301" t="s">
        <v>10</v>
      </c>
      <c r="V66" s="302" t="s">
        <v>10</v>
      </c>
      <c r="W66" s="294" t="s">
        <v>10</v>
      </c>
      <c r="X66" s="302" t="s">
        <v>10</v>
      </c>
      <c r="Y66" s="301" t="s">
        <v>10</v>
      </c>
      <c r="Z66" s="302" t="s">
        <v>10</v>
      </c>
      <c r="AA66" s="294" t="s">
        <v>10</v>
      </c>
    </row>
    <row r="67" spans="2:27" ht="15.75" x14ac:dyDescent="0.25">
      <c r="B67" s="230" t="s">
        <v>58</v>
      </c>
      <c r="C67" s="235"/>
      <c r="D67" s="237">
        <v>5200</v>
      </c>
      <c r="E67" s="305"/>
      <c r="F67" s="326"/>
      <c r="G67" s="385"/>
      <c r="H67" s="380"/>
      <c r="I67" s="385"/>
      <c r="J67" s="322"/>
      <c r="K67" s="305"/>
      <c r="L67" s="306"/>
      <c r="M67" s="296"/>
      <c r="N67" s="306"/>
      <c r="O67" s="305"/>
      <c r="P67" s="306"/>
      <c r="Q67" s="305"/>
      <c r="R67" s="306"/>
      <c r="S67" s="305"/>
      <c r="T67" s="306"/>
      <c r="U67" s="385"/>
      <c r="V67" s="380"/>
      <c r="W67" s="322"/>
      <c r="X67" s="322"/>
      <c r="Y67" s="305"/>
      <c r="Z67" s="306"/>
      <c r="AA67" s="312">
        <f>D67-SUM(E67:Z67)</f>
        <v>5200</v>
      </c>
    </row>
    <row r="68" spans="2:27" ht="15.75" x14ac:dyDescent="0.25">
      <c r="B68" s="230"/>
      <c r="C68" s="235"/>
      <c r="D68" s="249"/>
      <c r="E68" s="305"/>
      <c r="F68" s="326"/>
      <c r="G68" s="385"/>
      <c r="H68" s="380"/>
      <c r="I68" s="385"/>
      <c r="J68" s="322"/>
      <c r="K68" s="305"/>
      <c r="L68" s="306"/>
      <c r="M68" s="296"/>
      <c r="N68" s="306"/>
      <c r="O68" s="305"/>
      <c r="P68" s="306"/>
      <c r="Q68" s="305"/>
      <c r="R68" s="306"/>
      <c r="S68" s="385"/>
      <c r="T68" s="380"/>
      <c r="U68" s="385"/>
      <c r="V68" s="380"/>
      <c r="W68" s="322"/>
      <c r="X68" s="322"/>
      <c r="Y68" s="305"/>
      <c r="Z68" s="306"/>
      <c r="AA68" s="295"/>
    </row>
    <row r="69" spans="2:27" ht="15.75" x14ac:dyDescent="0.25">
      <c r="B69" s="230"/>
      <c r="C69" s="235"/>
      <c r="D69" s="249"/>
      <c r="E69" s="305"/>
      <c r="F69" s="326"/>
      <c r="G69" s="385"/>
      <c r="H69" s="380"/>
      <c r="I69" s="385"/>
      <c r="J69" s="322"/>
      <c r="K69" s="305"/>
      <c r="L69" s="306"/>
      <c r="M69" s="296"/>
      <c r="N69" s="306"/>
      <c r="O69" s="305"/>
      <c r="P69" s="306"/>
      <c r="Q69" s="305"/>
      <c r="R69" s="306"/>
      <c r="S69" s="385"/>
      <c r="T69" s="380"/>
      <c r="U69" s="385"/>
      <c r="V69" s="380"/>
      <c r="W69" s="322"/>
      <c r="X69" s="322"/>
      <c r="Y69" s="305"/>
      <c r="Z69" s="306"/>
      <c r="AA69" s="295"/>
    </row>
    <row r="70" spans="2:27" x14ac:dyDescent="0.25">
      <c r="B70" s="233" t="s">
        <v>67</v>
      </c>
      <c r="C70" s="235"/>
      <c r="D70" s="238">
        <v>3500</v>
      </c>
      <c r="E70" s="305"/>
      <c r="F70" s="326"/>
      <c r="G70" s="385"/>
      <c r="H70" s="380"/>
      <c r="I70" s="385"/>
      <c r="J70" s="322"/>
      <c r="K70" s="305"/>
      <c r="L70" s="306"/>
      <c r="M70" s="296">
        <f>SUMIF($AD$41:$AD$47,"DR SPL - Cost of sales",$AE$41:$AE$47)</f>
        <v>0</v>
      </c>
      <c r="N70" s="306">
        <f>-SUMIF($AD$40:$AD$47,"CR SPL - Cost of sales",$AF$40:$AF$47)</f>
        <v>0</v>
      </c>
      <c r="O70" s="305"/>
      <c r="P70" s="306"/>
      <c r="Q70" s="305"/>
      <c r="R70" s="306"/>
      <c r="S70" s="305"/>
      <c r="T70" s="306"/>
      <c r="U70" s="385"/>
      <c r="V70" s="380"/>
      <c r="W70" s="322"/>
      <c r="X70" s="322"/>
      <c r="Y70" s="305"/>
      <c r="Z70" s="306"/>
      <c r="AA70" s="312">
        <f>D70+SUM(E70:Z70)</f>
        <v>3500</v>
      </c>
    </row>
    <row r="71" spans="2:27" x14ac:dyDescent="0.25">
      <c r="B71" s="233"/>
      <c r="C71" s="235"/>
      <c r="D71" s="236"/>
      <c r="E71" s="305"/>
      <c r="F71" s="326"/>
      <c r="G71" s="385"/>
      <c r="H71" s="380"/>
      <c r="I71" s="385"/>
      <c r="J71" s="322"/>
      <c r="K71" s="305"/>
      <c r="L71" s="306"/>
      <c r="M71" s="296"/>
      <c r="N71" s="306"/>
      <c r="O71" s="305"/>
      <c r="P71" s="306"/>
      <c r="Q71" s="305"/>
      <c r="R71" s="306"/>
      <c r="S71" s="385"/>
      <c r="T71" s="380"/>
      <c r="U71" s="385"/>
      <c r="V71" s="380"/>
      <c r="W71" s="322"/>
      <c r="X71" s="322"/>
      <c r="Y71" s="305"/>
      <c r="Z71" s="306"/>
      <c r="AA71" s="295"/>
    </row>
    <row r="72" spans="2:27" x14ac:dyDescent="0.25">
      <c r="B72" s="233"/>
      <c r="C72" s="235"/>
      <c r="D72" s="249"/>
      <c r="E72" s="305"/>
      <c r="F72" s="326"/>
      <c r="G72" s="385"/>
      <c r="H72" s="380"/>
      <c r="I72" s="385"/>
      <c r="J72" s="322"/>
      <c r="K72" s="305"/>
      <c r="L72" s="306"/>
      <c r="M72" s="296"/>
      <c r="N72" s="306"/>
      <c r="O72" s="305"/>
      <c r="P72" s="306"/>
      <c r="Q72" s="305"/>
      <c r="R72" s="306"/>
      <c r="S72" s="385"/>
      <c r="T72" s="380"/>
      <c r="U72" s="385"/>
      <c r="V72" s="380"/>
      <c r="W72" s="322"/>
      <c r="X72" s="322"/>
      <c r="Y72" s="305"/>
      <c r="Z72" s="306"/>
      <c r="AA72" s="333"/>
    </row>
    <row r="73" spans="2:27" x14ac:dyDescent="0.25">
      <c r="B73" s="233" t="s">
        <v>720</v>
      </c>
      <c r="C73" s="235"/>
      <c r="D73" s="242">
        <f>D67-D70</f>
        <v>1700</v>
      </c>
      <c r="E73" s="303"/>
      <c r="F73" s="285"/>
      <c r="G73" s="383"/>
      <c r="H73" s="384"/>
      <c r="I73" s="383"/>
      <c r="J73" s="321"/>
      <c r="K73" s="303"/>
      <c r="L73" s="304"/>
      <c r="M73" s="295"/>
      <c r="N73" s="304"/>
      <c r="O73" s="303"/>
      <c r="P73" s="304"/>
      <c r="Q73" s="303"/>
      <c r="R73" s="304"/>
      <c r="S73" s="383"/>
      <c r="T73" s="384"/>
      <c r="U73" s="383"/>
      <c r="V73" s="384"/>
      <c r="W73" s="321"/>
      <c r="X73" s="321"/>
      <c r="Y73" s="303"/>
      <c r="Z73" s="304"/>
      <c r="AA73" s="315">
        <f>AA67-AA70</f>
        <v>1700</v>
      </c>
    </row>
    <row r="74" spans="2:27" x14ac:dyDescent="0.25">
      <c r="B74" s="233" t="s">
        <v>95</v>
      </c>
      <c r="C74" s="235"/>
      <c r="D74" s="238"/>
      <c r="E74" s="305">
        <f>SUMIF($AD$3:$AD$12,"DR SPL - Gain from bargain purchase",$AE$3:$AE$12)</f>
        <v>0</v>
      </c>
      <c r="F74" s="306">
        <f>-SUMIF($AD$3:$AD$12,"CR SPL - Gain from bargain purchase",$AF$3:$AF$12)</f>
        <v>0</v>
      </c>
      <c r="G74" s="385"/>
      <c r="H74" s="380"/>
      <c r="I74" s="385"/>
      <c r="J74" s="322"/>
      <c r="K74" s="305"/>
      <c r="L74" s="306"/>
      <c r="M74" s="296"/>
      <c r="N74" s="306"/>
      <c r="O74" s="305"/>
      <c r="P74" s="306"/>
      <c r="Q74" s="305"/>
      <c r="R74" s="306"/>
      <c r="S74" s="385"/>
      <c r="T74" s="380"/>
      <c r="U74" s="385"/>
      <c r="V74" s="380"/>
      <c r="W74" s="322"/>
      <c r="X74" s="322"/>
      <c r="Y74" s="305"/>
      <c r="Z74" s="306"/>
      <c r="AA74" s="312">
        <f>D74-SUM(E74:Z74)</f>
        <v>0</v>
      </c>
    </row>
    <row r="75" spans="2:27" x14ac:dyDescent="0.25">
      <c r="B75" s="233"/>
      <c r="C75" s="235"/>
      <c r="D75" s="236"/>
      <c r="E75" s="305"/>
      <c r="F75" s="326"/>
      <c r="G75" s="385"/>
      <c r="H75" s="380"/>
      <c r="I75" s="385"/>
      <c r="J75" s="322"/>
      <c r="K75" s="305"/>
      <c r="L75" s="306"/>
      <c r="M75" s="296"/>
      <c r="N75" s="306"/>
      <c r="O75" s="305"/>
      <c r="P75" s="306"/>
      <c r="Q75" s="305"/>
      <c r="R75" s="306"/>
      <c r="S75" s="385"/>
      <c r="T75" s="380"/>
      <c r="U75" s="385"/>
      <c r="V75" s="380"/>
      <c r="W75" s="322"/>
      <c r="X75" s="322"/>
      <c r="Y75" s="305"/>
      <c r="Z75" s="306"/>
      <c r="AA75" s="295"/>
    </row>
    <row r="76" spans="2:27" x14ac:dyDescent="0.25">
      <c r="B76" s="233"/>
      <c r="C76" s="235"/>
      <c r="D76" s="236"/>
      <c r="E76" s="305"/>
      <c r="F76" s="326"/>
      <c r="G76" s="385"/>
      <c r="H76" s="380"/>
      <c r="I76" s="385"/>
      <c r="J76" s="322"/>
      <c r="K76" s="305"/>
      <c r="L76" s="306"/>
      <c r="M76" s="296"/>
      <c r="N76" s="306"/>
      <c r="O76" s="305"/>
      <c r="P76" s="306"/>
      <c r="Q76" s="305"/>
      <c r="R76" s="306"/>
      <c r="S76" s="385"/>
      <c r="T76" s="380"/>
      <c r="U76" s="385"/>
      <c r="V76" s="380"/>
      <c r="W76" s="322"/>
      <c r="X76" s="322"/>
      <c r="Y76" s="305"/>
      <c r="Z76" s="306"/>
      <c r="AA76" s="295"/>
    </row>
    <row r="77" spans="2:27" x14ac:dyDescent="0.25">
      <c r="B77" s="233" t="s">
        <v>721</v>
      </c>
      <c r="C77" s="235"/>
      <c r="D77" s="250"/>
      <c r="E77" s="305"/>
      <c r="F77" s="326"/>
      <c r="G77" s="385"/>
      <c r="H77" s="380"/>
      <c r="I77" s="385"/>
      <c r="J77" s="322"/>
      <c r="K77" s="305"/>
      <c r="L77" s="306"/>
      <c r="M77" s="296"/>
      <c r="N77" s="306"/>
      <c r="O77" s="305"/>
      <c r="P77" s="306"/>
      <c r="Q77" s="305"/>
      <c r="R77" s="306"/>
      <c r="S77" s="385"/>
      <c r="T77" s="380"/>
      <c r="U77" s="385"/>
      <c r="V77" s="380"/>
      <c r="W77" s="322"/>
      <c r="X77" s="322"/>
      <c r="Y77" s="305"/>
      <c r="Z77" s="306"/>
      <c r="AA77" s="312">
        <f>D77+SUM(E77:Z77)</f>
        <v>0</v>
      </c>
    </row>
    <row r="78" spans="2:27" x14ac:dyDescent="0.25">
      <c r="B78" s="233"/>
      <c r="C78" s="235"/>
      <c r="D78" s="236"/>
      <c r="E78" s="305"/>
      <c r="F78" s="326"/>
      <c r="G78" s="385"/>
      <c r="H78" s="380"/>
      <c r="I78" s="385"/>
      <c r="J78" s="322"/>
      <c r="K78" s="305"/>
      <c r="L78" s="306"/>
      <c r="M78" s="296"/>
      <c r="N78" s="306"/>
      <c r="O78" s="305"/>
      <c r="P78" s="306"/>
      <c r="Q78" s="305"/>
      <c r="R78" s="306"/>
      <c r="S78" s="385"/>
      <c r="T78" s="380"/>
      <c r="U78" s="385"/>
      <c r="V78" s="380"/>
      <c r="W78" s="322"/>
      <c r="X78" s="322"/>
      <c r="Y78" s="305"/>
      <c r="Z78" s="306"/>
      <c r="AA78" s="295"/>
    </row>
    <row r="79" spans="2:27" x14ac:dyDescent="0.25">
      <c r="B79" s="233"/>
      <c r="C79" s="235"/>
      <c r="D79" s="236"/>
      <c r="E79" s="305"/>
      <c r="F79" s="326"/>
      <c r="G79" s="385"/>
      <c r="H79" s="380"/>
      <c r="I79" s="385"/>
      <c r="J79" s="322"/>
      <c r="K79" s="305"/>
      <c r="L79" s="306"/>
      <c r="M79" s="296"/>
      <c r="N79" s="306"/>
      <c r="O79" s="305"/>
      <c r="P79" s="306"/>
      <c r="Q79" s="305"/>
      <c r="R79" s="306"/>
      <c r="S79" s="385"/>
      <c r="T79" s="380"/>
      <c r="U79" s="385"/>
      <c r="V79" s="380"/>
      <c r="W79" s="322"/>
      <c r="X79" s="322"/>
      <c r="Y79" s="305"/>
      <c r="Z79" s="306"/>
      <c r="AA79" s="295"/>
    </row>
    <row r="80" spans="2:27" x14ac:dyDescent="0.25">
      <c r="B80" s="233" t="s">
        <v>722</v>
      </c>
      <c r="C80" s="235"/>
      <c r="D80" s="250">
        <v>400</v>
      </c>
      <c r="E80" s="305"/>
      <c r="F80" s="326"/>
      <c r="G80" s="385"/>
      <c r="H80" s="380"/>
      <c r="I80" s="385"/>
      <c r="J80" s="322"/>
      <c r="K80" s="305"/>
      <c r="L80" s="306"/>
      <c r="M80" s="296"/>
      <c r="N80" s="306"/>
      <c r="O80" s="305"/>
      <c r="P80" s="306"/>
      <c r="Q80" s="305"/>
      <c r="R80" s="306"/>
      <c r="S80" s="385"/>
      <c r="T80" s="380"/>
      <c r="U80" s="385"/>
      <c r="V80" s="380"/>
      <c r="W80" s="322"/>
      <c r="X80" s="322"/>
      <c r="Y80" s="305"/>
      <c r="Z80" s="306"/>
      <c r="AA80" s="312">
        <f>D80+SUM(E80:Z80)</f>
        <v>400</v>
      </c>
    </row>
    <row r="81" spans="2:27" x14ac:dyDescent="0.25">
      <c r="B81" s="233"/>
      <c r="C81" s="235"/>
      <c r="D81" s="236"/>
      <c r="E81" s="305"/>
      <c r="F81" s="326"/>
      <c r="G81" s="385"/>
      <c r="H81" s="380"/>
      <c r="I81" s="385"/>
      <c r="J81" s="322"/>
      <c r="K81" s="305"/>
      <c r="L81" s="306"/>
      <c r="M81" s="296"/>
      <c r="N81" s="306"/>
      <c r="O81" s="305"/>
      <c r="P81" s="306"/>
      <c r="Q81" s="305"/>
      <c r="R81" s="306"/>
      <c r="S81" s="385"/>
      <c r="T81" s="380"/>
      <c r="U81" s="385"/>
      <c r="V81" s="380"/>
      <c r="W81" s="322"/>
      <c r="X81" s="322"/>
      <c r="Y81" s="305"/>
      <c r="Z81" s="306"/>
      <c r="AA81" s="295"/>
    </row>
    <row r="82" spans="2:27" x14ac:dyDescent="0.25">
      <c r="B82" s="233"/>
      <c r="C82" s="235"/>
      <c r="D82" s="236"/>
      <c r="E82" s="305"/>
      <c r="F82" s="326"/>
      <c r="G82" s="385"/>
      <c r="H82" s="380"/>
      <c r="I82" s="385"/>
      <c r="J82" s="322"/>
      <c r="K82" s="305"/>
      <c r="L82" s="306"/>
      <c r="M82" s="296"/>
      <c r="N82" s="306"/>
      <c r="O82" s="305"/>
      <c r="P82" s="306"/>
      <c r="Q82" s="305"/>
      <c r="R82" s="306"/>
      <c r="S82" s="385"/>
      <c r="T82" s="380"/>
      <c r="U82" s="385"/>
      <c r="V82" s="380"/>
      <c r="W82" s="322"/>
      <c r="X82" s="322"/>
      <c r="Y82" s="305"/>
      <c r="Z82" s="306"/>
      <c r="AA82" s="295"/>
    </row>
    <row r="83" spans="2:27" x14ac:dyDescent="0.25">
      <c r="B83" s="233"/>
      <c r="C83" s="235"/>
      <c r="D83" s="236"/>
      <c r="E83" s="305"/>
      <c r="F83" s="326"/>
      <c r="G83" s="385"/>
      <c r="H83" s="380"/>
      <c r="I83" s="385"/>
      <c r="J83" s="322"/>
      <c r="K83" s="305"/>
      <c r="L83" s="306"/>
      <c r="M83" s="296"/>
      <c r="N83" s="306"/>
      <c r="O83" s="305"/>
      <c r="P83" s="306"/>
      <c r="Q83" s="305"/>
      <c r="R83" s="306"/>
      <c r="S83" s="385"/>
      <c r="T83" s="380"/>
      <c r="U83" s="385"/>
      <c r="V83" s="380"/>
      <c r="W83" s="322"/>
      <c r="X83" s="322"/>
      <c r="Y83" s="305"/>
      <c r="Z83" s="306"/>
      <c r="AA83" s="295"/>
    </row>
    <row r="84" spans="2:27" x14ac:dyDescent="0.25">
      <c r="B84" s="233"/>
      <c r="C84" s="235"/>
      <c r="D84" s="236"/>
      <c r="E84" s="305"/>
      <c r="F84" s="326"/>
      <c r="G84" s="385"/>
      <c r="H84" s="380"/>
      <c r="I84" s="385"/>
      <c r="J84" s="322"/>
      <c r="K84" s="305"/>
      <c r="L84" s="306"/>
      <c r="M84" s="296"/>
      <c r="N84" s="306"/>
      <c r="O84" s="305"/>
      <c r="P84" s="306"/>
      <c r="Q84" s="305"/>
      <c r="R84" s="306"/>
      <c r="S84" s="385"/>
      <c r="T84" s="380"/>
      <c r="U84" s="385"/>
      <c r="V84" s="380"/>
      <c r="W84" s="322"/>
      <c r="X84" s="322"/>
      <c r="Y84" s="305"/>
      <c r="Z84" s="306"/>
      <c r="AA84" s="295"/>
    </row>
    <row r="85" spans="2:27" x14ac:dyDescent="0.25">
      <c r="B85" s="233" t="s">
        <v>723</v>
      </c>
      <c r="C85" s="235"/>
      <c r="D85" s="237"/>
      <c r="E85" s="305"/>
      <c r="F85" s="326"/>
      <c r="G85" s="385"/>
      <c r="H85" s="380"/>
      <c r="I85" s="385"/>
      <c r="J85" s="322"/>
      <c r="K85" s="305"/>
      <c r="L85" s="306"/>
      <c r="M85" s="296"/>
      <c r="N85" s="306"/>
      <c r="O85" s="305"/>
      <c r="P85" s="306"/>
      <c r="Q85" s="305"/>
      <c r="R85" s="306"/>
      <c r="S85" s="385"/>
      <c r="T85" s="380"/>
      <c r="U85" s="385"/>
      <c r="V85" s="380"/>
      <c r="W85" s="322"/>
      <c r="X85" s="322"/>
      <c r="Y85" s="305"/>
      <c r="Z85" s="306"/>
      <c r="AA85" s="312">
        <f>D85+SUM(E85:Z85)</f>
        <v>0</v>
      </c>
    </row>
    <row r="86" spans="2:27" x14ac:dyDescent="0.25">
      <c r="B86" s="233"/>
      <c r="C86" s="235"/>
      <c r="D86" s="236"/>
      <c r="E86" s="305"/>
      <c r="F86" s="326"/>
      <c r="G86" s="385"/>
      <c r="H86" s="380"/>
      <c r="I86" s="385"/>
      <c r="J86" s="322"/>
      <c r="K86" s="305"/>
      <c r="L86" s="306"/>
      <c r="M86" s="296"/>
      <c r="N86" s="306"/>
      <c r="O86" s="305"/>
      <c r="P86" s="306"/>
      <c r="Q86" s="305"/>
      <c r="R86" s="306"/>
      <c r="S86" s="385"/>
      <c r="T86" s="380"/>
      <c r="U86" s="385"/>
      <c r="V86" s="380"/>
      <c r="W86" s="322"/>
      <c r="X86" s="322"/>
      <c r="Y86" s="305"/>
      <c r="Z86" s="306"/>
      <c r="AA86" s="295"/>
    </row>
    <row r="87" spans="2:27" x14ac:dyDescent="0.25">
      <c r="B87" s="233"/>
      <c r="C87" s="235"/>
      <c r="D87" s="236"/>
      <c r="E87" s="305"/>
      <c r="F87" s="326"/>
      <c r="G87" s="385"/>
      <c r="H87" s="380"/>
      <c r="I87" s="385"/>
      <c r="J87" s="322"/>
      <c r="K87" s="305"/>
      <c r="L87" s="306"/>
      <c r="M87" s="296"/>
      <c r="N87" s="306"/>
      <c r="O87" s="305"/>
      <c r="P87" s="306"/>
      <c r="Q87" s="305"/>
      <c r="R87" s="306"/>
      <c r="S87" s="385"/>
      <c r="T87" s="380"/>
      <c r="U87" s="385"/>
      <c r="V87" s="380"/>
      <c r="W87" s="322"/>
      <c r="X87" s="322"/>
      <c r="Y87" s="305"/>
      <c r="Z87" s="306"/>
      <c r="AA87" s="295"/>
    </row>
    <row r="88" spans="2:27" x14ac:dyDescent="0.25">
      <c r="B88" s="233" t="s">
        <v>631</v>
      </c>
      <c r="C88" s="235"/>
      <c r="D88" s="250"/>
      <c r="E88" s="305"/>
      <c r="F88" s="326"/>
      <c r="G88" s="385"/>
      <c r="H88" s="380"/>
      <c r="I88" s="385"/>
      <c r="J88" s="322"/>
      <c r="K88" s="305"/>
      <c r="L88" s="306"/>
      <c r="M88" s="296"/>
      <c r="N88" s="306"/>
      <c r="O88" s="305"/>
      <c r="P88" s="306"/>
      <c r="Q88" s="305"/>
      <c r="R88" s="306"/>
      <c r="S88" s="385"/>
      <c r="T88" s="380"/>
      <c r="U88" s="385"/>
      <c r="V88" s="380"/>
      <c r="W88" s="322"/>
      <c r="X88" s="322"/>
      <c r="Y88" s="305"/>
      <c r="Z88" s="306"/>
      <c r="AA88" s="312">
        <f>D88+SUM(E88:Z88)</f>
        <v>0</v>
      </c>
    </row>
    <row r="89" spans="2:27" x14ac:dyDescent="0.25">
      <c r="B89" s="233"/>
      <c r="C89" s="235"/>
      <c r="D89" s="236"/>
      <c r="E89" s="305"/>
      <c r="F89" s="326"/>
      <c r="G89" s="385"/>
      <c r="H89" s="380"/>
      <c r="I89" s="385"/>
      <c r="J89" s="322"/>
      <c r="K89" s="305"/>
      <c r="L89" s="306"/>
      <c r="M89" s="296"/>
      <c r="N89" s="306"/>
      <c r="O89" s="305"/>
      <c r="P89" s="306"/>
      <c r="Q89" s="305"/>
      <c r="R89" s="306"/>
      <c r="S89" s="385"/>
      <c r="T89" s="380"/>
      <c r="U89" s="385"/>
      <c r="V89" s="380"/>
      <c r="W89" s="322"/>
      <c r="X89" s="322"/>
      <c r="Y89" s="305"/>
      <c r="Z89" s="306"/>
      <c r="AA89" s="295"/>
    </row>
    <row r="90" spans="2:27" x14ac:dyDescent="0.25">
      <c r="B90" s="233"/>
      <c r="C90" s="235"/>
      <c r="D90" s="236"/>
      <c r="E90" s="305"/>
      <c r="F90" s="326"/>
      <c r="G90" s="385"/>
      <c r="H90" s="380"/>
      <c r="I90" s="385"/>
      <c r="J90" s="322"/>
      <c r="K90" s="305"/>
      <c r="L90" s="306"/>
      <c r="M90" s="296"/>
      <c r="N90" s="306"/>
      <c r="O90" s="305"/>
      <c r="P90" s="306"/>
      <c r="Q90" s="305"/>
      <c r="R90" s="306"/>
      <c r="S90" s="385"/>
      <c r="T90" s="380"/>
      <c r="U90" s="385"/>
      <c r="V90" s="380"/>
      <c r="W90" s="322"/>
      <c r="X90" s="322"/>
      <c r="Y90" s="305"/>
      <c r="Z90" s="306"/>
      <c r="AA90" s="295"/>
    </row>
    <row r="91" spans="2:27" x14ac:dyDescent="0.25">
      <c r="B91" s="233" t="s">
        <v>647</v>
      </c>
      <c r="C91" s="235"/>
      <c r="D91" s="237">
        <v>40</v>
      </c>
      <c r="E91" s="305"/>
      <c r="F91" s="326"/>
      <c r="G91" s="385"/>
      <c r="H91" s="380"/>
      <c r="I91" s="385"/>
      <c r="J91" s="322"/>
      <c r="K91" s="305">
        <f>SUMIF($AD$33:$AD$34,"DR SPL - Finance Income",$AE$33:$AE$34)</f>
        <v>0</v>
      </c>
      <c r="L91" s="306">
        <f>-SUMIF($AD$33:$AD$34,"CR Finance income",$AF$33:$AF$34)</f>
        <v>0</v>
      </c>
      <c r="M91" s="296"/>
      <c r="N91" s="306"/>
      <c r="O91" s="305"/>
      <c r="P91" s="306"/>
      <c r="Q91" s="305"/>
      <c r="R91" s="306"/>
      <c r="S91" s="385"/>
      <c r="T91" s="380"/>
      <c r="U91" s="385"/>
      <c r="V91" s="380"/>
      <c r="W91" s="322"/>
      <c r="X91" s="322"/>
      <c r="Y91" s="305"/>
      <c r="Z91" s="306"/>
      <c r="AA91" s="312">
        <f>D91-SUM(E91:Z91)</f>
        <v>40</v>
      </c>
    </row>
    <row r="92" spans="2:27" x14ac:dyDescent="0.25">
      <c r="B92" s="233"/>
      <c r="C92" s="235"/>
      <c r="D92" s="236"/>
      <c r="E92" s="305"/>
      <c r="F92" s="326"/>
      <c r="G92" s="385"/>
      <c r="H92" s="380"/>
      <c r="I92" s="385"/>
      <c r="J92" s="322"/>
      <c r="K92" s="305"/>
      <c r="L92" s="306"/>
      <c r="M92" s="296"/>
      <c r="N92" s="306"/>
      <c r="O92" s="305"/>
      <c r="P92" s="306"/>
      <c r="Q92" s="305"/>
      <c r="R92" s="306"/>
      <c r="S92" s="385"/>
      <c r="T92" s="380"/>
      <c r="U92" s="385"/>
      <c r="V92" s="380"/>
      <c r="W92" s="322"/>
      <c r="X92" s="322"/>
      <c r="Y92" s="305"/>
      <c r="Z92" s="306"/>
      <c r="AA92" s="295"/>
    </row>
    <row r="93" spans="2:27" x14ac:dyDescent="0.25">
      <c r="B93" s="233" t="s">
        <v>893</v>
      </c>
      <c r="C93" s="235"/>
      <c r="D93" s="251"/>
      <c r="E93" s="305"/>
      <c r="F93" s="326"/>
      <c r="G93" s="385"/>
      <c r="H93" s="380"/>
      <c r="I93" s="385">
        <f>SUMIF($AD$28:$AD$29,"DR SPL - Share of profit of the associate",$AE$28:$AE$29)</f>
        <v>0</v>
      </c>
      <c r="J93" s="322">
        <f>-SUMIF($AD$28:$AD$29,"CR SPL - Share of profit of the associate",$AF$28:$AF$29)</f>
        <v>0</v>
      </c>
      <c r="K93" s="305"/>
      <c r="L93" s="306"/>
      <c r="M93" s="296">
        <f>SUMIF($AD$41:$AD$47,"DR SPL - Share of profit of the associate",$AE$41:$AE$47)</f>
        <v>0</v>
      </c>
      <c r="N93" s="306">
        <f>-SUMIF($AD$40:$AD$47,"CR SPL - Share of profit of the associate",$AF$40:$AF$47)</f>
        <v>0</v>
      </c>
      <c r="O93" s="305"/>
      <c r="P93" s="306"/>
      <c r="Q93" s="305"/>
      <c r="R93" s="306"/>
      <c r="S93" s="385"/>
      <c r="T93" s="380"/>
      <c r="U93" s="385"/>
      <c r="V93" s="380"/>
      <c r="W93" s="322"/>
      <c r="X93" s="322"/>
      <c r="Y93" s="305"/>
      <c r="Z93" s="306"/>
      <c r="AA93" s="334"/>
    </row>
    <row r="94" spans="2:27" ht="15.75" x14ac:dyDescent="0.25">
      <c r="B94" s="230" t="s">
        <v>724</v>
      </c>
      <c r="C94" s="235" t="s">
        <v>725</v>
      </c>
      <c r="D94" s="244">
        <f>D73+D74-D77-D80-D85-D88+D91</f>
        <v>1340</v>
      </c>
      <c r="E94" s="303"/>
      <c r="F94" s="285"/>
      <c r="G94" s="383"/>
      <c r="H94" s="384"/>
      <c r="I94" s="383"/>
      <c r="J94" s="321"/>
      <c r="K94" s="303"/>
      <c r="L94" s="304"/>
      <c r="M94" s="295"/>
      <c r="N94" s="304"/>
      <c r="O94" s="303"/>
      <c r="P94" s="304"/>
      <c r="Q94" s="303"/>
      <c r="R94" s="304"/>
      <c r="S94" s="383"/>
      <c r="T94" s="384"/>
      <c r="U94" s="383"/>
      <c r="V94" s="384"/>
      <c r="W94" s="321"/>
      <c r="X94" s="321"/>
      <c r="Y94" s="303"/>
      <c r="Z94" s="304"/>
      <c r="AA94" s="316">
        <f>AA73+AA74-AA77-AA80-AA85-AA88+AA91</f>
        <v>1340</v>
      </c>
    </row>
    <row r="95" spans="2:27" x14ac:dyDescent="0.25">
      <c r="B95" s="233" t="s">
        <v>1</v>
      </c>
      <c r="C95" s="235" t="s">
        <v>726</v>
      </c>
      <c r="D95" s="252">
        <v>300</v>
      </c>
      <c r="E95" s="344"/>
      <c r="F95" s="327"/>
      <c r="G95" s="405"/>
      <c r="H95" s="406"/>
      <c r="I95" s="405"/>
      <c r="J95" s="369"/>
      <c r="K95" s="344"/>
      <c r="L95" s="345"/>
      <c r="M95" s="361"/>
      <c r="N95" s="345"/>
      <c r="O95" s="344"/>
      <c r="P95" s="345"/>
      <c r="Q95" s="344"/>
      <c r="R95" s="345"/>
      <c r="S95" s="405"/>
      <c r="T95" s="406"/>
      <c r="U95" s="405"/>
      <c r="V95" s="406"/>
      <c r="W95" s="369"/>
      <c r="X95" s="369"/>
      <c r="Y95" s="344"/>
      <c r="Z95" s="345"/>
      <c r="AA95" s="312">
        <f>D95+SUM(E95:Z95)</f>
        <v>300</v>
      </c>
    </row>
    <row r="96" spans="2:27" x14ac:dyDescent="0.25">
      <c r="B96" s="253"/>
      <c r="C96" s="235"/>
      <c r="D96" s="240"/>
      <c r="E96" s="344"/>
      <c r="F96" s="327"/>
      <c r="G96" s="405"/>
      <c r="H96" s="406"/>
      <c r="I96" s="405"/>
      <c r="J96" s="369"/>
      <c r="K96" s="344"/>
      <c r="L96" s="345"/>
      <c r="M96" s="361"/>
      <c r="N96" s="345"/>
      <c r="O96" s="344"/>
      <c r="P96" s="345"/>
      <c r="Q96" s="344"/>
      <c r="R96" s="345"/>
      <c r="S96" s="405"/>
      <c r="T96" s="406"/>
      <c r="U96" s="405"/>
      <c r="V96" s="406"/>
      <c r="W96" s="369"/>
      <c r="X96" s="369"/>
      <c r="Y96" s="344"/>
      <c r="Z96" s="345"/>
      <c r="AA96" s="298"/>
    </row>
    <row r="97" spans="2:27" x14ac:dyDescent="0.25">
      <c r="B97" s="253"/>
      <c r="C97" s="235"/>
      <c r="D97" s="236"/>
      <c r="E97" s="344"/>
      <c r="F97" s="327"/>
      <c r="G97" s="405"/>
      <c r="H97" s="406"/>
      <c r="I97" s="405"/>
      <c r="J97" s="369"/>
      <c r="K97" s="344"/>
      <c r="L97" s="345"/>
      <c r="M97" s="361"/>
      <c r="N97" s="345"/>
      <c r="O97" s="344"/>
      <c r="P97" s="345"/>
      <c r="Q97" s="344"/>
      <c r="R97" s="345"/>
      <c r="S97" s="405"/>
      <c r="T97" s="406"/>
      <c r="U97" s="405"/>
      <c r="V97" s="406"/>
      <c r="W97" s="369"/>
      <c r="X97" s="369"/>
      <c r="Y97" s="344"/>
      <c r="Z97" s="345"/>
      <c r="AA97" s="295"/>
    </row>
    <row r="98" spans="2:27" ht="15.75" x14ac:dyDescent="0.25">
      <c r="B98" s="254" t="s">
        <v>727</v>
      </c>
      <c r="C98" s="235" t="s">
        <v>725</v>
      </c>
      <c r="D98" s="255">
        <f>D94-D95</f>
        <v>1040</v>
      </c>
      <c r="E98" s="346"/>
      <c r="F98" s="328"/>
      <c r="G98" s="407"/>
      <c r="H98" s="408"/>
      <c r="I98" s="407"/>
      <c r="J98" s="370"/>
      <c r="K98" s="346"/>
      <c r="L98" s="347"/>
      <c r="M98" s="362"/>
      <c r="N98" s="347"/>
      <c r="O98" s="346"/>
      <c r="P98" s="347"/>
      <c r="Q98" s="346"/>
      <c r="R98" s="347"/>
      <c r="S98" s="407"/>
      <c r="T98" s="408"/>
      <c r="U98" s="407"/>
      <c r="V98" s="408"/>
      <c r="W98" s="370"/>
      <c r="X98" s="370"/>
      <c r="Y98" s="346"/>
      <c r="Z98" s="347"/>
      <c r="AA98" s="317">
        <f>AA94-AA95</f>
        <v>1040</v>
      </c>
    </row>
    <row r="99" spans="2:27" x14ac:dyDescent="0.25">
      <c r="B99" s="233" t="s">
        <v>728</v>
      </c>
      <c r="C99" s="235" t="s">
        <v>729</v>
      </c>
      <c r="D99" s="256"/>
      <c r="E99" s="348"/>
      <c r="F99" s="329"/>
      <c r="G99" s="409"/>
      <c r="H99" s="410"/>
      <c r="I99" s="409"/>
      <c r="J99" s="372"/>
      <c r="K99" s="348"/>
      <c r="L99" s="349"/>
      <c r="M99" s="363"/>
      <c r="N99" s="349"/>
      <c r="O99" s="348"/>
      <c r="P99" s="349"/>
      <c r="Q99" s="348"/>
      <c r="R99" s="349"/>
      <c r="S99" s="409"/>
      <c r="T99" s="410"/>
      <c r="U99" s="409"/>
      <c r="V99" s="410"/>
      <c r="W99" s="372"/>
      <c r="X99" s="372"/>
      <c r="Y99" s="348"/>
      <c r="Z99" s="349"/>
      <c r="AA99" s="336"/>
    </row>
    <row r="100" spans="2:27" ht="15.75" x14ac:dyDescent="0.25">
      <c r="B100" s="230" t="s">
        <v>730</v>
      </c>
      <c r="C100" s="235" t="s">
        <v>725</v>
      </c>
      <c r="D100" s="258">
        <f>D98-D99</f>
        <v>1040</v>
      </c>
      <c r="E100" s="350"/>
      <c r="F100" s="330"/>
      <c r="G100" s="411"/>
      <c r="H100" s="412"/>
      <c r="I100" s="411"/>
      <c r="J100" s="371"/>
      <c r="K100" s="350"/>
      <c r="L100" s="351"/>
      <c r="M100" s="338"/>
      <c r="N100" s="351"/>
      <c r="O100" s="350"/>
      <c r="P100" s="351"/>
      <c r="Q100" s="350"/>
      <c r="R100" s="351"/>
      <c r="S100" s="411"/>
      <c r="T100" s="412"/>
      <c r="U100" s="411"/>
      <c r="V100" s="412"/>
      <c r="W100" s="371"/>
      <c r="X100" s="371"/>
      <c r="Y100" s="350"/>
      <c r="Z100" s="351"/>
      <c r="AA100" s="337">
        <f>AA98-AA99</f>
        <v>1040</v>
      </c>
    </row>
    <row r="101" spans="2:27" x14ac:dyDescent="0.25">
      <c r="B101" s="233"/>
      <c r="C101" s="235"/>
      <c r="D101" s="259"/>
      <c r="E101" s="350"/>
      <c r="F101" s="330"/>
      <c r="G101" s="411"/>
      <c r="H101" s="412"/>
      <c r="I101" s="411"/>
      <c r="J101" s="371"/>
      <c r="K101" s="350"/>
      <c r="L101" s="351"/>
      <c r="M101" s="338"/>
      <c r="N101" s="351"/>
      <c r="O101" s="350"/>
      <c r="P101" s="351"/>
      <c r="Q101" s="350"/>
      <c r="R101" s="351"/>
      <c r="S101" s="411"/>
      <c r="T101" s="412"/>
      <c r="U101" s="411"/>
      <c r="V101" s="412"/>
      <c r="W101" s="371"/>
      <c r="X101" s="371"/>
      <c r="Y101" s="350"/>
      <c r="Z101" s="351"/>
      <c r="AA101" s="338"/>
    </row>
    <row r="102" spans="2:27" ht="15.75" x14ac:dyDescent="0.25">
      <c r="B102" s="230" t="s">
        <v>3</v>
      </c>
      <c r="C102" s="235"/>
      <c r="D102" s="259"/>
      <c r="E102" s="350"/>
      <c r="F102" s="330"/>
      <c r="G102" s="411"/>
      <c r="H102" s="412"/>
      <c r="I102" s="411"/>
      <c r="J102" s="371"/>
      <c r="K102" s="350"/>
      <c r="L102" s="351"/>
      <c r="M102" s="338"/>
      <c r="N102" s="351"/>
      <c r="O102" s="350"/>
      <c r="P102" s="351"/>
      <c r="Q102" s="350"/>
      <c r="R102" s="351"/>
      <c r="S102" s="411"/>
      <c r="T102" s="412"/>
      <c r="U102" s="411"/>
      <c r="V102" s="412"/>
      <c r="W102" s="371"/>
      <c r="X102" s="371"/>
      <c r="Y102" s="350"/>
      <c r="Z102" s="351"/>
      <c r="AA102" s="338"/>
    </row>
    <row r="103" spans="2:27" ht="15.75" x14ac:dyDescent="0.25">
      <c r="B103" s="230" t="s">
        <v>4</v>
      </c>
      <c r="C103" s="235"/>
      <c r="D103" s="259"/>
      <c r="E103" s="350"/>
      <c r="F103" s="330"/>
      <c r="G103" s="411"/>
      <c r="H103" s="412"/>
      <c r="I103" s="411"/>
      <c r="J103" s="371"/>
      <c r="K103" s="350"/>
      <c r="L103" s="351"/>
      <c r="M103" s="338"/>
      <c r="N103" s="351"/>
      <c r="O103" s="350"/>
      <c r="P103" s="351"/>
      <c r="Q103" s="350"/>
      <c r="R103" s="351"/>
      <c r="S103" s="411"/>
      <c r="T103" s="412"/>
      <c r="U103" s="411"/>
      <c r="V103" s="412"/>
      <c r="W103" s="371"/>
      <c r="X103" s="371"/>
      <c r="Y103" s="350"/>
      <c r="Z103" s="351"/>
      <c r="AA103" s="338"/>
    </row>
    <row r="104" spans="2:27" x14ac:dyDescent="0.25">
      <c r="B104" s="233" t="s">
        <v>731</v>
      </c>
      <c r="C104" s="235" t="s">
        <v>732</v>
      </c>
      <c r="D104" s="245"/>
      <c r="E104" s="348"/>
      <c r="F104" s="329"/>
      <c r="G104" s="409"/>
      <c r="H104" s="410"/>
      <c r="I104" s="409"/>
      <c r="J104" s="372"/>
      <c r="K104" s="348"/>
      <c r="L104" s="349"/>
      <c r="M104" s="363"/>
      <c r="N104" s="349"/>
      <c r="O104" s="348"/>
      <c r="P104" s="349"/>
      <c r="Q104" s="348"/>
      <c r="R104" s="349"/>
      <c r="S104" s="409"/>
      <c r="T104" s="410"/>
      <c r="U104" s="409"/>
      <c r="V104" s="410"/>
      <c r="W104" s="372"/>
      <c r="X104" s="372"/>
      <c r="Y104" s="348"/>
      <c r="Z104" s="349"/>
      <c r="AA104" s="312">
        <f>D104-SUM(E104:Z104)</f>
        <v>0</v>
      </c>
    </row>
    <row r="105" spans="2:27" x14ac:dyDescent="0.25">
      <c r="B105" s="233" t="s">
        <v>733</v>
      </c>
      <c r="C105" s="235" t="s">
        <v>732</v>
      </c>
      <c r="D105" s="245"/>
      <c r="E105" s="348"/>
      <c r="F105" s="329"/>
      <c r="G105" s="409"/>
      <c r="H105" s="410"/>
      <c r="I105" s="409"/>
      <c r="J105" s="372"/>
      <c r="K105" s="348"/>
      <c r="L105" s="349"/>
      <c r="M105" s="363"/>
      <c r="N105" s="349"/>
      <c r="O105" s="348"/>
      <c r="P105" s="349"/>
      <c r="Q105" s="348"/>
      <c r="R105" s="349"/>
      <c r="S105" s="409"/>
      <c r="T105" s="410"/>
      <c r="U105" s="409"/>
      <c r="V105" s="410"/>
      <c r="W105" s="372"/>
      <c r="X105" s="372"/>
      <c r="Y105" s="348"/>
      <c r="Z105" s="349"/>
      <c r="AA105" s="312">
        <f>D105-SUM(E105:Z105)</f>
        <v>0</v>
      </c>
    </row>
    <row r="106" spans="2:27" ht="30" x14ac:dyDescent="0.25">
      <c r="B106" s="233" t="s">
        <v>734</v>
      </c>
      <c r="C106" s="235" t="s">
        <v>735</v>
      </c>
      <c r="D106" s="245"/>
      <c r="E106" s="348"/>
      <c r="F106" s="329"/>
      <c r="G106" s="409"/>
      <c r="H106" s="410"/>
      <c r="I106" s="409"/>
      <c r="J106" s="372"/>
      <c r="K106" s="348"/>
      <c r="L106" s="349"/>
      <c r="M106" s="363"/>
      <c r="N106" s="349"/>
      <c r="O106" s="348"/>
      <c r="P106" s="349"/>
      <c r="Q106" s="348"/>
      <c r="R106" s="349"/>
      <c r="S106" s="409"/>
      <c r="T106" s="410"/>
      <c r="U106" s="409"/>
      <c r="V106" s="410"/>
      <c r="W106" s="372"/>
      <c r="X106" s="372"/>
      <c r="Y106" s="348"/>
      <c r="Z106" s="349"/>
      <c r="AA106" s="312">
        <f>D106-SUM(E106:Z106)</f>
        <v>0</v>
      </c>
    </row>
    <row r="107" spans="2:27" x14ac:dyDescent="0.25">
      <c r="B107" s="233" t="s">
        <v>736</v>
      </c>
      <c r="C107" s="235" t="s">
        <v>726</v>
      </c>
      <c r="D107" s="256"/>
      <c r="E107" s="348"/>
      <c r="F107" s="329"/>
      <c r="G107" s="409"/>
      <c r="H107" s="410"/>
      <c r="I107" s="409"/>
      <c r="J107" s="372"/>
      <c r="K107" s="348"/>
      <c r="L107" s="349"/>
      <c r="M107" s="363"/>
      <c r="N107" s="349"/>
      <c r="O107" s="348"/>
      <c r="P107" s="349"/>
      <c r="Q107" s="348"/>
      <c r="R107" s="349"/>
      <c r="S107" s="409"/>
      <c r="T107" s="410"/>
      <c r="U107" s="409"/>
      <c r="V107" s="410"/>
      <c r="W107" s="372"/>
      <c r="X107" s="372"/>
      <c r="Y107" s="348"/>
      <c r="Z107" s="349"/>
      <c r="AA107" s="490">
        <f>D107+SUM(E107:Z107)</f>
        <v>0</v>
      </c>
    </row>
    <row r="108" spans="2:27" x14ac:dyDescent="0.25">
      <c r="B108" s="233"/>
      <c r="C108" s="235"/>
      <c r="D108" s="258">
        <f>D104+D105+D106-D107</f>
        <v>0</v>
      </c>
      <c r="E108" s="350"/>
      <c r="F108" s="330"/>
      <c r="G108" s="411"/>
      <c r="H108" s="412"/>
      <c r="I108" s="411"/>
      <c r="J108" s="371"/>
      <c r="K108" s="350"/>
      <c r="L108" s="351"/>
      <c r="M108" s="338"/>
      <c r="N108" s="351"/>
      <c r="O108" s="350"/>
      <c r="P108" s="351"/>
      <c r="Q108" s="350"/>
      <c r="R108" s="351"/>
      <c r="S108" s="411"/>
      <c r="T108" s="412"/>
      <c r="U108" s="411"/>
      <c r="V108" s="412"/>
      <c r="W108" s="371"/>
      <c r="X108" s="371"/>
      <c r="Y108" s="350"/>
      <c r="Z108" s="351"/>
      <c r="AA108" s="491">
        <f>AA104+AA105+AA106-AA107</f>
        <v>0</v>
      </c>
    </row>
    <row r="109" spans="2:27" ht="15.75" x14ac:dyDescent="0.25">
      <c r="B109" s="230" t="s">
        <v>30</v>
      </c>
      <c r="C109" s="235"/>
      <c r="D109" s="259"/>
      <c r="E109" s="350"/>
      <c r="F109" s="330"/>
      <c r="G109" s="411"/>
      <c r="H109" s="412"/>
      <c r="I109" s="411"/>
      <c r="J109" s="371"/>
      <c r="K109" s="350"/>
      <c r="L109" s="351"/>
      <c r="M109" s="338"/>
      <c r="N109" s="351"/>
      <c r="O109" s="350"/>
      <c r="P109" s="351"/>
      <c r="Q109" s="350"/>
      <c r="R109" s="351"/>
      <c r="S109" s="411"/>
      <c r="T109" s="412"/>
      <c r="U109" s="411"/>
      <c r="V109" s="412"/>
      <c r="W109" s="371"/>
      <c r="X109" s="371"/>
      <c r="Y109" s="350"/>
      <c r="Z109" s="351"/>
      <c r="AA109" s="338"/>
    </row>
    <row r="110" spans="2:27" x14ac:dyDescent="0.25">
      <c r="B110" s="233" t="s">
        <v>32</v>
      </c>
      <c r="C110" s="235" t="s">
        <v>732</v>
      </c>
      <c r="D110" s="245"/>
      <c r="E110" s="348"/>
      <c r="F110" s="329"/>
      <c r="G110" s="409"/>
      <c r="H110" s="410"/>
      <c r="I110" s="409"/>
      <c r="J110" s="372"/>
      <c r="K110" s="348"/>
      <c r="L110" s="349"/>
      <c r="M110" s="363"/>
      <c r="N110" s="349"/>
      <c r="O110" s="348"/>
      <c r="P110" s="349"/>
      <c r="Q110" s="348"/>
      <c r="R110" s="349"/>
      <c r="S110" s="409"/>
      <c r="T110" s="410"/>
      <c r="U110" s="409"/>
      <c r="V110" s="410"/>
      <c r="W110" s="372"/>
      <c r="X110" s="372"/>
      <c r="Y110" s="348"/>
      <c r="Z110" s="349"/>
      <c r="AA110" s="317"/>
    </row>
    <row r="111" spans="2:27" x14ac:dyDescent="0.25">
      <c r="B111" s="233" t="s">
        <v>737</v>
      </c>
      <c r="C111" s="235" t="s">
        <v>726</v>
      </c>
      <c r="D111" s="256"/>
      <c r="E111" s="348"/>
      <c r="F111" s="329"/>
      <c r="G111" s="409"/>
      <c r="H111" s="410"/>
      <c r="I111" s="409"/>
      <c r="J111" s="372"/>
      <c r="K111" s="348"/>
      <c r="L111" s="349"/>
      <c r="M111" s="363"/>
      <c r="N111" s="349"/>
      <c r="O111" s="348"/>
      <c r="P111" s="349"/>
      <c r="Q111" s="348"/>
      <c r="R111" s="349"/>
      <c r="S111" s="409"/>
      <c r="T111" s="410"/>
      <c r="U111" s="409"/>
      <c r="V111" s="410"/>
      <c r="W111" s="372"/>
      <c r="X111" s="372"/>
      <c r="Y111" s="348"/>
      <c r="Z111" s="349"/>
      <c r="AA111" s="336"/>
    </row>
    <row r="112" spans="2:27" x14ac:dyDescent="0.25">
      <c r="B112" s="233"/>
      <c r="C112" s="235"/>
      <c r="D112" s="257">
        <f>D110-D111</f>
        <v>0</v>
      </c>
      <c r="E112" s="350"/>
      <c r="F112" s="330"/>
      <c r="G112" s="411"/>
      <c r="H112" s="412"/>
      <c r="I112" s="411"/>
      <c r="J112" s="371"/>
      <c r="K112" s="350"/>
      <c r="L112" s="351"/>
      <c r="M112" s="338"/>
      <c r="N112" s="351"/>
      <c r="O112" s="350"/>
      <c r="P112" s="351"/>
      <c r="Q112" s="350"/>
      <c r="R112" s="351"/>
      <c r="S112" s="411"/>
      <c r="T112" s="412"/>
      <c r="U112" s="411"/>
      <c r="V112" s="412"/>
      <c r="W112" s="371"/>
      <c r="X112" s="371"/>
      <c r="Y112" s="350"/>
      <c r="Z112" s="351"/>
      <c r="AA112" s="336">
        <f>AA110-AA111</f>
        <v>0</v>
      </c>
    </row>
    <row r="113" spans="2:27" ht="15.75" x14ac:dyDescent="0.25">
      <c r="B113" s="230" t="s">
        <v>8</v>
      </c>
      <c r="C113" s="235"/>
      <c r="D113" s="257">
        <f>SUM(D108,D112)</f>
        <v>0</v>
      </c>
      <c r="E113" s="350"/>
      <c r="F113" s="330"/>
      <c r="G113" s="411"/>
      <c r="H113" s="412"/>
      <c r="I113" s="411"/>
      <c r="J113" s="371"/>
      <c r="K113" s="350"/>
      <c r="L113" s="351"/>
      <c r="M113" s="338"/>
      <c r="N113" s="351"/>
      <c r="O113" s="350"/>
      <c r="P113" s="351"/>
      <c r="Q113" s="350"/>
      <c r="R113" s="351"/>
      <c r="S113" s="411"/>
      <c r="T113" s="412"/>
      <c r="U113" s="411"/>
      <c r="V113" s="412"/>
      <c r="W113" s="371"/>
      <c r="X113" s="371"/>
      <c r="Y113" s="350"/>
      <c r="Z113" s="351"/>
      <c r="AA113" s="336">
        <f>AA108+AA112</f>
        <v>0</v>
      </c>
    </row>
    <row r="114" spans="2:27" ht="16.5" thickBot="1" x14ac:dyDescent="0.3">
      <c r="B114" s="254" t="s">
        <v>9</v>
      </c>
      <c r="C114" s="260"/>
      <c r="D114" s="261">
        <f>D100+D113</f>
        <v>1040</v>
      </c>
      <c r="E114" s="346"/>
      <c r="F114" s="328"/>
      <c r="G114" s="407"/>
      <c r="H114" s="408"/>
      <c r="I114" s="407"/>
      <c r="J114" s="370"/>
      <c r="K114" s="346"/>
      <c r="L114" s="347"/>
      <c r="M114" s="362"/>
      <c r="N114" s="347"/>
      <c r="O114" s="346"/>
      <c r="P114" s="347"/>
      <c r="Q114" s="346"/>
      <c r="R114" s="347"/>
      <c r="S114" s="407"/>
      <c r="T114" s="408"/>
      <c r="U114" s="407"/>
      <c r="V114" s="408"/>
      <c r="W114" s="370"/>
      <c r="X114" s="370"/>
      <c r="Y114" s="346"/>
      <c r="Z114" s="347"/>
      <c r="AA114" s="339">
        <f>AA100+AA113</f>
        <v>1040</v>
      </c>
    </row>
    <row r="115" spans="2:27" x14ac:dyDescent="0.25">
      <c r="B115" s="233"/>
      <c r="C115" s="260"/>
      <c r="D115" s="240"/>
      <c r="E115" s="303"/>
      <c r="F115" s="285"/>
      <c r="G115" s="383"/>
      <c r="H115" s="384"/>
      <c r="I115" s="383"/>
      <c r="J115" s="321"/>
      <c r="K115" s="303"/>
      <c r="L115" s="304"/>
      <c r="M115" s="295"/>
      <c r="N115" s="304"/>
      <c r="O115" s="303"/>
      <c r="P115" s="304"/>
      <c r="Q115" s="303"/>
      <c r="R115" s="304"/>
      <c r="S115" s="383"/>
      <c r="T115" s="384"/>
      <c r="U115" s="383"/>
      <c r="V115" s="384"/>
      <c r="W115" s="321"/>
      <c r="X115" s="321"/>
      <c r="Y115" s="303"/>
      <c r="Z115" s="304"/>
      <c r="AA115" s="298"/>
    </row>
    <row r="116" spans="2:27" x14ac:dyDescent="0.25">
      <c r="B116" s="233" t="s">
        <v>738</v>
      </c>
      <c r="C116" s="235" t="s">
        <v>725</v>
      </c>
      <c r="D116" s="236"/>
      <c r="E116" s="303"/>
      <c r="F116" s="285"/>
      <c r="G116" s="383"/>
      <c r="H116" s="384"/>
      <c r="I116" s="383"/>
      <c r="J116" s="321"/>
      <c r="K116" s="303"/>
      <c r="L116" s="304"/>
      <c r="M116" s="295"/>
      <c r="N116" s="304"/>
      <c r="O116" s="303"/>
      <c r="P116" s="304"/>
      <c r="Q116" s="303"/>
      <c r="R116" s="304"/>
      <c r="S116" s="383"/>
      <c r="T116" s="384"/>
      <c r="U116" s="383"/>
      <c r="V116" s="384"/>
      <c r="W116" s="321"/>
      <c r="X116" s="321"/>
      <c r="Y116" s="303"/>
      <c r="Z116" s="304"/>
      <c r="AA116" s="295"/>
    </row>
    <row r="117" spans="2:27" x14ac:dyDescent="0.25">
      <c r="B117" s="262" t="s">
        <v>739</v>
      </c>
      <c r="C117" s="260"/>
      <c r="D117" s="236"/>
      <c r="E117" s="352"/>
      <c r="F117" s="331"/>
      <c r="G117" s="413"/>
      <c r="H117" s="414"/>
      <c r="I117" s="413"/>
      <c r="J117" s="373"/>
      <c r="K117" s="352"/>
      <c r="L117" s="353"/>
      <c r="M117" s="333"/>
      <c r="N117" s="353"/>
      <c r="O117" s="352"/>
      <c r="P117" s="353"/>
      <c r="Q117" s="352"/>
      <c r="R117" s="353"/>
      <c r="S117" s="413"/>
      <c r="T117" s="414"/>
      <c r="U117" s="413"/>
      <c r="V117" s="414"/>
      <c r="W117" s="321"/>
      <c r="X117" s="321"/>
      <c r="Y117" s="352"/>
      <c r="Z117" s="353"/>
      <c r="AA117" s="335">
        <f>AA119-AA118</f>
        <v>1245.8</v>
      </c>
    </row>
    <row r="118" spans="2:27" x14ac:dyDescent="0.25">
      <c r="B118" s="263" t="s">
        <v>682</v>
      </c>
      <c r="C118" s="260"/>
      <c r="D118" s="236"/>
      <c r="E118" s="305"/>
      <c r="F118" s="326"/>
      <c r="G118" s="385"/>
      <c r="H118" s="380"/>
      <c r="I118" s="385"/>
      <c r="J118" s="322"/>
      <c r="K118" s="305"/>
      <c r="L118" s="306"/>
      <c r="M118" s="296">
        <f>Consol!AN33</f>
        <v>-205.8</v>
      </c>
      <c r="N118" s="306"/>
      <c r="O118" s="305"/>
      <c r="P118" s="306"/>
      <c r="Q118" s="305"/>
      <c r="R118" s="306"/>
      <c r="S118" s="305"/>
      <c r="T118" s="306"/>
      <c r="U118" s="385"/>
      <c r="V118" s="380"/>
      <c r="W118" s="296"/>
      <c r="X118" s="306"/>
      <c r="Y118" s="305"/>
      <c r="Z118" s="306"/>
      <c r="AA118" s="298">
        <f>SUM(E118:P118)</f>
        <v>-205.8</v>
      </c>
    </row>
    <row r="119" spans="2:27" ht="15.75" thickBot="1" x14ac:dyDescent="0.3">
      <c r="B119" s="233"/>
      <c r="C119" s="260"/>
      <c r="D119" s="236"/>
      <c r="E119" s="303"/>
      <c r="F119" s="285"/>
      <c r="G119" s="383"/>
      <c r="H119" s="384"/>
      <c r="I119" s="383"/>
      <c r="J119" s="321"/>
      <c r="K119" s="303"/>
      <c r="L119" s="304"/>
      <c r="M119" s="295"/>
      <c r="N119" s="304"/>
      <c r="O119" s="303"/>
      <c r="P119" s="304"/>
      <c r="Q119" s="303"/>
      <c r="R119" s="304"/>
      <c r="S119" s="383"/>
      <c r="T119" s="384"/>
      <c r="U119" s="383"/>
      <c r="V119" s="384"/>
      <c r="W119" s="321"/>
      <c r="X119" s="321"/>
      <c r="Y119" s="303"/>
      <c r="Z119" s="304"/>
      <c r="AA119" s="314">
        <f>AA114</f>
        <v>1040</v>
      </c>
    </row>
    <row r="120" spans="2:27" x14ac:dyDescent="0.25">
      <c r="B120" s="233" t="s">
        <v>740</v>
      </c>
      <c r="C120" s="260"/>
      <c r="D120" s="236"/>
      <c r="E120" s="303"/>
      <c r="F120" s="285"/>
      <c r="G120" s="383"/>
      <c r="H120" s="384"/>
      <c r="I120" s="383"/>
      <c r="J120" s="321"/>
      <c r="K120" s="303"/>
      <c r="L120" s="304"/>
      <c r="M120" s="295"/>
      <c r="N120" s="304"/>
      <c r="O120" s="303"/>
      <c r="P120" s="304"/>
      <c r="Q120" s="303"/>
      <c r="R120" s="304"/>
      <c r="S120" s="383"/>
      <c r="T120" s="384"/>
      <c r="U120" s="383"/>
      <c r="V120" s="384"/>
      <c r="W120" s="321"/>
      <c r="X120" s="321"/>
      <c r="Y120" s="303"/>
      <c r="Z120" s="304"/>
      <c r="AA120" s="298"/>
    </row>
    <row r="121" spans="2:27" x14ac:dyDescent="0.25">
      <c r="B121" s="263" t="s">
        <v>739</v>
      </c>
      <c r="C121" s="260"/>
      <c r="D121" s="236"/>
      <c r="E121" s="303"/>
      <c r="F121" s="285"/>
      <c r="G121" s="383"/>
      <c r="H121" s="384"/>
      <c r="I121" s="383"/>
      <c r="J121" s="321"/>
      <c r="K121" s="303"/>
      <c r="L121" s="304"/>
      <c r="M121" s="295"/>
      <c r="N121" s="304"/>
      <c r="O121" s="303"/>
      <c r="P121" s="304"/>
      <c r="Q121" s="303"/>
      <c r="R121" s="304"/>
      <c r="S121" s="383"/>
      <c r="T121" s="384"/>
      <c r="U121" s="383"/>
      <c r="V121" s="384"/>
      <c r="W121" s="321"/>
      <c r="X121" s="321"/>
      <c r="Y121" s="303"/>
      <c r="Z121" s="304"/>
      <c r="AA121" s="335">
        <f>AA123-AA122</f>
        <v>1040</v>
      </c>
    </row>
    <row r="122" spans="2:27" x14ac:dyDescent="0.25">
      <c r="B122" s="263" t="s">
        <v>682</v>
      </c>
      <c r="C122" s="260"/>
      <c r="D122" s="236"/>
      <c r="E122" s="305"/>
      <c r="F122" s="326"/>
      <c r="G122" s="385"/>
      <c r="H122" s="380"/>
      <c r="I122" s="385"/>
      <c r="J122" s="322"/>
      <c r="K122" s="305"/>
      <c r="L122" s="306"/>
      <c r="M122" s="296"/>
      <c r="N122" s="306"/>
      <c r="O122" s="305"/>
      <c r="P122" s="306"/>
      <c r="Q122" s="305"/>
      <c r="R122" s="306"/>
      <c r="S122" s="385"/>
      <c r="T122" s="380"/>
      <c r="U122" s="385"/>
      <c r="V122" s="380"/>
      <c r="W122" s="322"/>
      <c r="X122" s="322"/>
      <c r="Y122" s="305"/>
      <c r="Z122" s="306"/>
      <c r="AA122" s="340">
        <f>E122-F122</f>
        <v>0</v>
      </c>
    </row>
    <row r="123" spans="2:27" ht="15.75" thickBot="1" x14ac:dyDescent="0.3">
      <c r="B123" s="233"/>
      <c r="C123" s="260"/>
      <c r="D123" s="236"/>
      <c r="E123" s="303"/>
      <c r="F123" s="285"/>
      <c r="G123" s="383"/>
      <c r="H123" s="384"/>
      <c r="I123" s="383"/>
      <c r="J123" s="321"/>
      <c r="K123" s="303"/>
      <c r="L123" s="304"/>
      <c r="M123" s="295"/>
      <c r="N123" s="304"/>
      <c r="O123" s="303"/>
      <c r="P123" s="304"/>
      <c r="Q123" s="303"/>
      <c r="R123" s="304"/>
      <c r="S123" s="383"/>
      <c r="T123" s="384"/>
      <c r="U123" s="383"/>
      <c r="V123" s="384"/>
      <c r="W123" s="321"/>
      <c r="X123" s="321"/>
      <c r="Y123" s="303"/>
      <c r="Z123" s="304"/>
      <c r="AA123" s="314">
        <f>AA114</f>
        <v>1040</v>
      </c>
    </row>
    <row r="124" spans="2:27" x14ac:dyDescent="0.25">
      <c r="B124" s="233"/>
      <c r="C124" s="260"/>
      <c r="D124" s="236"/>
      <c r="E124" s="303"/>
      <c r="F124" s="285"/>
      <c r="G124" s="383"/>
      <c r="H124" s="384"/>
      <c r="I124" s="383"/>
      <c r="J124" s="321"/>
      <c r="K124" s="303"/>
      <c r="L124" s="304"/>
      <c r="M124" s="295"/>
      <c r="N124" s="304"/>
      <c r="O124" s="303"/>
      <c r="P124" s="304"/>
      <c r="Q124" s="303"/>
      <c r="R124" s="304"/>
      <c r="S124" s="383"/>
      <c r="T124" s="384"/>
      <c r="U124" s="383"/>
      <c r="V124" s="384"/>
      <c r="W124" s="321"/>
      <c r="X124" s="321"/>
      <c r="Y124" s="303"/>
      <c r="Z124" s="304"/>
      <c r="AA124" s="341"/>
    </row>
    <row r="125" spans="2:27" ht="15.75" x14ac:dyDescent="0.25">
      <c r="B125" s="233" t="s">
        <v>741</v>
      </c>
      <c r="C125" s="260" t="s">
        <v>742</v>
      </c>
      <c r="D125" s="236"/>
      <c r="E125" s="303"/>
      <c r="F125" s="285"/>
      <c r="G125" s="383"/>
      <c r="H125" s="384"/>
      <c r="I125" s="383"/>
      <c r="J125" s="321"/>
      <c r="K125" s="303"/>
      <c r="L125" s="304"/>
      <c r="M125" s="295"/>
      <c r="N125" s="304"/>
      <c r="O125" s="303"/>
      <c r="P125" s="304"/>
      <c r="Q125" s="303"/>
      <c r="R125" s="304"/>
      <c r="S125" s="383"/>
      <c r="T125" s="384"/>
      <c r="U125" s="383"/>
      <c r="V125" s="384"/>
      <c r="W125" s="321"/>
      <c r="X125" s="321"/>
      <c r="Y125" s="303"/>
      <c r="Z125" s="304"/>
      <c r="AA125" s="294" t="s">
        <v>743</v>
      </c>
    </row>
    <row r="126" spans="2:27" x14ac:dyDescent="0.25">
      <c r="B126" s="263" t="s">
        <v>744</v>
      </c>
      <c r="C126" s="260"/>
      <c r="D126" s="236"/>
      <c r="E126" s="303"/>
      <c r="F126" s="285"/>
      <c r="G126" s="383"/>
      <c r="H126" s="384"/>
      <c r="I126" s="383"/>
      <c r="J126" s="321"/>
      <c r="K126" s="303"/>
      <c r="L126" s="304"/>
      <c r="M126" s="295"/>
      <c r="N126" s="304"/>
      <c r="O126" s="303"/>
      <c r="P126" s="304"/>
      <c r="Q126" s="303"/>
      <c r="R126" s="304"/>
      <c r="S126" s="383"/>
      <c r="T126" s="384"/>
      <c r="U126" s="383"/>
      <c r="V126" s="384"/>
      <c r="W126" s="321"/>
      <c r="X126" s="321"/>
      <c r="Y126" s="303"/>
      <c r="Z126" s="304"/>
      <c r="AA126" s="342"/>
    </row>
    <row r="127" spans="2:27" x14ac:dyDescent="0.25">
      <c r="B127" s="263" t="s">
        <v>745</v>
      </c>
      <c r="C127" s="235" t="s">
        <v>746</v>
      </c>
      <c r="D127" s="236"/>
      <c r="E127" s="309"/>
      <c r="F127" s="355"/>
      <c r="G127" s="391"/>
      <c r="H127" s="392"/>
      <c r="I127" s="391"/>
      <c r="J127" s="379"/>
      <c r="K127" s="309"/>
      <c r="L127" s="310"/>
      <c r="M127" s="334"/>
      <c r="N127" s="310"/>
      <c r="O127" s="309"/>
      <c r="P127" s="310"/>
      <c r="Q127" s="309"/>
      <c r="R127" s="310"/>
      <c r="S127" s="391"/>
      <c r="T127" s="392"/>
      <c r="U127" s="391"/>
      <c r="V127" s="392"/>
      <c r="W127" s="379"/>
      <c r="X127" s="379"/>
      <c r="Y127" s="309"/>
      <c r="Z127" s="310"/>
      <c r="AA127" s="343"/>
    </row>
  </sheetData>
  <mergeCells count="24">
    <mergeCell ref="C6:C8"/>
    <mergeCell ref="E7:F7"/>
    <mergeCell ref="G7:H7"/>
    <mergeCell ref="I7:J7"/>
    <mergeCell ref="K7:L7"/>
    <mergeCell ref="M64:N64"/>
    <mergeCell ref="O64:P64"/>
    <mergeCell ref="Q64:R64"/>
    <mergeCell ref="M7:N7"/>
    <mergeCell ref="O7:P7"/>
    <mergeCell ref="Q7:R7"/>
    <mergeCell ref="C63:C65"/>
    <mergeCell ref="E64:F64"/>
    <mergeCell ref="G64:H64"/>
    <mergeCell ref="I64:J64"/>
    <mergeCell ref="K64:L64"/>
    <mergeCell ref="S64:T64"/>
    <mergeCell ref="U64:V64"/>
    <mergeCell ref="W64:X64"/>
    <mergeCell ref="Y64:Z64"/>
    <mergeCell ref="Y7:Z7"/>
    <mergeCell ref="S7:T7"/>
    <mergeCell ref="U7:V7"/>
    <mergeCell ref="W7:X7"/>
  </mergeCells>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B0130AAC-7D07-49F0-A6BD-80306D2C0355}">
          <x14:formula1>
            <xm:f>Inputs!$B$45:$B$46</xm:f>
          </x14:formula1>
          <xm:sqref>AJ41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E82F7-7E5D-4A00-9099-0FB11013B058}">
  <dimension ref="B2:P52"/>
  <sheetViews>
    <sheetView workbookViewId="0"/>
  </sheetViews>
  <sheetFormatPr defaultRowHeight="15" x14ac:dyDescent="0.25"/>
  <sheetData>
    <row r="2" spans="2:16" x14ac:dyDescent="0.25">
      <c r="B2" s="1" t="s">
        <v>1365</v>
      </c>
      <c r="P2" s="1" t="s">
        <v>1375</v>
      </c>
    </row>
    <row r="3" spans="2:16" x14ac:dyDescent="0.25">
      <c r="B3" t="s">
        <v>1366</v>
      </c>
    </row>
    <row r="5" spans="2:16" x14ac:dyDescent="0.25">
      <c r="B5" t="s">
        <v>1367</v>
      </c>
    </row>
    <row r="6" spans="2:16" x14ac:dyDescent="0.25">
      <c r="B6" t="s">
        <v>962</v>
      </c>
    </row>
    <row r="7" spans="2:16" x14ac:dyDescent="0.25">
      <c r="B7" t="s">
        <v>960</v>
      </c>
    </row>
    <row r="8" spans="2:16" x14ac:dyDescent="0.25">
      <c r="B8" t="s">
        <v>961</v>
      </c>
    </row>
    <row r="10" spans="2:16" x14ac:dyDescent="0.25">
      <c r="B10" t="s">
        <v>1368</v>
      </c>
    </row>
    <row r="11" spans="2:16" x14ac:dyDescent="0.25">
      <c r="B11" t="s">
        <v>1369</v>
      </c>
    </row>
    <row r="12" spans="2:16" x14ac:dyDescent="0.25">
      <c r="B12" t="s">
        <v>1370</v>
      </c>
    </row>
    <row r="13" spans="2:16" x14ac:dyDescent="0.25">
      <c r="B13" t="s">
        <v>1371</v>
      </c>
    </row>
    <row r="15" spans="2:16" x14ac:dyDescent="0.25">
      <c r="B15" t="s">
        <v>968</v>
      </c>
    </row>
    <row r="16" spans="2:16" x14ac:dyDescent="0.25">
      <c r="B16" t="s">
        <v>1372</v>
      </c>
    </row>
    <row r="18" spans="2:16" x14ac:dyDescent="0.25">
      <c r="B18" t="s">
        <v>971</v>
      </c>
    </row>
    <row r="19" spans="2:16" x14ac:dyDescent="0.25">
      <c r="B19" t="s">
        <v>1373</v>
      </c>
    </row>
    <row r="21" spans="2:16" x14ac:dyDescent="0.25">
      <c r="B21" t="s">
        <v>1374</v>
      </c>
    </row>
    <row r="23" spans="2:16" x14ac:dyDescent="0.25">
      <c r="B23" s="1" t="s">
        <v>1340</v>
      </c>
      <c r="P23" s="422" t="s">
        <v>1895</v>
      </c>
    </row>
    <row r="24" spans="2:16" x14ac:dyDescent="0.25">
      <c r="B24" t="s">
        <v>1357</v>
      </c>
      <c r="P24" s="422" t="s">
        <v>1360</v>
      </c>
    </row>
    <row r="25" spans="2:16" x14ac:dyDescent="0.25">
      <c r="B25" t="s">
        <v>1358</v>
      </c>
      <c r="P25" s="422" t="s">
        <v>1361</v>
      </c>
    </row>
    <row r="26" spans="2:16" x14ac:dyDescent="0.25">
      <c r="P26" s="422" t="s">
        <v>1362</v>
      </c>
    </row>
    <row r="27" spans="2:16" x14ac:dyDescent="0.25">
      <c r="B27" t="s">
        <v>1345</v>
      </c>
    </row>
    <row r="28" spans="2:16" x14ac:dyDescent="0.25">
      <c r="B28" t="s">
        <v>1341</v>
      </c>
    </row>
    <row r="29" spans="2:16" x14ac:dyDescent="0.25">
      <c r="B29" t="s">
        <v>1342</v>
      </c>
    </row>
    <row r="30" spans="2:16" x14ac:dyDescent="0.25">
      <c r="B30" t="s">
        <v>1343</v>
      </c>
    </row>
    <row r="31" spans="2:16" x14ac:dyDescent="0.25">
      <c r="B31" t="s">
        <v>1344</v>
      </c>
    </row>
    <row r="32" spans="2:16" x14ac:dyDescent="0.25">
      <c r="B32" t="s">
        <v>1346</v>
      </c>
    </row>
    <row r="33" spans="2:2" x14ac:dyDescent="0.25">
      <c r="B33" t="s">
        <v>1359</v>
      </c>
    </row>
    <row r="35" spans="2:2" x14ac:dyDescent="0.25">
      <c r="B35" s="1" t="s">
        <v>1350</v>
      </c>
    </row>
    <row r="36" spans="2:2" x14ac:dyDescent="0.25">
      <c r="B36" t="s">
        <v>1355</v>
      </c>
    </row>
    <row r="38" spans="2:2" x14ac:dyDescent="0.25">
      <c r="B38" t="s">
        <v>1363</v>
      </c>
    </row>
    <row r="39" spans="2:2" x14ac:dyDescent="0.25">
      <c r="B39" t="s">
        <v>1364</v>
      </c>
    </row>
    <row r="40" spans="2:2" x14ac:dyDescent="0.25">
      <c r="B40" t="s">
        <v>1356</v>
      </c>
    </row>
    <row r="42" spans="2:2" x14ac:dyDescent="0.25">
      <c r="B42" t="s">
        <v>1354</v>
      </c>
    </row>
    <row r="43" spans="2:2" x14ac:dyDescent="0.25">
      <c r="B43" t="s">
        <v>1341</v>
      </c>
    </row>
    <row r="44" spans="2:2" x14ac:dyDescent="0.25">
      <c r="B44" t="s">
        <v>1342</v>
      </c>
    </row>
    <row r="45" spans="2:2" x14ac:dyDescent="0.25">
      <c r="B45" t="s">
        <v>1351</v>
      </c>
    </row>
    <row r="46" spans="2:2" x14ac:dyDescent="0.25">
      <c r="B46" t="s">
        <v>1353</v>
      </c>
    </row>
    <row r="47" spans="2:2" x14ac:dyDescent="0.25">
      <c r="B47" t="s">
        <v>1352</v>
      </c>
    </row>
    <row r="48" spans="2:2" x14ac:dyDescent="0.25">
      <c r="B48" t="s">
        <v>1359</v>
      </c>
    </row>
    <row r="50" spans="2:2" x14ac:dyDescent="0.25">
      <c r="B50" s="1" t="s">
        <v>1347</v>
      </c>
    </row>
    <row r="51" spans="2:2" x14ac:dyDescent="0.25">
      <c r="B51" t="s">
        <v>1348</v>
      </c>
    </row>
    <row r="52" spans="2:2" x14ac:dyDescent="0.25">
      <c r="B52" t="s">
        <v>1349</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6A4AF8-1B60-44A2-9C24-8A4B4644829B}">
  <dimension ref="A1:C56"/>
  <sheetViews>
    <sheetView zoomScale="80" zoomScaleNormal="80" workbookViewId="0"/>
  </sheetViews>
  <sheetFormatPr defaultRowHeight="15" x14ac:dyDescent="0.25"/>
  <sheetData>
    <row r="1" spans="1:1" x14ac:dyDescent="0.25">
      <c r="A1" s="422" t="s">
        <v>1680</v>
      </c>
    </row>
    <row r="2" spans="1:1" x14ac:dyDescent="0.25">
      <c r="A2" s="422" t="s">
        <v>1681</v>
      </c>
    </row>
    <row r="3" spans="1:1" x14ac:dyDescent="0.25">
      <c r="A3" s="422" t="s">
        <v>1682</v>
      </c>
    </row>
    <row r="4" spans="1:1" x14ac:dyDescent="0.25">
      <c r="A4" s="422" t="s">
        <v>1785</v>
      </c>
    </row>
    <row r="5" spans="1:1" x14ac:dyDescent="0.25">
      <c r="A5" s="422"/>
    </row>
    <row r="6" spans="1:1" x14ac:dyDescent="0.25">
      <c r="A6" s="422" t="s">
        <v>1684</v>
      </c>
    </row>
    <row r="7" spans="1:1" x14ac:dyDescent="0.25">
      <c r="A7" s="422" t="s">
        <v>1683</v>
      </c>
    </row>
    <row r="8" spans="1:1" x14ac:dyDescent="0.25">
      <c r="A8" s="422" t="s">
        <v>1685</v>
      </c>
    </row>
    <row r="9" spans="1:1" x14ac:dyDescent="0.25">
      <c r="A9" s="422"/>
    </row>
    <row r="10" spans="1:1" x14ac:dyDescent="0.25">
      <c r="A10" s="422" t="s">
        <v>1686</v>
      </c>
    </row>
    <row r="11" spans="1:1" x14ac:dyDescent="0.25">
      <c r="A11" s="422" t="s">
        <v>1687</v>
      </c>
    </row>
    <row r="12" spans="1:1" x14ac:dyDescent="0.25">
      <c r="A12" s="422" t="s">
        <v>1688</v>
      </c>
    </row>
    <row r="14" spans="1:1" x14ac:dyDescent="0.25">
      <c r="A14" s="422" t="s">
        <v>1689</v>
      </c>
    </row>
    <row r="15" spans="1:1" x14ac:dyDescent="0.25">
      <c r="A15" s="422" t="s">
        <v>1690</v>
      </c>
    </row>
    <row r="16" spans="1:1" x14ac:dyDescent="0.25">
      <c r="A16" s="422" t="s">
        <v>1691</v>
      </c>
    </row>
    <row r="18" spans="1:3" x14ac:dyDescent="0.25">
      <c r="A18" s="422" t="s">
        <v>1786</v>
      </c>
    </row>
    <row r="20" spans="1:3" x14ac:dyDescent="0.25">
      <c r="A20" s="1" t="s">
        <v>1379</v>
      </c>
    </row>
    <row r="22" spans="1:3" x14ac:dyDescent="0.25">
      <c r="A22" t="s">
        <v>1380</v>
      </c>
    </row>
    <row r="23" spans="1:3" x14ac:dyDescent="0.25">
      <c r="A23" t="s">
        <v>1381</v>
      </c>
    </row>
    <row r="24" spans="1:3" x14ac:dyDescent="0.25">
      <c r="A24" t="s">
        <v>1382</v>
      </c>
    </row>
    <row r="26" spans="1:3" x14ac:dyDescent="0.25">
      <c r="A26" t="s">
        <v>1383</v>
      </c>
      <c r="C26" t="s">
        <v>1384</v>
      </c>
    </row>
    <row r="27" spans="1:3" x14ac:dyDescent="0.25">
      <c r="C27" s="3"/>
    </row>
    <row r="28" spans="1:3" x14ac:dyDescent="0.25">
      <c r="A28" t="s">
        <v>1385</v>
      </c>
    </row>
    <row r="30" spans="1:3" x14ac:dyDescent="0.25">
      <c r="A30" t="s">
        <v>1383</v>
      </c>
      <c r="C30" t="s">
        <v>1386</v>
      </c>
    </row>
    <row r="31" spans="1:3" x14ac:dyDescent="0.25">
      <c r="C31" s="3"/>
    </row>
    <row r="34" spans="1:3" x14ac:dyDescent="0.25">
      <c r="A34" s="1" t="s">
        <v>1387</v>
      </c>
    </row>
    <row r="36" spans="1:3" x14ac:dyDescent="0.25">
      <c r="A36" t="s">
        <v>1388</v>
      </c>
    </row>
    <row r="37" spans="1:3" x14ac:dyDescent="0.25">
      <c r="A37" t="s">
        <v>1389</v>
      </c>
    </row>
    <row r="39" spans="1:3" x14ac:dyDescent="0.25">
      <c r="A39" t="s">
        <v>1390</v>
      </c>
    </row>
    <row r="41" spans="1:3" x14ac:dyDescent="0.25">
      <c r="A41" t="s">
        <v>1392</v>
      </c>
      <c r="C41" t="s">
        <v>1391</v>
      </c>
    </row>
    <row r="42" spans="1:3" x14ac:dyDescent="0.25">
      <c r="C42" s="3"/>
    </row>
    <row r="45" spans="1:3" x14ac:dyDescent="0.25">
      <c r="A45" s="1" t="s">
        <v>72</v>
      </c>
    </row>
    <row r="47" spans="1:3" x14ac:dyDescent="0.25">
      <c r="A47" t="s">
        <v>1787</v>
      </c>
    </row>
    <row r="48" spans="1:3" x14ac:dyDescent="0.25">
      <c r="A48" t="s">
        <v>1788</v>
      </c>
    </row>
    <row r="50" spans="1:1" x14ac:dyDescent="0.25">
      <c r="A50" t="s">
        <v>1791</v>
      </c>
    </row>
    <row r="51" spans="1:1" x14ac:dyDescent="0.25">
      <c r="A51" t="s">
        <v>1790</v>
      </c>
    </row>
    <row r="53" spans="1:1" x14ac:dyDescent="0.25">
      <c r="A53" t="s">
        <v>1789</v>
      </c>
    </row>
    <row r="54" spans="1:1" x14ac:dyDescent="0.25">
      <c r="A54" t="s">
        <v>1792</v>
      </c>
    </row>
    <row r="56" spans="1:1" x14ac:dyDescent="0.25">
      <c r="A56" t="s">
        <v>1793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348A1-7A41-4A11-9DC9-F1A290BEA4B9}">
  <dimension ref="A1"/>
  <sheetViews>
    <sheetView workbookViewId="0"/>
  </sheetViews>
  <sheetFormatPr defaultRowHeight="15" x14ac:dyDescent="0.25"/>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A11E5-1449-4BD4-890C-6E446181725D}">
  <sheetPr codeName="Sheet11"/>
  <dimension ref="B1:P102"/>
  <sheetViews>
    <sheetView topLeftCell="A4" zoomScale="60" zoomScaleNormal="60" workbookViewId="0">
      <selection activeCell="B18" sqref="B18:D21"/>
    </sheetView>
  </sheetViews>
  <sheetFormatPr defaultRowHeight="15" x14ac:dyDescent="0.25"/>
  <cols>
    <col min="2" max="2" width="57.42578125" bestFit="1" customWidth="1"/>
    <col min="3" max="3" width="16" customWidth="1"/>
    <col min="4" max="4" width="21" customWidth="1"/>
    <col min="5" max="5" width="21.42578125" customWidth="1"/>
    <col min="6" max="6" width="50.140625" customWidth="1"/>
    <col min="7" max="7" width="21.42578125" bestFit="1" customWidth="1"/>
    <col min="8" max="8" width="35.140625" bestFit="1" customWidth="1"/>
    <col min="9" max="9" width="22.28515625" customWidth="1"/>
    <col min="10" max="10" width="60.7109375" customWidth="1"/>
    <col min="11" max="11" width="15.140625" bestFit="1" customWidth="1"/>
    <col min="12" max="12" width="15.5703125" customWidth="1"/>
    <col min="13" max="13" width="12.85546875" customWidth="1"/>
    <col min="14" max="14" width="15.85546875" bestFit="1" customWidth="1"/>
  </cols>
  <sheetData>
    <row r="1" spans="2:10" x14ac:dyDescent="0.25">
      <c r="B1" s="814" t="s">
        <v>226</v>
      </c>
      <c r="C1" s="815"/>
      <c r="D1" s="815"/>
      <c r="E1" s="815"/>
      <c r="F1" s="816"/>
    </row>
    <row r="2" spans="2:10" x14ac:dyDescent="0.25">
      <c r="B2" s="817"/>
      <c r="C2" s="818"/>
      <c r="D2" s="818"/>
      <c r="E2" s="818"/>
      <c r="F2" s="819"/>
    </row>
    <row r="3" spans="2:10" x14ac:dyDescent="0.25">
      <c r="B3" s="817"/>
      <c r="C3" s="818"/>
      <c r="D3" s="818"/>
      <c r="E3" s="818"/>
      <c r="F3" s="819"/>
    </row>
    <row r="4" spans="2:10" x14ac:dyDescent="0.25">
      <c r="B4" s="817"/>
      <c r="C4" s="818"/>
      <c r="D4" s="818"/>
      <c r="E4" s="818"/>
      <c r="F4" s="819"/>
    </row>
    <row r="5" spans="2:10" x14ac:dyDescent="0.25">
      <c r="B5" s="817"/>
      <c r="C5" s="818"/>
      <c r="D5" s="818"/>
      <c r="E5" s="818"/>
      <c r="F5" s="819"/>
    </row>
    <row r="6" spans="2:10" x14ac:dyDescent="0.25">
      <c r="B6" s="817"/>
      <c r="C6" s="818"/>
      <c r="D6" s="818"/>
      <c r="E6" s="818"/>
      <c r="F6" s="819"/>
    </row>
    <row r="7" spans="2:10" x14ac:dyDescent="0.25">
      <c r="B7" s="817"/>
      <c r="C7" s="818"/>
      <c r="D7" s="818"/>
      <c r="E7" s="818"/>
      <c r="F7" s="819"/>
    </row>
    <row r="8" spans="2:10" x14ac:dyDescent="0.25">
      <c r="B8" s="817"/>
      <c r="C8" s="818"/>
      <c r="D8" s="818"/>
      <c r="E8" s="818"/>
      <c r="F8" s="819"/>
    </row>
    <row r="9" spans="2:10" x14ac:dyDescent="0.25">
      <c r="B9" s="817"/>
      <c r="C9" s="818"/>
      <c r="D9" s="818"/>
      <c r="E9" s="818"/>
      <c r="F9" s="819"/>
    </row>
    <row r="10" spans="2:10" x14ac:dyDescent="0.25">
      <c r="B10" s="817"/>
      <c r="C10" s="818"/>
      <c r="D10" s="818"/>
      <c r="E10" s="818"/>
      <c r="F10" s="819"/>
    </row>
    <row r="11" spans="2:10" ht="15.75" thickBot="1" x14ac:dyDescent="0.3">
      <c r="B11" s="820"/>
      <c r="C11" s="821"/>
      <c r="D11" s="821"/>
      <c r="E11" s="821"/>
      <c r="F11" s="822"/>
    </row>
    <row r="12" spans="2:10" ht="15.75" thickBot="1" x14ac:dyDescent="0.3"/>
    <row r="13" spans="2:10" x14ac:dyDescent="0.25">
      <c r="B13" s="1"/>
      <c r="F13" s="75" t="s">
        <v>192</v>
      </c>
      <c r="G13" s="64"/>
    </row>
    <row r="14" spans="2:10" x14ac:dyDescent="0.25">
      <c r="B14" s="422" t="s">
        <v>1420</v>
      </c>
      <c r="F14" s="65"/>
      <c r="G14" s="68"/>
    </row>
    <row r="15" spans="2:10" x14ac:dyDescent="0.25">
      <c r="B15" s="823" t="s">
        <v>1423</v>
      </c>
      <c r="C15" s="823"/>
      <c r="D15" s="823"/>
      <c r="F15" s="65" t="s">
        <v>185</v>
      </c>
      <c r="G15" s="126" t="s">
        <v>187</v>
      </c>
      <c r="I15" t="s">
        <v>285</v>
      </c>
      <c r="J15" s="42"/>
    </row>
    <row r="16" spans="2:10" x14ac:dyDescent="0.25">
      <c r="B16" s="823"/>
      <c r="C16" s="823"/>
      <c r="D16" s="823"/>
      <c r="F16" s="65" t="s">
        <v>184</v>
      </c>
      <c r="G16" s="127" t="e">
        <f>IF(G15="years",1/G17,1/(G17/12))</f>
        <v>#DIV/0!</v>
      </c>
      <c r="I16" t="s">
        <v>286</v>
      </c>
      <c r="J16" s="42"/>
    </row>
    <row r="17" spans="2:16" x14ac:dyDescent="0.25">
      <c r="F17" s="65" t="s">
        <v>203</v>
      </c>
      <c r="G17" s="100"/>
      <c r="I17" t="s">
        <v>186</v>
      </c>
      <c r="J17" s="53">
        <f>YEARFRAC(J15,J16)*12</f>
        <v>0</v>
      </c>
    </row>
    <row r="18" spans="2:16" x14ac:dyDescent="0.25">
      <c r="C18" s="40"/>
      <c r="F18" s="65" t="s">
        <v>189</v>
      </c>
      <c r="G18" s="100"/>
      <c r="I18" s="41"/>
    </row>
    <row r="19" spans="2:16" x14ac:dyDescent="0.25">
      <c r="B19" s="824" t="s">
        <v>1933</v>
      </c>
      <c r="C19" s="824"/>
      <c r="D19" s="824"/>
      <c r="F19" s="65" t="s">
        <v>190</v>
      </c>
      <c r="G19" s="181" t="e">
        <f>IF(G15="months",G16/12,G16)</f>
        <v>#DIV/0!</v>
      </c>
      <c r="I19" s="41"/>
    </row>
    <row r="20" spans="2:16" x14ac:dyDescent="0.25">
      <c r="B20" s="824"/>
      <c r="C20" s="824"/>
      <c r="D20" s="824"/>
      <c r="F20" s="65" t="s">
        <v>193</v>
      </c>
      <c r="G20" s="78"/>
      <c r="I20" s="12"/>
    </row>
    <row r="21" spans="2:16" x14ac:dyDescent="0.25">
      <c r="B21" s="824"/>
      <c r="C21" s="824"/>
      <c r="D21" s="824"/>
      <c r="F21" s="65" t="s">
        <v>150</v>
      </c>
      <c r="G21" s="78">
        <v>0</v>
      </c>
    </row>
    <row r="22" spans="2:16" x14ac:dyDescent="0.25">
      <c r="C22" s="12"/>
      <c r="F22" s="65"/>
      <c r="G22" s="68"/>
    </row>
    <row r="23" spans="2:16" x14ac:dyDescent="0.25">
      <c r="C23" s="12"/>
      <c r="F23" s="65" t="s">
        <v>194</v>
      </c>
      <c r="G23" s="71" t="e">
        <f>G20-(G20-G21)*(G19*G18)</f>
        <v>#DIV/0!</v>
      </c>
    </row>
    <row r="24" spans="2:16" x14ac:dyDescent="0.25">
      <c r="F24" s="65" t="s">
        <v>188</v>
      </c>
      <c r="G24" s="71" t="e">
        <f>G20-G23</f>
        <v>#DIV/0!</v>
      </c>
    </row>
    <row r="25" spans="2:16" ht="15.75" thickBot="1" x14ac:dyDescent="0.3">
      <c r="F25" s="72" t="s">
        <v>191</v>
      </c>
      <c r="G25" s="110" t="e">
        <f>(G20-G21)/G17</f>
        <v>#DIV/0!</v>
      </c>
      <c r="H25" s="12"/>
    </row>
    <row r="26" spans="2:16" x14ac:dyDescent="0.25">
      <c r="G26" s="12"/>
    </row>
    <row r="27" spans="2:16" x14ac:dyDescent="0.25">
      <c r="N27" s="12"/>
    </row>
    <row r="28" spans="2:16" x14ac:dyDescent="0.25">
      <c r="B28" s="422" t="s">
        <v>1418</v>
      </c>
    </row>
    <row r="29" spans="2:16" x14ac:dyDescent="0.25">
      <c r="B29" s="422" t="s">
        <v>1338</v>
      </c>
      <c r="F29" s="422"/>
    </row>
    <row r="31" spans="2:16" ht="15.75" thickBot="1" x14ac:dyDescent="0.3">
      <c r="F31" s="422"/>
    </row>
    <row r="32" spans="2:16" ht="15.75" thickBot="1" x14ac:dyDescent="0.3">
      <c r="J32" s="810" t="s">
        <v>222</v>
      </c>
      <c r="K32" s="811"/>
      <c r="L32" s="811"/>
      <c r="M32" s="811"/>
      <c r="N32" s="63"/>
      <c r="O32" s="63"/>
      <c r="P32" s="64"/>
    </row>
    <row r="33" spans="2:16" x14ac:dyDescent="0.25">
      <c r="B33" s="113" t="s">
        <v>195</v>
      </c>
      <c r="C33" s="114"/>
      <c r="D33" s="115"/>
      <c r="F33" s="113" t="s">
        <v>219</v>
      </c>
      <c r="G33" s="114"/>
      <c r="H33" s="115"/>
      <c r="J33" s="812"/>
      <c r="K33" s="813"/>
      <c r="L33" s="813"/>
      <c r="M33" s="813"/>
      <c r="N33" s="66"/>
      <c r="O33" s="66"/>
      <c r="P33" s="68"/>
    </row>
    <row r="34" spans="2:16" x14ac:dyDescent="0.25">
      <c r="B34" s="500" t="s">
        <v>1421</v>
      </c>
      <c r="C34" s="66"/>
      <c r="D34" s="68"/>
      <c r="F34" s="817" t="s">
        <v>1932</v>
      </c>
      <c r="G34" s="818"/>
      <c r="H34" s="819"/>
      <c r="J34" s="812"/>
      <c r="K34" s="813"/>
      <c r="L34" s="813"/>
      <c r="M34" s="813"/>
      <c r="N34" s="85"/>
      <c r="O34" s="66"/>
      <c r="P34" s="68"/>
    </row>
    <row r="35" spans="2:16" x14ac:dyDescent="0.25">
      <c r="B35" s="65" t="s">
        <v>199</v>
      </c>
      <c r="C35" s="96"/>
      <c r="D35" s="68"/>
      <c r="F35" s="817"/>
      <c r="G35" s="818"/>
      <c r="H35" s="819"/>
      <c r="J35" s="65" t="s">
        <v>220</v>
      </c>
      <c r="K35" s="66"/>
      <c r="L35" s="66"/>
      <c r="M35" s="66"/>
      <c r="N35" s="70"/>
      <c r="O35" s="66"/>
      <c r="P35" s="68"/>
    </row>
    <row r="36" spans="2:16" x14ac:dyDescent="0.25">
      <c r="B36" s="65" t="s">
        <v>196</v>
      </c>
      <c r="C36" s="105" t="e">
        <f>-G24</f>
        <v>#DIV/0!</v>
      </c>
      <c r="D36" s="68"/>
      <c r="F36" s="817"/>
      <c r="G36" s="818"/>
      <c r="H36" s="819"/>
      <c r="J36" s="65" t="s">
        <v>1175</v>
      </c>
      <c r="K36" s="66"/>
      <c r="L36" s="66"/>
      <c r="M36" s="66"/>
      <c r="N36" s="70"/>
      <c r="O36" s="66"/>
      <c r="P36" s="68"/>
    </row>
    <row r="37" spans="2:16" x14ac:dyDescent="0.25">
      <c r="B37" s="65" t="s">
        <v>194</v>
      </c>
      <c r="C37" s="106" t="e">
        <f>SUM(C35:C36)</f>
        <v>#DIV/0!</v>
      </c>
      <c r="D37" s="68"/>
      <c r="F37" s="65" t="s">
        <v>217</v>
      </c>
      <c r="G37" s="66"/>
      <c r="H37" s="78"/>
      <c r="J37" s="65" t="s">
        <v>221</v>
      </c>
      <c r="K37" s="66"/>
      <c r="L37" s="66"/>
      <c r="M37" s="66"/>
      <c r="N37" s="85">
        <f>N35-N36</f>
        <v>0</v>
      </c>
      <c r="O37" s="66"/>
      <c r="P37" s="68"/>
    </row>
    <row r="38" spans="2:16" x14ac:dyDescent="0.25">
      <c r="B38" s="65"/>
      <c r="C38" s="66"/>
      <c r="D38" s="68"/>
      <c r="F38" s="65" t="s">
        <v>216</v>
      </c>
      <c r="G38" s="66"/>
      <c r="H38" s="78"/>
      <c r="J38" s="65"/>
      <c r="K38" s="66"/>
      <c r="L38" s="66"/>
      <c r="M38" s="66"/>
      <c r="N38" s="66"/>
      <c r="O38" s="66"/>
      <c r="P38" s="68"/>
    </row>
    <row r="39" spans="2:16" x14ac:dyDescent="0.25">
      <c r="B39" s="65" t="s">
        <v>1422</v>
      </c>
      <c r="C39" s="96"/>
      <c r="D39" s="68"/>
      <c r="F39" s="65"/>
      <c r="G39" s="66"/>
      <c r="H39" s="79">
        <f>H37-H38</f>
        <v>0</v>
      </c>
      <c r="J39" s="65" t="s">
        <v>223</v>
      </c>
      <c r="K39" s="66"/>
      <c r="L39" s="66"/>
      <c r="M39" s="66"/>
      <c r="N39" s="66"/>
      <c r="O39" s="66"/>
      <c r="P39" s="68"/>
    </row>
    <row r="40" spans="2:16" ht="15.75" thickBot="1" x14ac:dyDescent="0.3">
      <c r="B40" s="72" t="s">
        <v>198</v>
      </c>
      <c r="C40" s="33" t="e">
        <f>C39-C37</f>
        <v>#DIV/0!</v>
      </c>
      <c r="D40" s="82"/>
      <c r="F40" s="65"/>
      <c r="G40" s="66"/>
      <c r="H40" s="68"/>
      <c r="J40" s="65"/>
      <c r="K40" s="66"/>
      <c r="L40" s="66"/>
      <c r="M40" s="66"/>
      <c r="N40" s="66"/>
      <c r="O40" s="66"/>
      <c r="P40" s="68"/>
    </row>
    <row r="41" spans="2:16" ht="15.75" thickBot="1" x14ac:dyDescent="0.3">
      <c r="B41" s="66"/>
      <c r="C41" s="17"/>
      <c r="D41" s="66"/>
      <c r="F41" s="65" t="s">
        <v>218</v>
      </c>
      <c r="G41" s="66"/>
      <c r="H41" s="78"/>
      <c r="J41" s="65"/>
      <c r="K41" s="66"/>
      <c r="L41" s="66"/>
      <c r="M41" s="66"/>
      <c r="N41" s="66"/>
      <c r="O41" s="66"/>
      <c r="P41" s="68"/>
    </row>
    <row r="42" spans="2:16" x14ac:dyDescent="0.25">
      <c r="B42" s="113" t="s">
        <v>284</v>
      </c>
      <c r="C42" s="114"/>
      <c r="D42" s="115"/>
      <c r="F42" s="65"/>
      <c r="G42" s="66"/>
      <c r="H42" s="68"/>
      <c r="J42" s="65"/>
      <c r="K42" s="66"/>
      <c r="L42" s="66"/>
      <c r="M42" s="66"/>
      <c r="N42" s="66"/>
      <c r="O42" s="66"/>
      <c r="P42" s="68"/>
    </row>
    <row r="43" spans="2:16" x14ac:dyDescent="0.25">
      <c r="B43" s="636" t="s">
        <v>1419</v>
      </c>
      <c r="C43" s="17"/>
      <c r="D43" s="68"/>
      <c r="F43" s="65"/>
      <c r="G43" s="66"/>
      <c r="H43" s="68"/>
      <c r="J43" s="65"/>
      <c r="K43" s="66"/>
      <c r="L43" s="66"/>
      <c r="M43" s="66"/>
      <c r="N43" s="66"/>
      <c r="O43" s="66"/>
      <c r="P43" s="68"/>
    </row>
    <row r="44" spans="2:16" x14ac:dyDescent="0.25">
      <c r="B44" s="65"/>
      <c r="C44" s="101" t="s">
        <v>173</v>
      </c>
      <c r="D44" s="102" t="s">
        <v>165</v>
      </c>
      <c r="E44" s="13"/>
      <c r="F44" s="65"/>
      <c r="G44" s="66"/>
      <c r="H44" s="68"/>
      <c r="J44" s="65"/>
      <c r="K44" s="101" t="s">
        <v>173</v>
      </c>
      <c r="L44" s="101" t="s">
        <v>165</v>
      </c>
      <c r="M44" s="66"/>
      <c r="N44" s="66"/>
      <c r="O44" s="66"/>
      <c r="P44" s="68"/>
    </row>
    <row r="45" spans="2:16" x14ac:dyDescent="0.25">
      <c r="B45" s="65" t="s">
        <v>200</v>
      </c>
      <c r="C45" s="106" t="e">
        <f>-C36</f>
        <v>#DIV/0!</v>
      </c>
      <c r="D45" s="68"/>
      <c r="F45" s="65"/>
      <c r="G45" s="66"/>
      <c r="H45" s="68"/>
      <c r="J45" s="65" t="s">
        <v>200</v>
      </c>
      <c r="K45" s="103"/>
      <c r="L45" s="66"/>
      <c r="M45" s="66"/>
      <c r="N45" s="66"/>
      <c r="O45" s="66"/>
      <c r="P45" s="68"/>
    </row>
    <row r="46" spans="2:16" x14ac:dyDescent="0.25">
      <c r="B46" s="65" t="str">
        <f>IF(C39&lt;C35,"Cr "&amp;B35,"DR "&amp;B35)</f>
        <v>DR Cost - Buildings</v>
      </c>
      <c r="C46" s="17">
        <f>IF(C35&lt;C39,C39-C35,0)</f>
        <v>0</v>
      </c>
      <c r="D46" s="79">
        <f>IF(C35&gt;C39,C35-C39,0)</f>
        <v>0</v>
      </c>
      <c r="F46" s="65"/>
      <c r="G46" s="101" t="s">
        <v>173</v>
      </c>
      <c r="H46" s="102" t="s">
        <v>165</v>
      </c>
      <c r="J46" s="65" t="s">
        <v>202</v>
      </c>
      <c r="K46" s="103"/>
      <c r="L46" s="66"/>
      <c r="M46" s="66"/>
      <c r="N46" s="66"/>
      <c r="O46" s="66"/>
      <c r="P46" s="68"/>
    </row>
    <row r="47" spans="2:16" x14ac:dyDescent="0.25">
      <c r="B47" s="65" t="s">
        <v>201</v>
      </c>
      <c r="C47" s="66"/>
      <c r="D47" s="71" t="e">
        <f>C40</f>
        <v>#DIV/0!</v>
      </c>
      <c r="E47" s="12"/>
      <c r="F47" s="65" t="s">
        <v>215</v>
      </c>
      <c r="G47" s="111">
        <f>IF(H41&gt;H39,H39,H41)</f>
        <v>0</v>
      </c>
      <c r="H47" s="83"/>
      <c r="J47" s="65" t="s">
        <v>201</v>
      </c>
      <c r="K47" s="66"/>
      <c r="L47" s="17" t="e">
        <f>C40-L48</f>
        <v>#DIV/0!</v>
      </c>
      <c r="M47" s="66"/>
      <c r="N47" s="66"/>
      <c r="O47" s="66"/>
      <c r="P47" s="68"/>
    </row>
    <row r="48" spans="2:16" x14ac:dyDescent="0.25">
      <c r="B48" s="65"/>
      <c r="C48" s="66"/>
      <c r="D48" s="68"/>
      <c r="F48" s="65" t="s">
        <v>291</v>
      </c>
      <c r="G48" s="111">
        <f>IF(H41&gt;H39,H41-H39,0)</f>
        <v>0</v>
      </c>
      <c r="H48" s="83"/>
      <c r="J48" s="65" t="s">
        <v>224</v>
      </c>
      <c r="K48" s="66"/>
      <c r="L48" s="85">
        <f>N37</f>
        <v>0</v>
      </c>
      <c r="M48" s="66"/>
      <c r="N48" s="66"/>
      <c r="O48" s="66"/>
      <c r="P48" s="68"/>
    </row>
    <row r="49" spans="2:16" x14ac:dyDescent="0.25">
      <c r="B49" s="65"/>
      <c r="C49" s="66"/>
      <c r="D49" s="68"/>
      <c r="F49" s="65" t="s">
        <v>281</v>
      </c>
      <c r="G49" s="103"/>
      <c r="H49" s="112"/>
      <c r="J49" s="65"/>
      <c r="K49" s="66"/>
      <c r="L49" s="66"/>
      <c r="M49" s="66"/>
      <c r="N49" s="66"/>
      <c r="O49" s="66"/>
      <c r="P49" s="68"/>
    </row>
    <row r="50" spans="2:16" x14ac:dyDescent="0.25">
      <c r="B50" s="65" t="s">
        <v>204</v>
      </c>
      <c r="C50" s="66"/>
      <c r="D50" s="54" t="e">
        <f>D47/(G17-G18)</f>
        <v>#DIV/0!</v>
      </c>
      <c r="E50" s="12"/>
      <c r="F50" s="65" t="s">
        <v>282</v>
      </c>
      <c r="G50" s="111"/>
      <c r="H50" s="78">
        <f>C35-C39</f>
        <v>0</v>
      </c>
      <c r="J50" s="65"/>
      <c r="K50" s="66"/>
      <c r="L50" s="66"/>
      <c r="M50" s="66"/>
      <c r="N50" s="66"/>
      <c r="O50" s="66"/>
      <c r="P50" s="68"/>
    </row>
    <row r="51" spans="2:16" ht="15.75" thickBot="1" x14ac:dyDescent="0.3">
      <c r="B51" s="72" t="s">
        <v>440</v>
      </c>
      <c r="C51" s="73"/>
      <c r="D51" s="110"/>
      <c r="F51" s="65"/>
      <c r="G51" s="66"/>
      <c r="H51" s="68"/>
      <c r="J51" s="72"/>
      <c r="K51" s="73"/>
      <c r="L51" s="73"/>
      <c r="M51" s="73"/>
      <c r="N51" s="73"/>
      <c r="O51" s="73"/>
      <c r="P51" s="82"/>
    </row>
    <row r="52" spans="2:16" x14ac:dyDescent="0.25">
      <c r="F52" s="65" t="s">
        <v>205</v>
      </c>
      <c r="G52" s="66"/>
      <c r="H52" s="68"/>
    </row>
    <row r="53" spans="2:16" ht="15.75" thickBot="1" x14ac:dyDescent="0.3">
      <c r="B53" t="s">
        <v>937</v>
      </c>
      <c r="F53" s="72"/>
      <c r="G53" s="73"/>
      <c r="H53" s="82"/>
    </row>
    <row r="54" spans="2:16" x14ac:dyDescent="0.25">
      <c r="B54" t="s">
        <v>1545</v>
      </c>
      <c r="D54" s="3"/>
      <c r="F54" s="422"/>
    </row>
    <row r="55" spans="2:16" x14ac:dyDescent="0.25">
      <c r="B55" t="s">
        <v>1546</v>
      </c>
      <c r="D55" s="3"/>
      <c r="E55" s="422" t="s">
        <v>1547</v>
      </c>
    </row>
    <row r="56" spans="2:16" x14ac:dyDescent="0.25">
      <c r="B56" t="s">
        <v>938</v>
      </c>
      <c r="D56">
        <f>D54-D55</f>
        <v>0</v>
      </c>
    </row>
    <row r="57" spans="2:16" x14ac:dyDescent="0.25">
      <c r="B57" s="422"/>
    </row>
    <row r="58" spans="2:16" x14ac:dyDescent="0.25">
      <c r="B58" s="422" t="s">
        <v>1762</v>
      </c>
      <c r="I58" s="422" t="s">
        <v>1764</v>
      </c>
    </row>
    <row r="59" spans="2:16" x14ac:dyDescent="0.25">
      <c r="B59" s="422" t="s">
        <v>1763</v>
      </c>
    </row>
    <row r="60" spans="2:16" x14ac:dyDescent="0.25">
      <c r="B60" s="422" t="s">
        <v>1765</v>
      </c>
    </row>
    <row r="61" spans="2:16" x14ac:dyDescent="0.25">
      <c r="B61" s="422" t="s">
        <v>1863</v>
      </c>
    </row>
    <row r="62" spans="2:16" x14ac:dyDescent="0.25">
      <c r="B62" s="1" t="s">
        <v>207</v>
      </c>
    </row>
    <row r="63" spans="2:16" x14ac:dyDescent="0.25">
      <c r="B63" t="s">
        <v>210</v>
      </c>
      <c r="E63" s="42">
        <v>44834</v>
      </c>
    </row>
    <row r="64" spans="2:16" ht="43.5" customHeight="1" thickBot="1" x14ac:dyDescent="0.3">
      <c r="B64" s="1" t="s">
        <v>208</v>
      </c>
      <c r="C64" s="16" t="s">
        <v>213</v>
      </c>
      <c r="D64" s="38" t="s">
        <v>211</v>
      </c>
      <c r="E64" s="38"/>
      <c r="F64" s="1" t="s">
        <v>212</v>
      </c>
      <c r="G64" s="1" t="s">
        <v>209</v>
      </c>
      <c r="H64" s="6" t="s">
        <v>186</v>
      </c>
      <c r="I64" s="1" t="s">
        <v>206</v>
      </c>
    </row>
    <row r="65" spans="2:11" x14ac:dyDescent="0.25">
      <c r="B65" s="43" t="s">
        <v>1978</v>
      </c>
      <c r="C65" s="95">
        <v>20</v>
      </c>
      <c r="D65" s="44">
        <v>44592</v>
      </c>
      <c r="E65" s="44"/>
      <c r="F65" s="45"/>
      <c r="G65" s="46">
        <v>7.0000000000000007E-2</v>
      </c>
      <c r="H65" s="47">
        <f t="shared" ref="H65:H71" si="0">YEARFRAC(D65,$E$63)*12</f>
        <v>8</v>
      </c>
      <c r="I65" s="98">
        <f>G65*(H65-F65)/12*C65</f>
        <v>0.93333333333333335</v>
      </c>
    </row>
    <row r="66" spans="2:11" x14ac:dyDescent="0.25">
      <c r="B66" s="48" t="s">
        <v>1979</v>
      </c>
      <c r="C66" s="96">
        <v>37</v>
      </c>
      <c r="D66" s="50">
        <v>44592</v>
      </c>
      <c r="E66" s="50"/>
      <c r="F66" s="51"/>
      <c r="G66" s="52">
        <v>7.0000000000000007E-2</v>
      </c>
      <c r="H66" s="53">
        <f t="shared" si="0"/>
        <v>8</v>
      </c>
      <c r="I66" s="54">
        <f>G66*(H66-F66)/12*C66</f>
        <v>1.7266666666666668</v>
      </c>
    </row>
    <row r="67" spans="2:11" x14ac:dyDescent="0.25">
      <c r="B67" s="48" t="s">
        <v>1980</v>
      </c>
      <c r="C67" s="96">
        <v>140</v>
      </c>
      <c r="D67" s="50">
        <v>44592</v>
      </c>
      <c r="E67" s="49"/>
      <c r="F67" s="51"/>
      <c r="G67" s="55">
        <v>7.0000000000000007E-2</v>
      </c>
      <c r="H67" s="53">
        <f t="shared" si="0"/>
        <v>8</v>
      </c>
      <c r="I67" s="54">
        <f t="shared" ref="I67:I71" si="1">G67*(H67-F67)/12*C67</f>
        <v>6.5333333333333332</v>
      </c>
    </row>
    <row r="68" spans="2:11" x14ac:dyDescent="0.25">
      <c r="B68" s="48" t="s">
        <v>1980</v>
      </c>
      <c r="C68" s="96">
        <v>140</v>
      </c>
      <c r="D68" s="50">
        <v>44620</v>
      </c>
      <c r="E68" s="49"/>
      <c r="F68" s="51"/>
      <c r="G68" s="55">
        <v>7.0000000000000007E-2</v>
      </c>
      <c r="H68" s="53">
        <f t="shared" si="0"/>
        <v>7</v>
      </c>
      <c r="I68" s="54">
        <f t="shared" si="1"/>
        <v>5.7166666666666677</v>
      </c>
    </row>
    <row r="69" spans="2:11" x14ac:dyDescent="0.25">
      <c r="B69" s="48" t="s">
        <v>1981</v>
      </c>
      <c r="C69" s="96">
        <v>140</v>
      </c>
      <c r="D69" s="50">
        <v>44651</v>
      </c>
      <c r="E69" s="49"/>
      <c r="F69" s="51"/>
      <c r="G69" s="55">
        <v>7.0000000000000007E-2</v>
      </c>
      <c r="H69" s="53">
        <f t="shared" si="0"/>
        <v>6</v>
      </c>
      <c r="I69" s="54">
        <f t="shared" si="1"/>
        <v>4.9000000000000004</v>
      </c>
    </row>
    <row r="70" spans="2:11" x14ac:dyDescent="0.25">
      <c r="B70" s="48" t="s">
        <v>1982</v>
      </c>
      <c r="C70" s="96">
        <v>7</v>
      </c>
      <c r="D70" s="50">
        <v>44651</v>
      </c>
      <c r="E70" s="49"/>
      <c r="F70" s="51"/>
      <c r="G70" s="55">
        <v>7.0000000000000007E-2</v>
      </c>
      <c r="H70" s="53">
        <f t="shared" si="0"/>
        <v>6</v>
      </c>
      <c r="I70" s="54">
        <f t="shared" si="1"/>
        <v>0.24500000000000002</v>
      </c>
    </row>
    <row r="71" spans="2:11" ht="15.75" thickBot="1" x14ac:dyDescent="0.3">
      <c r="B71" s="56"/>
      <c r="C71" s="57"/>
      <c r="D71" s="97"/>
      <c r="E71" s="57"/>
      <c r="F71" s="58"/>
      <c r="G71" s="59"/>
      <c r="H71" s="60">
        <f t="shared" si="0"/>
        <v>1473</v>
      </c>
      <c r="I71" s="61">
        <f t="shared" si="1"/>
        <v>0</v>
      </c>
    </row>
    <row r="72" spans="2:11" x14ac:dyDescent="0.25">
      <c r="H72" t="s">
        <v>283</v>
      </c>
      <c r="I72" s="11">
        <f>SUM(I65:I71)</f>
        <v>20.055000000000003</v>
      </c>
      <c r="K72" s="1"/>
    </row>
    <row r="73" spans="2:11" x14ac:dyDescent="0.25">
      <c r="C73" s="96">
        <f>SUM(C65:C72)</f>
        <v>484</v>
      </c>
      <c r="H73" t="s">
        <v>214</v>
      </c>
      <c r="I73" s="14">
        <v>500</v>
      </c>
    </row>
    <row r="74" spans="2:11" x14ac:dyDescent="0.25">
      <c r="H74" t="s">
        <v>225</v>
      </c>
      <c r="I74" s="14"/>
    </row>
    <row r="75" spans="2:11" x14ac:dyDescent="0.25">
      <c r="I75" s="11">
        <f>SUM(I73:I74)</f>
        <v>500</v>
      </c>
    </row>
    <row r="76" spans="2:11" x14ac:dyDescent="0.25">
      <c r="H76" t="s">
        <v>206</v>
      </c>
      <c r="I76" s="11">
        <f>IF(I72&lt;I75,I72,I75)</f>
        <v>20.055000000000003</v>
      </c>
    </row>
    <row r="77" spans="2:11" ht="15.75" thickBot="1" x14ac:dyDescent="0.3"/>
    <row r="78" spans="2:11" x14ac:dyDescent="0.25">
      <c r="B78" s="75" t="s">
        <v>288</v>
      </c>
      <c r="C78" s="63"/>
      <c r="D78" s="64"/>
      <c r="H78" s="422" t="str">
        <f>IF(I72&lt;I75,("The potentially allowable borrowing costs are less than actual finance costs incurred, therefore can capitalise £"&amp;I72),"As potentially allowable borrowing costs are more than actual finance costs, the maximum that can be capitalised is £"&amp;"I75")</f>
        <v>The potentially allowable borrowing costs are less than actual finance costs incurred, therefore can capitalise £20.055</v>
      </c>
    </row>
    <row r="79" spans="2:11" x14ac:dyDescent="0.25">
      <c r="B79" s="65" t="s">
        <v>193</v>
      </c>
      <c r="C79" s="121"/>
      <c r="D79" s="68"/>
      <c r="F79" s="11"/>
    </row>
    <row r="80" spans="2:11" x14ac:dyDescent="0.25">
      <c r="B80" s="118" t="s">
        <v>188</v>
      </c>
      <c r="C80" s="103"/>
      <c r="D80" s="68"/>
      <c r="E80" s="32"/>
      <c r="F80" s="175"/>
    </row>
    <row r="81" spans="2:10" x14ac:dyDescent="0.25">
      <c r="B81" s="122" t="s">
        <v>194</v>
      </c>
      <c r="C81" s="106">
        <f>C79-C80</f>
        <v>0</v>
      </c>
      <c r="D81" s="68"/>
      <c r="H81" s="1" t="s">
        <v>538</v>
      </c>
      <c r="I81" s="12">
        <f>I76</f>
        <v>20.055000000000003</v>
      </c>
    </row>
    <row r="82" spans="2:10" x14ac:dyDescent="0.25">
      <c r="B82" s="118"/>
      <c r="C82" s="66"/>
      <c r="D82" s="68"/>
      <c r="H82" s="1" t="s">
        <v>1766</v>
      </c>
      <c r="J82" s="744">
        <f>I76</f>
        <v>20.055000000000003</v>
      </c>
    </row>
    <row r="83" spans="2:10" x14ac:dyDescent="0.25">
      <c r="B83" s="123" t="s">
        <v>154</v>
      </c>
      <c r="C83" s="70"/>
      <c r="D83" s="68"/>
    </row>
    <row r="84" spans="2:10" ht="15.75" thickBot="1" x14ac:dyDescent="0.3">
      <c r="B84" s="72" t="s">
        <v>155</v>
      </c>
      <c r="C84" s="124">
        <f>C83-C81</f>
        <v>0</v>
      </c>
      <c r="D84" s="82"/>
    </row>
    <row r="85" spans="2:10" ht="15.75" thickBot="1" x14ac:dyDescent="0.3"/>
    <row r="86" spans="2:10" x14ac:dyDescent="0.25">
      <c r="B86" s="62"/>
      <c r="C86" s="84" t="s">
        <v>173</v>
      </c>
      <c r="D86" s="120" t="s">
        <v>165</v>
      </c>
    </row>
    <row r="87" spans="2:10" x14ac:dyDescent="0.25">
      <c r="B87" s="118" t="s">
        <v>281</v>
      </c>
      <c r="C87" s="106">
        <f>C80</f>
        <v>0</v>
      </c>
      <c r="D87" s="68"/>
    </row>
    <row r="88" spans="2:10" x14ac:dyDescent="0.25">
      <c r="B88" s="65" t="s">
        <v>289</v>
      </c>
      <c r="C88" s="17">
        <f>C83</f>
        <v>0</v>
      </c>
      <c r="D88" s="68"/>
    </row>
    <row r="89" spans="2:10" x14ac:dyDescent="0.25">
      <c r="B89" s="65" t="s">
        <v>290</v>
      </c>
      <c r="C89" s="66"/>
      <c r="D89" s="119">
        <f>C79</f>
        <v>0</v>
      </c>
    </row>
    <row r="90" spans="2:10" ht="15.75" thickBot="1" x14ac:dyDescent="0.3">
      <c r="B90" s="72" t="str">
        <f>IF(C84&gt;0,"CR SPL - gain on sale","DR SPL  - Loss on sale")</f>
        <v>DR SPL  - Loss on sale</v>
      </c>
      <c r="C90" s="107">
        <f>IF(C84&lt;0,C84,0)</f>
        <v>0</v>
      </c>
      <c r="D90" s="110">
        <f>IF(C84&gt;0,C84,0)</f>
        <v>0</v>
      </c>
    </row>
    <row r="95" spans="2:10" x14ac:dyDescent="0.25">
      <c r="B95" s="1" t="s">
        <v>1424</v>
      </c>
    </row>
    <row r="96" spans="2:10" x14ac:dyDescent="0.25">
      <c r="B96" s="422" t="s">
        <v>1425</v>
      </c>
    </row>
    <row r="98" spans="2:2" x14ac:dyDescent="0.25">
      <c r="B98" s="422" t="s">
        <v>1426</v>
      </c>
    </row>
    <row r="99" spans="2:2" x14ac:dyDescent="0.25">
      <c r="B99" s="422" t="s">
        <v>1427</v>
      </c>
    </row>
    <row r="100" spans="2:2" x14ac:dyDescent="0.25">
      <c r="B100" s="422"/>
    </row>
    <row r="101" spans="2:2" x14ac:dyDescent="0.25">
      <c r="B101" s="422" t="s">
        <v>1428</v>
      </c>
    </row>
    <row r="102" spans="2:2" x14ac:dyDescent="0.25">
      <c r="B102" s="422"/>
    </row>
  </sheetData>
  <mergeCells count="5">
    <mergeCell ref="J32:M34"/>
    <mergeCell ref="B1:F11"/>
    <mergeCell ref="B15:D16"/>
    <mergeCell ref="F34:H36"/>
    <mergeCell ref="B19:D21"/>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51F24227-D74E-4A15-9E0C-94433ECA724E}">
          <x14:formula1>
            <xm:f>Inputs!$B$8:$B$9</xm:f>
          </x14:formula1>
          <xm:sqref>G15</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50015-7601-4E67-BBDA-5EB7BF08E7EB}">
  <sheetPr codeName="Sheet19"/>
  <dimension ref="B1:G57"/>
  <sheetViews>
    <sheetView zoomScaleNormal="100" workbookViewId="0"/>
  </sheetViews>
  <sheetFormatPr defaultRowHeight="15" x14ac:dyDescent="0.25"/>
  <cols>
    <col min="1" max="1" width="4.28515625" customWidth="1"/>
    <col min="2" max="2" width="29.85546875" customWidth="1"/>
    <col min="3" max="4" width="13.7109375" bestFit="1" customWidth="1"/>
    <col min="6" max="6" width="31.85546875" bestFit="1" customWidth="1"/>
  </cols>
  <sheetData>
    <row r="1" spans="2:6" ht="15.75" thickBot="1" x14ac:dyDescent="0.3"/>
    <row r="2" spans="2:6" x14ac:dyDescent="0.25">
      <c r="B2" s="113" t="s">
        <v>539</v>
      </c>
      <c r="C2" s="114"/>
      <c r="D2" s="115"/>
    </row>
    <row r="3" spans="2:6" x14ac:dyDescent="0.25">
      <c r="B3" s="65"/>
      <c r="C3" s="66"/>
      <c r="D3" s="68"/>
    </row>
    <row r="4" spans="2:6" x14ac:dyDescent="0.25">
      <c r="B4" s="65" t="s">
        <v>543</v>
      </c>
      <c r="C4" s="70"/>
      <c r="D4" s="68"/>
    </row>
    <row r="5" spans="2:6" x14ac:dyDescent="0.25">
      <c r="B5" s="65" t="s">
        <v>544</v>
      </c>
      <c r="C5" s="70"/>
      <c r="D5" s="68"/>
    </row>
    <row r="6" spans="2:6" x14ac:dyDescent="0.25">
      <c r="B6" s="65" t="s">
        <v>540</v>
      </c>
      <c r="C6" s="148">
        <f>C4-C5</f>
        <v>0</v>
      </c>
      <c r="D6" s="68"/>
    </row>
    <row r="7" spans="2:6" x14ac:dyDescent="0.25">
      <c r="B7" s="65" t="s">
        <v>541</v>
      </c>
      <c r="C7" s="96"/>
      <c r="D7" s="68"/>
    </row>
    <row r="8" spans="2:6" ht="15.75" thickBot="1" x14ac:dyDescent="0.3">
      <c r="B8" s="153" t="s">
        <v>155</v>
      </c>
      <c r="C8" s="208">
        <f>C7-C6</f>
        <v>0</v>
      </c>
      <c r="D8" s="82"/>
    </row>
    <row r="10" spans="2:6" x14ac:dyDescent="0.25">
      <c r="B10" t="s">
        <v>545</v>
      </c>
      <c r="C10" s="32">
        <f>D12-C11</f>
        <v>0</v>
      </c>
      <c r="F10" s="422" t="s">
        <v>941</v>
      </c>
    </row>
    <row r="11" spans="2:6" x14ac:dyDescent="0.25">
      <c r="B11" t="s">
        <v>546</v>
      </c>
      <c r="C11" s="11">
        <f>C5</f>
        <v>0</v>
      </c>
      <c r="D11" s="32"/>
    </row>
    <row r="12" spans="2:6" x14ac:dyDescent="0.25">
      <c r="B12" t="s">
        <v>547</v>
      </c>
      <c r="D12" s="32">
        <f>C8</f>
        <v>0</v>
      </c>
      <c r="F12" s="422" t="s">
        <v>1537</v>
      </c>
    </row>
    <row r="13" spans="2:6" x14ac:dyDescent="0.25">
      <c r="D13" s="32"/>
    </row>
    <row r="14" spans="2:6" x14ac:dyDescent="0.25">
      <c r="B14" t="s">
        <v>548</v>
      </c>
      <c r="C14" s="32">
        <f>C7</f>
        <v>0</v>
      </c>
      <c r="D14" s="32"/>
    </row>
    <row r="15" spans="2:6" x14ac:dyDescent="0.25">
      <c r="B15" t="s">
        <v>550</v>
      </c>
      <c r="D15" s="32">
        <f>C7</f>
        <v>0</v>
      </c>
    </row>
    <row r="16" spans="2:6" ht="15.75" thickBot="1" x14ac:dyDescent="0.3"/>
    <row r="17" spans="2:7" x14ac:dyDescent="0.25">
      <c r="B17" s="113" t="s">
        <v>542</v>
      </c>
      <c r="C17" s="114"/>
      <c r="D17" s="115"/>
      <c r="F17" s="422" t="s">
        <v>1538</v>
      </c>
    </row>
    <row r="18" spans="2:7" x14ac:dyDescent="0.25">
      <c r="B18" s="65"/>
      <c r="C18" s="66"/>
      <c r="D18" s="68"/>
      <c r="F18" s="422" t="s">
        <v>1539</v>
      </c>
    </row>
    <row r="19" spans="2:7" x14ac:dyDescent="0.25">
      <c r="B19" s="65" t="s">
        <v>287</v>
      </c>
      <c r="C19" s="96">
        <f>C14</f>
        <v>0</v>
      </c>
      <c r="D19" s="68"/>
      <c r="G19" s="15"/>
    </row>
    <row r="20" spans="2:7" x14ac:dyDescent="0.25">
      <c r="B20" s="65"/>
      <c r="C20" s="66"/>
      <c r="D20" s="68"/>
      <c r="G20" s="15"/>
    </row>
    <row r="21" spans="2:7" x14ac:dyDescent="0.25">
      <c r="B21" s="65" t="s">
        <v>197</v>
      </c>
      <c r="C21" s="96"/>
      <c r="D21" s="68"/>
      <c r="G21" s="15"/>
    </row>
    <row r="22" spans="2:7" ht="15.75" thickBot="1" x14ac:dyDescent="0.3">
      <c r="B22" s="72" t="s">
        <v>198</v>
      </c>
      <c r="C22" s="33">
        <f>C21-C19</f>
        <v>0</v>
      </c>
      <c r="D22" s="82"/>
      <c r="G22" s="15"/>
    </row>
    <row r="23" spans="2:7" x14ac:dyDescent="0.25">
      <c r="G23" s="15"/>
    </row>
    <row r="24" spans="2:7" x14ac:dyDescent="0.25">
      <c r="G24" s="15"/>
    </row>
    <row r="25" spans="2:7" x14ac:dyDescent="0.25">
      <c r="B25" t="s">
        <v>167</v>
      </c>
      <c r="G25" s="15"/>
    </row>
    <row r="26" spans="2:7" x14ac:dyDescent="0.25">
      <c r="B26" s="1" t="s">
        <v>195</v>
      </c>
      <c r="G26" s="15"/>
    </row>
    <row r="27" spans="2:7" x14ac:dyDescent="0.25">
      <c r="B27" t="str">
        <f>IF($C$22&gt;0,"DR Investment property","CR Investment Property")</f>
        <v>CR Investment Property</v>
      </c>
      <c r="C27" t="str">
        <f>IF($C$22&gt;0,C22," ")</f>
        <v xml:space="preserve"> </v>
      </c>
      <c r="D27" t="str">
        <f>IF($C$22&lt;0,-C22," ")</f>
        <v xml:space="preserve"> </v>
      </c>
      <c r="G27" s="15"/>
    </row>
    <row r="28" spans="2:7" x14ac:dyDescent="0.25">
      <c r="B28" t="str">
        <f>IF(C22&gt;0,"CR SPL - Gain on revaluation","DR SPL - loss on revaluation")</f>
        <v>DR SPL - loss on revaluation</v>
      </c>
      <c r="C28" t="str">
        <f>IF($C$22&lt;0,-C22," ")</f>
        <v xml:space="preserve"> </v>
      </c>
      <c r="D28" t="str">
        <f>IF($C$22&gt;0,-C22," ")</f>
        <v xml:space="preserve"> </v>
      </c>
      <c r="G28" s="12"/>
    </row>
    <row r="29" spans="2:7" x14ac:dyDescent="0.25">
      <c r="G29" s="12"/>
    </row>
    <row r="31" spans="2:7" x14ac:dyDescent="0.25">
      <c r="B31" s="1" t="s">
        <v>537</v>
      </c>
      <c r="F31" s="422" t="s">
        <v>940</v>
      </c>
    </row>
    <row r="32" spans="2:7" x14ac:dyDescent="0.25">
      <c r="B32" t="s">
        <v>538</v>
      </c>
      <c r="C32" s="12">
        <f>C19+C22</f>
        <v>0</v>
      </c>
      <c r="F32" s="422" t="s">
        <v>942</v>
      </c>
    </row>
    <row r="33" spans="2:4" x14ac:dyDescent="0.25">
      <c r="B33" t="s">
        <v>549</v>
      </c>
      <c r="D33" s="12">
        <f>C19+C22</f>
        <v>0</v>
      </c>
    </row>
    <row r="37" spans="2:4" x14ac:dyDescent="0.25">
      <c r="B37" s="41"/>
    </row>
    <row r="38" spans="2:4" x14ac:dyDescent="0.25">
      <c r="B38" s="41"/>
    </row>
    <row r="39" spans="2:4" x14ac:dyDescent="0.25">
      <c r="B39" s="161"/>
    </row>
    <row r="45" spans="2:4" x14ac:dyDescent="0.25">
      <c r="B45" s="1"/>
    </row>
    <row r="56" spans="3:3" x14ac:dyDescent="0.25">
      <c r="C56" s="12"/>
    </row>
    <row r="57" spans="3:3" x14ac:dyDescent="0.25">
      <c r="C57" s="12"/>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A4B378EE-A94C-4F78-9376-18494687AC75}">
          <x14:formula1>
            <xm:f>Inputs!$B$8:$B$9</xm:f>
          </x14:formula1>
          <xm:sqref>G19:G27</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DAF8FE-328D-48FE-99F7-E422E5DA1144}">
  <sheetPr codeName="Sheet20"/>
  <dimension ref="B1:L78"/>
  <sheetViews>
    <sheetView zoomScale="76" zoomScaleNormal="80" workbookViewId="0"/>
  </sheetViews>
  <sheetFormatPr defaultRowHeight="15" x14ac:dyDescent="0.25"/>
  <cols>
    <col min="2" max="2" width="34.85546875" bestFit="1" customWidth="1"/>
    <col min="3" max="3" width="18.7109375" customWidth="1"/>
    <col min="4" max="4" width="20" customWidth="1"/>
    <col min="6" max="6" width="11.42578125" bestFit="1" customWidth="1"/>
  </cols>
  <sheetData>
    <row r="1" spans="2:10" x14ac:dyDescent="0.25">
      <c r="B1" s="825" t="s">
        <v>418</v>
      </c>
      <c r="C1" s="826"/>
      <c r="D1" t="s">
        <v>305</v>
      </c>
    </row>
    <row r="2" spans="2:10" x14ac:dyDescent="0.25">
      <c r="B2" s="827"/>
      <c r="C2" s="828"/>
    </row>
    <row r="3" spans="2:10" x14ac:dyDescent="0.25">
      <c r="B3" s="827"/>
      <c r="C3" s="828"/>
    </row>
    <row r="4" spans="2:10" x14ac:dyDescent="0.25">
      <c r="B4" s="827"/>
      <c r="C4" s="828"/>
    </row>
    <row r="5" spans="2:10" x14ac:dyDescent="0.25">
      <c r="B5" s="827"/>
      <c r="C5" s="828"/>
    </row>
    <row r="6" spans="2:10" x14ac:dyDescent="0.25">
      <c r="B6" s="827"/>
      <c r="C6" s="828"/>
    </row>
    <row r="7" spans="2:10" ht="15.75" thickBot="1" x14ac:dyDescent="0.3">
      <c r="B7" s="829"/>
      <c r="C7" s="830"/>
    </row>
    <row r="8" spans="2:10" ht="15.75" thickBot="1" x14ac:dyDescent="0.3">
      <c r="J8" s="1" t="s">
        <v>1934</v>
      </c>
    </row>
    <row r="9" spans="2:10" ht="15.75" thickBot="1" x14ac:dyDescent="0.3">
      <c r="B9" s="128" t="s">
        <v>192</v>
      </c>
      <c r="C9" s="129"/>
      <c r="E9" t="s">
        <v>285</v>
      </c>
      <c r="F9" s="42"/>
    </row>
    <row r="10" spans="2:10" x14ac:dyDescent="0.25">
      <c r="B10" s="62"/>
      <c r="C10" s="64"/>
      <c r="E10" t="s">
        <v>286</v>
      </c>
      <c r="F10" s="42"/>
      <c r="H10" s="91"/>
    </row>
    <row r="11" spans="2:10" x14ac:dyDescent="0.25">
      <c r="B11" s="65" t="s">
        <v>185</v>
      </c>
      <c r="C11" s="126" t="s">
        <v>187</v>
      </c>
      <c r="E11" t="s">
        <v>186</v>
      </c>
      <c r="F11" s="53">
        <f>ROUNDDOWN(($F$10-$F$9)/30,0)</f>
        <v>0</v>
      </c>
    </row>
    <row r="12" spans="2:10" x14ac:dyDescent="0.25">
      <c r="B12" s="65" t="s">
        <v>184</v>
      </c>
      <c r="C12" s="127" t="e">
        <f>IF(C11="years",1/C13,1/(C13/12))</f>
        <v>#DIV/0!</v>
      </c>
    </row>
    <row r="13" spans="2:10" x14ac:dyDescent="0.25">
      <c r="B13" s="65" t="s">
        <v>203</v>
      </c>
      <c r="C13" s="100"/>
      <c r="J13" s="422" t="s">
        <v>1541</v>
      </c>
    </row>
    <row r="14" spans="2:10" x14ac:dyDescent="0.25">
      <c r="B14" s="65" t="s">
        <v>189</v>
      </c>
      <c r="C14" s="100"/>
    </row>
    <row r="15" spans="2:10" x14ac:dyDescent="0.25">
      <c r="B15" s="65" t="s">
        <v>190</v>
      </c>
      <c r="C15" s="181" t="e">
        <f>IF(C11="months",C12/12,C12)</f>
        <v>#DIV/0!</v>
      </c>
    </row>
    <row r="16" spans="2:10" x14ac:dyDescent="0.25">
      <c r="B16" s="65" t="s">
        <v>193</v>
      </c>
      <c r="C16" s="78">
        <v>0</v>
      </c>
    </row>
    <row r="17" spans="2:5" x14ac:dyDescent="0.25">
      <c r="B17" s="65" t="s">
        <v>150</v>
      </c>
      <c r="C17" s="78">
        <v>0</v>
      </c>
    </row>
    <row r="18" spans="2:5" x14ac:dyDescent="0.25">
      <c r="B18" s="65"/>
      <c r="C18" s="68"/>
    </row>
    <row r="19" spans="2:5" x14ac:dyDescent="0.25">
      <c r="B19" s="65" t="s">
        <v>194</v>
      </c>
      <c r="C19" s="71" t="e">
        <f>C16-(C16-C17)*(C15*C14)</f>
        <v>#DIV/0!</v>
      </c>
    </row>
    <row r="20" spans="2:5" x14ac:dyDescent="0.25">
      <c r="B20" s="65" t="s">
        <v>188</v>
      </c>
      <c r="C20" s="71" t="e">
        <f>C16-C19</f>
        <v>#DIV/0!</v>
      </c>
    </row>
    <row r="21" spans="2:5" ht="15.75" thickBot="1" x14ac:dyDescent="0.3">
      <c r="B21" s="72" t="s">
        <v>191</v>
      </c>
      <c r="C21" s="110" t="e">
        <f>(C16-C17)/C13</f>
        <v>#DIV/0!</v>
      </c>
    </row>
    <row r="23" spans="2:5" ht="15.75" thickBot="1" x14ac:dyDescent="0.3">
      <c r="B23" s="422" t="s">
        <v>1540</v>
      </c>
    </row>
    <row r="24" spans="2:5" ht="15.75" thickBot="1" x14ac:dyDescent="0.3">
      <c r="B24" s="128" t="s">
        <v>292</v>
      </c>
      <c r="C24" s="132"/>
      <c r="D24" s="129"/>
    </row>
    <row r="25" spans="2:5" x14ac:dyDescent="0.25">
      <c r="B25" s="65"/>
      <c r="C25" s="66"/>
      <c r="D25" s="68"/>
    </row>
    <row r="26" spans="2:5" x14ac:dyDescent="0.25">
      <c r="B26" s="65" t="s">
        <v>199</v>
      </c>
      <c r="C26" s="96"/>
      <c r="D26" s="68"/>
    </row>
    <row r="27" spans="2:5" x14ac:dyDescent="0.25">
      <c r="B27" s="65" t="s">
        <v>196</v>
      </c>
      <c r="C27" s="105" t="e">
        <f>-C20</f>
        <v>#DIV/0!</v>
      </c>
      <c r="D27" s="68"/>
    </row>
    <row r="28" spans="2:5" x14ac:dyDescent="0.25">
      <c r="B28" s="65" t="s">
        <v>194</v>
      </c>
      <c r="C28" s="106" t="e">
        <f>SUM(C26:C27)</f>
        <v>#DIV/0!</v>
      </c>
      <c r="D28" s="68"/>
      <c r="E28" s="422"/>
    </row>
    <row r="29" spans="2:5" x14ac:dyDescent="0.25">
      <c r="B29" s="65"/>
      <c r="C29" s="66"/>
      <c r="D29" s="68"/>
    </row>
    <row r="30" spans="2:5" x14ac:dyDescent="0.25">
      <c r="B30" s="65" t="s">
        <v>293</v>
      </c>
      <c r="C30" s="96"/>
      <c r="D30" s="68"/>
    </row>
    <row r="31" spans="2:5" ht="15.75" thickBot="1" x14ac:dyDescent="0.3">
      <c r="B31" s="72" t="s">
        <v>198</v>
      </c>
      <c r="C31" s="33" t="e">
        <f>C30-C28</f>
        <v>#DIV/0!</v>
      </c>
      <c r="D31" s="82"/>
    </row>
    <row r="32" spans="2:5" x14ac:dyDescent="0.25">
      <c r="B32" s="66"/>
      <c r="C32" s="17"/>
      <c r="D32" s="66"/>
    </row>
    <row r="33" spans="2:12" x14ac:dyDescent="0.25">
      <c r="B33" s="66"/>
      <c r="C33" s="17"/>
      <c r="D33" s="66"/>
    </row>
    <row r="34" spans="2:12" x14ac:dyDescent="0.25">
      <c r="B34" s="66"/>
      <c r="C34" s="17"/>
      <c r="D34" s="66"/>
    </row>
    <row r="35" spans="2:12" ht="15.75" thickBot="1" x14ac:dyDescent="0.3">
      <c r="B35" s="66"/>
      <c r="C35" s="17"/>
      <c r="D35" s="66"/>
    </row>
    <row r="36" spans="2:12" ht="15.75" thickBot="1" x14ac:dyDescent="0.3">
      <c r="B36" s="113" t="s">
        <v>25</v>
      </c>
      <c r="C36" s="114"/>
      <c r="D36" s="115"/>
    </row>
    <row r="37" spans="2:12" x14ac:dyDescent="0.25">
      <c r="B37" s="62"/>
      <c r="C37" s="108" t="s">
        <v>173</v>
      </c>
      <c r="D37" s="109" t="s">
        <v>165</v>
      </c>
    </row>
    <row r="38" spans="2:12" x14ac:dyDescent="0.25">
      <c r="B38" s="65"/>
      <c r="C38" s="101" t="s">
        <v>141</v>
      </c>
      <c r="D38" s="102" t="s">
        <v>141</v>
      </c>
    </row>
    <row r="39" spans="2:12" x14ac:dyDescent="0.25">
      <c r="B39" s="65" t="s">
        <v>294</v>
      </c>
      <c r="C39" s="85" t="e">
        <f>IF(C30&lt;C28,C30,C28)</f>
        <v>#DIV/0!</v>
      </c>
      <c r="D39" s="68"/>
    </row>
    <row r="40" spans="2:12" x14ac:dyDescent="0.25">
      <c r="B40" s="65" t="s">
        <v>281</v>
      </c>
      <c r="C40" s="85" t="e">
        <f>-C27</f>
        <v>#DIV/0!</v>
      </c>
      <c r="D40" s="68"/>
    </row>
    <row r="41" spans="2:12" x14ac:dyDescent="0.25">
      <c r="B41" s="65" t="str">
        <f>"CR "&amp;B26</f>
        <v>CR Cost - Buildings</v>
      </c>
      <c r="C41" s="85"/>
      <c r="D41" s="117">
        <f>C26</f>
        <v>0</v>
      </c>
      <c r="K41" t="s">
        <v>164</v>
      </c>
      <c r="L41" t="s">
        <v>414</v>
      </c>
    </row>
    <row r="42" spans="2:12" x14ac:dyDescent="0.25">
      <c r="B42" s="65" t="s">
        <v>298</v>
      </c>
      <c r="C42" s="85" t="e">
        <f>IF(C31&lt;0,-C31,0)</f>
        <v>#DIV/0!</v>
      </c>
      <c r="D42" s="71"/>
      <c r="K42" t="s">
        <v>165</v>
      </c>
      <c r="L42" t="s">
        <v>413</v>
      </c>
    </row>
    <row r="43" spans="2:12" ht="15.75" thickBot="1" x14ac:dyDescent="0.3">
      <c r="B43" s="72"/>
      <c r="C43" s="73"/>
      <c r="D43" s="110"/>
    </row>
    <row r="44" spans="2:12" x14ac:dyDescent="0.25">
      <c r="B44" s="66"/>
      <c r="C44" s="66"/>
      <c r="D44" s="17"/>
    </row>
    <row r="45" spans="2:12" x14ac:dyDescent="0.25">
      <c r="B45" s="666" t="s">
        <v>1542</v>
      </c>
      <c r="C45" s="66"/>
      <c r="D45" s="17"/>
    </row>
    <row r="46" spans="2:12" ht="15.75" thickBot="1" x14ac:dyDescent="0.3">
      <c r="B46" s="422" t="s">
        <v>1543</v>
      </c>
    </row>
    <row r="47" spans="2:12" ht="15.75" thickBot="1" x14ac:dyDescent="0.3">
      <c r="B47" s="128" t="s">
        <v>295</v>
      </c>
      <c r="C47" s="132"/>
      <c r="D47" s="129"/>
    </row>
    <row r="48" spans="2:12" x14ac:dyDescent="0.25">
      <c r="B48" s="62"/>
      <c r="C48" s="63"/>
      <c r="D48" s="64"/>
    </row>
    <row r="49" spans="2:6" x14ac:dyDescent="0.25">
      <c r="B49" s="65" t="s">
        <v>287</v>
      </c>
      <c r="C49" s="70"/>
      <c r="D49" s="68"/>
    </row>
    <row r="50" spans="2:6" x14ac:dyDescent="0.25">
      <c r="B50" s="65" t="s">
        <v>293</v>
      </c>
      <c r="C50" s="70"/>
      <c r="D50" s="68"/>
    </row>
    <row r="51" spans="2:6" x14ac:dyDescent="0.25">
      <c r="B51" s="65" t="s">
        <v>297</v>
      </c>
      <c r="C51" s="130">
        <f>C50-C49</f>
        <v>0</v>
      </c>
      <c r="D51" s="68"/>
      <c r="E51" s="422" t="s">
        <v>299</v>
      </c>
    </row>
    <row r="52" spans="2:6" x14ac:dyDescent="0.25">
      <c r="B52" s="65" t="s">
        <v>296</v>
      </c>
      <c r="C52" s="70"/>
      <c r="D52" s="68"/>
    </row>
    <row r="53" spans="2:6" x14ac:dyDescent="0.25">
      <c r="B53" s="65" t="s">
        <v>304</v>
      </c>
      <c r="C53" s="133" cm="1">
        <f t="array" ref="C53">_xlfn.IFS($C$51&lt;0,C51,AND($C$51&lt;$C$52,C51&gt;0),C51,AND($C$51&gt;$C$52,C51&gt;0),C52,C51=0,0)</f>
        <v>0</v>
      </c>
      <c r="D53" s="68"/>
      <c r="F53" s="674" t="s">
        <v>1862</v>
      </c>
    </row>
    <row r="54" spans="2:6" x14ac:dyDescent="0.25">
      <c r="B54" s="65"/>
      <c r="C54" s="85"/>
      <c r="D54" s="68"/>
    </row>
    <row r="55" spans="2:6" x14ac:dyDescent="0.25">
      <c r="B55" s="65"/>
      <c r="C55" s="135" t="s">
        <v>173</v>
      </c>
      <c r="D55" s="102" t="s">
        <v>165</v>
      </c>
    </row>
    <row r="56" spans="2:6" x14ac:dyDescent="0.25">
      <c r="B56" s="65"/>
      <c r="C56" s="135" t="s">
        <v>141</v>
      </c>
      <c r="D56" s="102" t="s">
        <v>141</v>
      </c>
    </row>
    <row r="57" spans="2:6" x14ac:dyDescent="0.25">
      <c r="B57" s="65" t="str">
        <f>IF(C53&gt;0,"DR NCA classified as held for sale","CR NCA classified as held for sale")</f>
        <v>CR NCA classified as held for sale</v>
      </c>
      <c r="C57" s="85">
        <f>IF(C53&lt;=0,0,C53)</f>
        <v>0</v>
      </c>
      <c r="D57" s="79">
        <f>IF(C53&lt;0,C53,0)</f>
        <v>0</v>
      </c>
    </row>
    <row r="58" spans="2:6" ht="15.75" thickBot="1" x14ac:dyDescent="0.3">
      <c r="B58" s="72" t="str">
        <f>IF(C53&gt;0,"CR SPL reversal of impairment loss","DR SPL Impairment loss")</f>
        <v>DR SPL Impairment loss</v>
      </c>
      <c r="C58" s="131">
        <f>IF(C53&lt;0,-C53,0)</f>
        <v>0</v>
      </c>
      <c r="D58" s="99">
        <f>IF(C53&lt;=0,0,C53)</f>
        <v>0</v>
      </c>
    </row>
    <row r="59" spans="2:6" x14ac:dyDescent="0.25">
      <c r="B59" s="66"/>
      <c r="C59" s="85"/>
      <c r="D59" s="85"/>
    </row>
    <row r="60" spans="2:6" ht="24.6" customHeight="1" thickBot="1" x14ac:dyDescent="0.3">
      <c r="B60" s="422" t="s">
        <v>1544</v>
      </c>
    </row>
    <row r="61" spans="2:6" ht="15.75" thickBot="1" x14ac:dyDescent="0.3">
      <c r="B61" s="128" t="s">
        <v>288</v>
      </c>
      <c r="C61" s="132"/>
      <c r="D61" s="129"/>
    </row>
    <row r="62" spans="2:6" x14ac:dyDescent="0.25">
      <c r="B62" s="62"/>
      <c r="C62" s="63"/>
      <c r="D62" s="64"/>
    </row>
    <row r="63" spans="2:6" x14ac:dyDescent="0.25">
      <c r="B63" s="65" t="s">
        <v>300</v>
      </c>
      <c r="C63" s="70"/>
      <c r="D63" s="68"/>
    </row>
    <row r="64" spans="2:6" x14ac:dyDescent="0.25">
      <c r="B64" s="65" t="s">
        <v>301</v>
      </c>
      <c r="C64" s="85">
        <f>C49+C53</f>
        <v>0</v>
      </c>
      <c r="D64" s="68"/>
    </row>
    <row r="65" spans="2:4" x14ac:dyDescent="0.25">
      <c r="B65" s="65" t="s">
        <v>302</v>
      </c>
      <c r="C65" s="17">
        <f>C63-C64</f>
        <v>0</v>
      </c>
      <c r="D65" s="68"/>
    </row>
    <row r="66" spans="2:4" x14ac:dyDescent="0.25">
      <c r="B66" s="65"/>
      <c r="C66" s="17"/>
      <c r="D66" s="68"/>
    </row>
    <row r="67" spans="2:4" x14ac:dyDescent="0.25">
      <c r="B67" s="65"/>
      <c r="C67" s="135" t="s">
        <v>173</v>
      </c>
      <c r="D67" s="102" t="s">
        <v>165</v>
      </c>
    </row>
    <row r="68" spans="2:4" x14ac:dyDescent="0.25">
      <c r="B68" s="65"/>
      <c r="C68" s="135" t="s">
        <v>141</v>
      </c>
      <c r="D68" s="102" t="s">
        <v>141</v>
      </c>
    </row>
    <row r="69" spans="2:4" x14ac:dyDescent="0.25">
      <c r="B69" s="65" t="s">
        <v>289</v>
      </c>
      <c r="C69" s="17">
        <f>C63</f>
        <v>0</v>
      </c>
      <c r="D69" s="68"/>
    </row>
    <row r="70" spans="2:4" x14ac:dyDescent="0.25">
      <c r="B70" s="65" t="s">
        <v>303</v>
      </c>
      <c r="C70" s="66"/>
      <c r="D70" s="71">
        <f>C64</f>
        <v>0</v>
      </c>
    </row>
    <row r="71" spans="2:4" ht="15.75" thickBot="1" x14ac:dyDescent="0.3">
      <c r="B71" s="72" t="str">
        <f>IF(C65&gt;0,"CR SPL gain on sale","DR loss on sale")</f>
        <v>DR loss on sale</v>
      </c>
      <c r="C71" s="131">
        <f>IF(B65&lt;0,B65,0)</f>
        <v>0</v>
      </c>
      <c r="D71" s="99">
        <f>IF(C65&gt;0,C65,0)</f>
        <v>0</v>
      </c>
    </row>
    <row r="74" spans="2:4" x14ac:dyDescent="0.25">
      <c r="B74" t="s">
        <v>334</v>
      </c>
    </row>
    <row r="75" spans="2:4" x14ac:dyDescent="0.25">
      <c r="B75" t="s">
        <v>335</v>
      </c>
    </row>
    <row r="77" spans="2:4" x14ac:dyDescent="0.25">
      <c r="B77" t="s">
        <v>333</v>
      </c>
    </row>
    <row r="78" spans="2:4" x14ac:dyDescent="0.25">
      <c r="B78" t="s">
        <v>332</v>
      </c>
    </row>
  </sheetData>
  <mergeCells count="1">
    <mergeCell ref="B1:C7"/>
  </mergeCell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A2D96CE-B9BE-4F7B-A495-590D44AF1ECA}">
          <x14:formula1>
            <xm:f>Inputs!$B$8:$B$9</xm:f>
          </x14:formula1>
          <xm:sqref>C11</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54F2B7-B089-4F83-ADFC-6A1341126F48}">
  <dimension ref="A1:O65"/>
  <sheetViews>
    <sheetView zoomScale="70" zoomScaleNormal="70" workbookViewId="0"/>
  </sheetViews>
  <sheetFormatPr defaultRowHeight="15" x14ac:dyDescent="0.25"/>
  <cols>
    <col min="1" max="1" width="45.85546875" customWidth="1"/>
    <col min="2" max="2" width="17.7109375" customWidth="1"/>
    <col min="3" max="4" width="16.140625" customWidth="1"/>
    <col min="5" max="5" width="12.5703125" customWidth="1"/>
    <col min="6" max="6" width="12.42578125" hidden="1" customWidth="1"/>
    <col min="7" max="7" width="12.85546875" hidden="1" customWidth="1"/>
    <col min="15" max="15" width="20.7109375" customWidth="1"/>
  </cols>
  <sheetData>
    <row r="1" spans="1:15" ht="15.75" x14ac:dyDescent="0.25">
      <c r="A1" s="576"/>
      <c r="B1" s="577"/>
      <c r="C1" s="577"/>
      <c r="D1" s="577"/>
      <c r="E1" s="578"/>
      <c r="F1" s="393"/>
      <c r="G1" s="399"/>
    </row>
    <row r="2" spans="1:15" ht="47.1" customHeight="1" thickBot="1" x14ac:dyDescent="0.3">
      <c r="A2" s="579" t="s">
        <v>13</v>
      </c>
      <c r="B2" s="228"/>
      <c r="C2" s="228"/>
      <c r="D2" s="228"/>
      <c r="E2" s="580"/>
      <c r="F2" s="803">
        <v>1</v>
      </c>
      <c r="G2" s="803"/>
    </row>
    <row r="3" spans="1:15" ht="29.45" customHeight="1" thickBot="1" x14ac:dyDescent="0.3">
      <c r="A3" s="581" t="s">
        <v>717</v>
      </c>
      <c r="B3" s="705" t="s">
        <v>20</v>
      </c>
      <c r="C3" s="705" t="s">
        <v>1182</v>
      </c>
      <c r="D3" s="705" t="s">
        <v>1734</v>
      </c>
      <c r="E3" s="730" t="s">
        <v>1183</v>
      </c>
      <c r="F3" s="294" t="s">
        <v>718</v>
      </c>
      <c r="G3" s="284" t="s">
        <v>719</v>
      </c>
      <c r="K3" s="75" t="s">
        <v>1184</v>
      </c>
      <c r="L3" s="84"/>
      <c r="M3" s="84"/>
      <c r="N3" s="84"/>
      <c r="O3" s="120"/>
    </row>
    <row r="4" spans="1:15" ht="15.75" x14ac:dyDescent="0.25">
      <c r="A4" s="700"/>
      <c r="B4" s="706" t="s">
        <v>10</v>
      </c>
      <c r="C4" s="577" t="s">
        <v>10</v>
      </c>
      <c r="D4" s="707" t="s">
        <v>10</v>
      </c>
      <c r="E4" s="731" t="s">
        <v>10</v>
      </c>
      <c r="F4" s="294" t="s">
        <v>10</v>
      </c>
      <c r="G4" s="284" t="s">
        <v>10</v>
      </c>
      <c r="K4" s="65" t="s">
        <v>1185</v>
      </c>
      <c r="L4" s="66"/>
      <c r="M4" s="66"/>
      <c r="N4" s="66"/>
      <c r="O4" s="78"/>
    </row>
    <row r="5" spans="1:15" ht="24.95" customHeight="1" x14ac:dyDescent="0.25">
      <c r="A5" s="701" t="s">
        <v>58</v>
      </c>
      <c r="B5" s="776"/>
      <c r="C5" s="777"/>
      <c r="D5" s="708">
        <f>B5-C5</f>
        <v>0</v>
      </c>
      <c r="E5" s="732">
        <f>B5-C5</f>
        <v>0</v>
      </c>
      <c r="F5" s="296"/>
      <c r="G5" s="326"/>
      <c r="K5" s="65"/>
      <c r="L5" s="66"/>
      <c r="M5" s="66"/>
      <c r="N5" s="66"/>
      <c r="O5" s="79"/>
    </row>
    <row r="6" spans="1:15" ht="15.75" x14ac:dyDescent="0.25">
      <c r="A6" s="701"/>
      <c r="B6" s="709"/>
      <c r="C6" s="331"/>
      <c r="D6" s="710"/>
      <c r="E6" s="733"/>
      <c r="F6" s="296"/>
      <c r="G6" s="326"/>
      <c r="K6" s="65" t="s">
        <v>1187</v>
      </c>
      <c r="L6" s="66"/>
      <c r="M6" s="66"/>
      <c r="N6" s="66"/>
      <c r="O6" s="78"/>
    </row>
    <row r="7" spans="1:15" ht="15.75" x14ac:dyDescent="0.25">
      <c r="A7" s="701"/>
      <c r="B7" s="709"/>
      <c r="C7" s="331"/>
      <c r="D7" s="710"/>
      <c r="E7" s="733"/>
      <c r="F7" s="296"/>
      <c r="G7" s="326"/>
      <c r="K7" s="65" t="s">
        <v>865</v>
      </c>
      <c r="L7" s="66"/>
      <c r="M7" s="66"/>
      <c r="N7" s="66"/>
      <c r="O7" s="78"/>
    </row>
    <row r="8" spans="1:15" ht="18.95" customHeight="1" x14ac:dyDescent="0.25">
      <c r="A8" s="700" t="s">
        <v>67</v>
      </c>
      <c r="B8" s="778"/>
      <c r="C8" s="779"/>
      <c r="D8" s="711">
        <f>B8-C8</f>
        <v>0</v>
      </c>
      <c r="E8" s="732">
        <f>B8-C8</f>
        <v>0</v>
      </c>
      <c r="F8" s="296"/>
      <c r="G8" s="326"/>
      <c r="K8" s="65" t="s">
        <v>1186</v>
      </c>
      <c r="L8" s="66"/>
      <c r="M8" s="66"/>
      <c r="N8" s="66"/>
      <c r="O8" s="79">
        <f>O6-O7</f>
        <v>0</v>
      </c>
    </row>
    <row r="9" spans="1:15" ht="15.75" x14ac:dyDescent="0.25">
      <c r="A9" s="700"/>
      <c r="B9" s="712"/>
      <c r="C9" s="285"/>
      <c r="D9" s="713"/>
      <c r="E9" s="734"/>
      <c r="F9" s="296"/>
      <c r="G9" s="326"/>
      <c r="K9" s="65"/>
      <c r="L9" s="66"/>
      <c r="M9" s="66"/>
      <c r="N9" s="66"/>
      <c r="O9" s="79"/>
    </row>
    <row r="10" spans="1:15" ht="16.5" thickBot="1" x14ac:dyDescent="0.3">
      <c r="A10" s="700"/>
      <c r="B10" s="709"/>
      <c r="C10" s="331"/>
      <c r="D10" s="710"/>
      <c r="E10" s="733"/>
      <c r="F10" s="296"/>
      <c r="G10" s="326"/>
      <c r="K10" s="72" t="s">
        <v>1188</v>
      </c>
      <c r="L10" s="73"/>
      <c r="M10" s="73"/>
      <c r="N10" s="73"/>
      <c r="O10" s="99">
        <f>O4+O8</f>
        <v>0</v>
      </c>
    </row>
    <row r="11" spans="1:15" ht="15.75" x14ac:dyDescent="0.25">
      <c r="A11" s="700" t="s">
        <v>720</v>
      </c>
      <c r="B11" s="714">
        <f>B5-B8</f>
        <v>0</v>
      </c>
      <c r="C11" s="291">
        <f>C5-C8</f>
        <v>0</v>
      </c>
      <c r="D11" s="715">
        <f>D5-D8</f>
        <v>0</v>
      </c>
      <c r="E11" s="735">
        <f>E5-E8</f>
        <v>0</v>
      </c>
      <c r="F11" s="295"/>
      <c r="G11" s="285"/>
    </row>
    <row r="12" spans="1:15" ht="15.75" x14ac:dyDescent="0.25">
      <c r="A12" s="700" t="s">
        <v>95</v>
      </c>
      <c r="B12" s="778"/>
      <c r="C12" s="779"/>
      <c r="D12" s="711">
        <f>B12-C12</f>
        <v>0</v>
      </c>
      <c r="E12" s="732">
        <f>SUM(B12:C12)</f>
        <v>0</v>
      </c>
      <c r="F12" s="296"/>
      <c r="G12" s="326"/>
    </row>
    <row r="13" spans="1:15" ht="15.75" x14ac:dyDescent="0.25">
      <c r="A13" s="700"/>
      <c r="B13" s="712"/>
      <c r="C13" s="285"/>
      <c r="D13" s="713"/>
      <c r="E13" s="734"/>
      <c r="F13" s="296"/>
      <c r="G13" s="326"/>
    </row>
    <row r="14" spans="1:15" ht="15.75" x14ac:dyDescent="0.25">
      <c r="A14" s="700"/>
      <c r="B14" s="712"/>
      <c r="C14" s="285"/>
      <c r="D14" s="713"/>
      <c r="E14" s="734"/>
      <c r="F14" s="296"/>
      <c r="G14" s="326"/>
      <c r="K14" t="s">
        <v>1735</v>
      </c>
    </row>
    <row r="15" spans="1:15" ht="15.75" x14ac:dyDescent="0.25">
      <c r="A15" s="700" t="s">
        <v>721</v>
      </c>
      <c r="B15" s="780"/>
      <c r="C15" s="781"/>
      <c r="D15" s="717">
        <f>B15-C15</f>
        <v>0</v>
      </c>
      <c r="E15" s="732">
        <f>B15-C15</f>
        <v>0</v>
      </c>
      <c r="F15" s="296"/>
      <c r="G15" s="326"/>
    </row>
    <row r="16" spans="1:15" ht="15.75" x14ac:dyDescent="0.25">
      <c r="A16" s="700"/>
      <c r="B16" s="712"/>
      <c r="C16" s="285"/>
      <c r="D16" s="713"/>
      <c r="E16" s="734"/>
      <c r="F16" s="296"/>
      <c r="G16" s="326"/>
      <c r="K16" s="422" t="s">
        <v>1946</v>
      </c>
    </row>
    <row r="17" spans="1:11" ht="15.75" x14ac:dyDescent="0.25">
      <c r="A17" s="700"/>
      <c r="B17" s="712"/>
      <c r="C17" s="285"/>
      <c r="D17" s="713"/>
      <c r="E17" s="734"/>
      <c r="F17" s="296"/>
      <c r="G17" s="326"/>
      <c r="K17" s="422" t="s">
        <v>1947</v>
      </c>
    </row>
    <row r="18" spans="1:11" ht="15.75" x14ac:dyDescent="0.25">
      <c r="A18" s="700" t="s">
        <v>722</v>
      </c>
      <c r="B18" s="780"/>
      <c r="C18" s="781"/>
      <c r="D18" s="717">
        <f>B18-C18</f>
        <v>0</v>
      </c>
      <c r="E18" s="732">
        <f>B18-C18</f>
        <v>0</v>
      </c>
      <c r="F18" s="296"/>
      <c r="G18" s="326"/>
      <c r="K18" s="422" t="s">
        <v>1948</v>
      </c>
    </row>
    <row r="19" spans="1:11" ht="15.75" x14ac:dyDescent="0.25">
      <c r="A19" s="700"/>
      <c r="B19" s="712"/>
      <c r="C19" s="285"/>
      <c r="D19" s="710"/>
      <c r="E19" s="734"/>
      <c r="F19" s="296"/>
      <c r="G19" s="326"/>
    </row>
    <row r="20" spans="1:11" ht="15.75" x14ac:dyDescent="0.25">
      <c r="A20" s="700" t="str">
        <f>IF(C20&gt;0,"Gain on Disposal","Loss on disposal")</f>
        <v>Loss on disposal</v>
      </c>
      <c r="B20" s="716"/>
      <c r="C20" s="699">
        <f>O8</f>
        <v>0</v>
      </c>
      <c r="D20" s="717"/>
      <c r="E20" s="734"/>
      <c r="F20" s="296"/>
      <c r="G20" s="326"/>
      <c r="K20" s="422" t="s">
        <v>1949</v>
      </c>
    </row>
    <row r="21" spans="1:11" ht="15.75" x14ac:dyDescent="0.25">
      <c r="A21" s="700"/>
      <c r="B21" s="712"/>
      <c r="C21" s="285"/>
      <c r="D21" s="718"/>
      <c r="E21" s="734"/>
      <c r="F21" s="296"/>
      <c r="G21" s="326"/>
      <c r="K21" s="422" t="s">
        <v>1950</v>
      </c>
    </row>
    <row r="22" spans="1:11" ht="15.75" x14ac:dyDescent="0.25">
      <c r="A22" s="700"/>
      <c r="B22" s="712"/>
      <c r="C22" s="285"/>
      <c r="D22" s="713"/>
      <c r="E22" s="734"/>
      <c r="F22" s="296"/>
      <c r="G22" s="326"/>
      <c r="K22" s="422" t="s">
        <v>1935</v>
      </c>
    </row>
    <row r="23" spans="1:11" ht="15.75" x14ac:dyDescent="0.25">
      <c r="A23" s="700" t="s">
        <v>723</v>
      </c>
      <c r="B23" s="776"/>
      <c r="C23" s="777"/>
      <c r="D23" s="708">
        <f>B23-C23</f>
        <v>0</v>
      </c>
      <c r="E23" s="732">
        <f>B23-C23</f>
        <v>0</v>
      </c>
      <c r="F23" s="296"/>
      <c r="G23" s="326"/>
      <c r="K23" s="422" t="s">
        <v>1936</v>
      </c>
    </row>
    <row r="24" spans="1:11" ht="15.75" x14ac:dyDescent="0.25">
      <c r="A24" s="700"/>
      <c r="B24" s="712"/>
      <c r="C24" s="285"/>
      <c r="D24" s="713"/>
      <c r="E24" s="734"/>
      <c r="F24" s="296"/>
      <c r="G24" s="326"/>
      <c r="K24" s="422"/>
    </row>
    <row r="25" spans="1:11" ht="15.75" x14ac:dyDescent="0.25">
      <c r="A25" s="700"/>
      <c r="B25" s="712"/>
      <c r="C25" s="285"/>
      <c r="D25" s="713"/>
      <c r="E25" s="734"/>
      <c r="F25" s="296"/>
      <c r="G25" s="326"/>
      <c r="K25" s="422" t="s">
        <v>1937</v>
      </c>
    </row>
    <row r="26" spans="1:11" ht="15.75" x14ac:dyDescent="0.25">
      <c r="A26" s="700" t="s">
        <v>631</v>
      </c>
      <c r="B26" s="780"/>
      <c r="C26" s="781"/>
      <c r="D26" s="717">
        <f>B26-C26</f>
        <v>0</v>
      </c>
      <c r="E26" s="732">
        <f>B26-C26</f>
        <v>0</v>
      </c>
      <c r="F26" s="296"/>
      <c r="G26" s="326"/>
      <c r="K26" s="422" t="s">
        <v>1938</v>
      </c>
    </row>
    <row r="27" spans="1:11" ht="15.75" x14ac:dyDescent="0.25">
      <c r="A27" s="700"/>
      <c r="B27" s="712"/>
      <c r="C27" s="285"/>
      <c r="D27" s="713"/>
      <c r="E27" s="734"/>
      <c r="F27" s="296"/>
      <c r="G27" s="326"/>
      <c r="K27" s="422" t="s">
        <v>1939</v>
      </c>
    </row>
    <row r="28" spans="1:11" ht="15.75" x14ac:dyDescent="0.25">
      <c r="A28" s="700"/>
      <c r="B28" s="712"/>
      <c r="C28" s="285"/>
      <c r="D28" s="713"/>
      <c r="E28" s="734"/>
      <c r="F28" s="296"/>
      <c r="G28" s="326"/>
      <c r="K28" s="422" t="s">
        <v>1940</v>
      </c>
    </row>
    <row r="29" spans="1:11" ht="15.75" x14ac:dyDescent="0.25">
      <c r="A29" s="700" t="s">
        <v>647</v>
      </c>
      <c r="B29" s="776"/>
      <c r="C29" s="777"/>
      <c r="D29" s="708">
        <f>B29-C29</f>
        <v>0</v>
      </c>
      <c r="E29" s="732">
        <f>B29-C29</f>
        <v>0</v>
      </c>
      <c r="F29" s="296"/>
      <c r="G29" s="326"/>
      <c r="K29" s="422" t="s">
        <v>1941</v>
      </c>
    </row>
    <row r="30" spans="1:11" ht="15.75" x14ac:dyDescent="0.25">
      <c r="A30" s="700"/>
      <c r="B30" s="712"/>
      <c r="C30" s="285"/>
      <c r="D30" s="713"/>
      <c r="E30" s="734"/>
      <c r="F30" s="296"/>
      <c r="G30" s="326"/>
      <c r="K30" s="422"/>
    </row>
    <row r="31" spans="1:11" ht="15.75" x14ac:dyDescent="0.25">
      <c r="A31" s="700"/>
      <c r="B31" s="719"/>
      <c r="C31" s="355"/>
      <c r="D31" s="720"/>
      <c r="E31" s="736"/>
      <c r="F31" s="296"/>
      <c r="G31" s="326"/>
      <c r="K31" s="422" t="s">
        <v>1942</v>
      </c>
    </row>
    <row r="32" spans="1:11" ht="39.950000000000003" customHeight="1" x14ac:dyDescent="0.25">
      <c r="A32" s="701" t="s">
        <v>724</v>
      </c>
      <c r="B32" s="721">
        <f>B11+B12-B15-B18-B23-B26+B29</f>
        <v>0</v>
      </c>
      <c r="C32" s="292">
        <f>C11+C12-C15-C18-C23-C26+C29+C20</f>
        <v>0</v>
      </c>
      <c r="D32" s="722">
        <f>D11+D12-D15-D18-D23-D26+D29+D20</f>
        <v>0</v>
      </c>
      <c r="E32" s="737">
        <f>E11+E12-E15-E18-E23-E26+E29</f>
        <v>0</v>
      </c>
      <c r="F32" s="295"/>
      <c r="G32" s="285"/>
    </row>
    <row r="33" spans="1:11" ht="15.75" x14ac:dyDescent="0.25">
      <c r="A33" s="700" t="s">
        <v>1</v>
      </c>
      <c r="B33" s="774"/>
      <c r="C33" s="775"/>
      <c r="D33" s="723">
        <f>B33-C33</f>
        <v>0</v>
      </c>
      <c r="E33" s="738">
        <f>B33-C33</f>
        <v>0</v>
      </c>
      <c r="F33" s="361"/>
      <c r="G33" s="327"/>
      <c r="K33" s="422" t="s">
        <v>1943</v>
      </c>
    </row>
    <row r="34" spans="1:11" ht="15.75" x14ac:dyDescent="0.25">
      <c r="A34" s="702"/>
      <c r="B34" s="724"/>
      <c r="C34" s="289"/>
      <c r="D34" s="718"/>
      <c r="E34" s="739"/>
      <c r="F34" s="361"/>
      <c r="G34" s="327"/>
      <c r="K34" s="422" t="s">
        <v>1944</v>
      </c>
    </row>
    <row r="35" spans="1:11" ht="15.75" x14ac:dyDescent="0.25">
      <c r="A35" s="702"/>
      <c r="B35" s="712"/>
      <c r="C35" s="285"/>
      <c r="D35" s="713"/>
      <c r="E35" s="734"/>
      <c r="F35" s="361"/>
      <c r="G35" s="327"/>
    </row>
    <row r="36" spans="1:11" ht="61.5" customHeight="1" x14ac:dyDescent="0.25">
      <c r="A36" s="703" t="s">
        <v>727</v>
      </c>
      <c r="B36" s="725">
        <f>B32-B33</f>
        <v>0</v>
      </c>
      <c r="C36" s="357">
        <f>C32-C33</f>
        <v>0</v>
      </c>
      <c r="D36" s="726">
        <f>D32-D33</f>
        <v>0</v>
      </c>
      <c r="E36" s="740">
        <f>E32-E33</f>
        <v>0</v>
      </c>
      <c r="F36" s="362"/>
      <c r="G36" s="328"/>
      <c r="K36" s="631" t="s">
        <v>1945</v>
      </c>
    </row>
    <row r="37" spans="1:11" ht="39" customHeight="1" x14ac:dyDescent="0.25">
      <c r="A37" s="700" t="s">
        <v>728</v>
      </c>
      <c r="B37" s="727"/>
      <c r="C37" s="357"/>
      <c r="D37" s="726"/>
      <c r="E37" s="726">
        <f>-C36</f>
        <v>0</v>
      </c>
      <c r="F37" s="572"/>
      <c r="G37" s="570"/>
      <c r="K37" s="422" t="s">
        <v>1951</v>
      </c>
    </row>
    <row r="38" spans="1:11" ht="45.95" customHeight="1" thickBot="1" x14ac:dyDescent="0.3">
      <c r="A38" s="704" t="s">
        <v>730</v>
      </c>
      <c r="B38" s="728">
        <f>B36-B37</f>
        <v>0</v>
      </c>
      <c r="C38" s="582">
        <f>C36-C37</f>
        <v>0</v>
      </c>
      <c r="D38" s="729">
        <f>D36-D37</f>
        <v>0</v>
      </c>
      <c r="E38" s="729">
        <f>E36-E37</f>
        <v>0</v>
      </c>
      <c r="F38" s="573"/>
      <c r="G38" s="571"/>
      <c r="K38" s="499" t="s">
        <v>1953</v>
      </c>
    </row>
    <row r="39" spans="1:11" x14ac:dyDescent="0.25">
      <c r="A39" s="574"/>
      <c r="B39" s="575"/>
      <c r="C39" s="575"/>
      <c r="D39" s="575"/>
      <c r="E39" s="571"/>
      <c r="F39" s="350"/>
      <c r="G39" s="330"/>
      <c r="K39" s="422" t="s">
        <v>1952</v>
      </c>
    </row>
    <row r="40" spans="1:11" ht="15.75" hidden="1" x14ac:dyDescent="0.25">
      <c r="A40" s="230" t="s">
        <v>3</v>
      </c>
      <c r="B40" s="259"/>
      <c r="C40" s="259"/>
      <c r="D40" s="259"/>
      <c r="E40" s="330"/>
      <c r="F40" s="350"/>
      <c r="G40" s="330"/>
    </row>
    <row r="41" spans="1:11" ht="91.5" hidden="1" customHeight="1" x14ac:dyDescent="0.25">
      <c r="A41" s="230" t="s">
        <v>4</v>
      </c>
      <c r="B41" s="259"/>
      <c r="C41" s="259"/>
      <c r="D41" s="259"/>
      <c r="E41" s="330"/>
      <c r="F41" s="350"/>
      <c r="G41" s="330"/>
    </row>
    <row r="42" spans="1:11" ht="63.95" hidden="1" customHeight="1" x14ac:dyDescent="0.25">
      <c r="A42" s="233" t="s">
        <v>731</v>
      </c>
      <c r="B42" s="245"/>
      <c r="C42" s="245"/>
      <c r="D42" s="245" t="e">
        <f>SUM(#REF!)</f>
        <v>#REF!</v>
      </c>
      <c r="E42" s="293">
        <f>SUM(B42:C42)</f>
        <v>0</v>
      </c>
      <c r="F42" s="348"/>
      <c r="G42" s="329"/>
    </row>
    <row r="43" spans="1:11" ht="76.5" hidden="1" customHeight="1" x14ac:dyDescent="0.25">
      <c r="A43" s="233" t="s">
        <v>733</v>
      </c>
      <c r="B43" s="245"/>
      <c r="C43" s="245"/>
      <c r="D43" s="245" t="e">
        <f>SUM(#REF!)</f>
        <v>#REF!</v>
      </c>
      <c r="E43" s="293">
        <f>SUM(B43:C43)</f>
        <v>0</v>
      </c>
      <c r="F43" s="348"/>
      <c r="G43" s="329"/>
    </row>
    <row r="44" spans="1:11" ht="106.5" hidden="1" customHeight="1" x14ac:dyDescent="0.25">
      <c r="A44" s="233" t="s">
        <v>734</v>
      </c>
      <c r="B44" s="245"/>
      <c r="C44" s="245"/>
      <c r="D44" s="245" t="e">
        <f>SUM(#REF!)</f>
        <v>#REF!</v>
      </c>
      <c r="E44" s="293">
        <f>SUM(B44:C44)</f>
        <v>0</v>
      </c>
      <c r="F44" s="348"/>
      <c r="G44" s="329"/>
    </row>
    <row r="45" spans="1:11" ht="30" hidden="1" x14ac:dyDescent="0.25">
      <c r="A45" s="233" t="s">
        <v>736</v>
      </c>
      <c r="B45" s="256"/>
      <c r="C45" s="256"/>
      <c r="D45" s="256" t="e">
        <f>SUM(#REF!)</f>
        <v>#REF!</v>
      </c>
      <c r="E45" s="473">
        <f>SUM(B45:C45)</f>
        <v>0</v>
      </c>
      <c r="F45" s="348"/>
      <c r="G45" s="329"/>
    </row>
    <row r="46" spans="1:11" hidden="1" x14ac:dyDescent="0.25">
      <c r="A46" s="233"/>
      <c r="B46" s="258">
        <f>B42+B43+B44-B45</f>
        <v>0</v>
      </c>
      <c r="C46" s="258">
        <f>C42+C43+C44-C45</f>
        <v>0</v>
      </c>
      <c r="D46" s="258" t="e">
        <f>D42+D43+D44-D45</f>
        <v>#REF!</v>
      </c>
      <c r="E46" s="474">
        <f>E42+E43+E44-E45</f>
        <v>0</v>
      </c>
      <c r="F46" s="350"/>
      <c r="G46" s="330"/>
    </row>
    <row r="47" spans="1:11" ht="31.5" hidden="1" x14ac:dyDescent="0.25">
      <c r="A47" s="230" t="s">
        <v>30</v>
      </c>
      <c r="B47" s="259"/>
      <c r="C47" s="259"/>
      <c r="D47" s="259"/>
      <c r="E47" s="330"/>
      <c r="F47" s="350"/>
      <c r="G47" s="330"/>
    </row>
    <row r="48" spans="1:11" ht="30" hidden="1" x14ac:dyDescent="0.25">
      <c r="A48" s="233" t="s">
        <v>32</v>
      </c>
      <c r="B48" s="245"/>
      <c r="C48" s="245"/>
      <c r="D48" s="245" t="e">
        <f>SUM(#REF!)</f>
        <v>#REF!</v>
      </c>
      <c r="E48" s="293">
        <f>SUM(B48:C48)</f>
        <v>0</v>
      </c>
      <c r="F48" s="348"/>
      <c r="G48" s="329"/>
    </row>
    <row r="49" spans="1:7" ht="30" hidden="1" x14ac:dyDescent="0.25">
      <c r="A49" s="233" t="s">
        <v>737</v>
      </c>
      <c r="B49" s="256"/>
      <c r="C49" s="256"/>
      <c r="D49" s="256" t="e">
        <f>SUM(#REF!)</f>
        <v>#REF!</v>
      </c>
      <c r="E49" s="358">
        <f>SUM(B49:C49)</f>
        <v>0</v>
      </c>
      <c r="F49" s="348"/>
      <c r="G49" s="329"/>
    </row>
    <row r="50" spans="1:7" hidden="1" x14ac:dyDescent="0.25">
      <c r="A50" s="233"/>
      <c r="B50" s="257">
        <f>B48-B49</f>
        <v>0</v>
      </c>
      <c r="C50" s="257">
        <f>C48-C49</f>
        <v>0</v>
      </c>
      <c r="D50" s="257" t="e">
        <f>D48-D49</f>
        <v>#REF!</v>
      </c>
      <c r="E50" s="358">
        <f>E48-E49</f>
        <v>0</v>
      </c>
      <c r="F50" s="350"/>
      <c r="G50" s="330"/>
    </row>
    <row r="51" spans="1:7" ht="31.5" hidden="1" x14ac:dyDescent="0.25">
      <c r="A51" s="230" t="s">
        <v>8</v>
      </c>
      <c r="B51" s="257">
        <f>SUM(B46,B50)</f>
        <v>0</v>
      </c>
      <c r="C51" s="257">
        <f>SUM(C46,C50)</f>
        <v>0</v>
      </c>
      <c r="D51" s="257" t="e">
        <f>SUM(D46,D50)</f>
        <v>#REF!</v>
      </c>
      <c r="E51" s="358">
        <f>SUM(E46,E50)</f>
        <v>0</v>
      </c>
      <c r="F51" s="350"/>
      <c r="G51" s="330"/>
    </row>
    <row r="52" spans="1:7" ht="32.25" hidden="1" thickBot="1" x14ac:dyDescent="0.3">
      <c r="A52" s="254" t="s">
        <v>9</v>
      </c>
      <c r="B52" s="261">
        <f>B38+B51</f>
        <v>0</v>
      </c>
      <c r="C52" s="261">
        <f>C38+C51</f>
        <v>0</v>
      </c>
      <c r="D52" s="261" t="e">
        <f>D38+D51</f>
        <v>#REF!</v>
      </c>
      <c r="E52" s="360">
        <f>E38+E51</f>
        <v>0</v>
      </c>
      <c r="F52" s="346"/>
      <c r="G52" s="328"/>
    </row>
    <row r="53" spans="1:7" hidden="1" x14ac:dyDescent="0.25">
      <c r="A53" s="233"/>
      <c r="B53" s="240"/>
      <c r="C53" s="240"/>
      <c r="D53" s="240"/>
      <c r="E53" s="289"/>
      <c r="F53" s="303"/>
      <c r="G53" s="285"/>
    </row>
    <row r="54" spans="1:7" hidden="1" x14ac:dyDescent="0.25">
      <c r="A54" s="233" t="s">
        <v>738</v>
      </c>
      <c r="B54" s="236"/>
      <c r="C54" s="236"/>
      <c r="D54" s="236"/>
      <c r="E54" s="285"/>
      <c r="F54" s="303"/>
      <c r="G54" s="285"/>
    </row>
    <row r="55" spans="1:7" hidden="1" x14ac:dyDescent="0.25">
      <c r="A55" s="262" t="s">
        <v>739</v>
      </c>
      <c r="B55" s="236"/>
      <c r="C55" s="236"/>
      <c r="D55" s="236"/>
      <c r="E55" s="285"/>
      <c r="F55" s="352"/>
      <c r="G55" s="331"/>
    </row>
    <row r="56" spans="1:7" hidden="1" x14ac:dyDescent="0.25">
      <c r="A56" s="263" t="s">
        <v>682</v>
      </c>
      <c r="B56" s="236"/>
      <c r="C56" s="236"/>
      <c r="D56" s="236"/>
      <c r="E56" s="285"/>
      <c r="F56" s="305"/>
      <c r="G56" s="326"/>
    </row>
    <row r="57" spans="1:7" hidden="1" x14ac:dyDescent="0.25">
      <c r="A57" s="233"/>
      <c r="B57" s="236"/>
      <c r="C57" s="236"/>
      <c r="D57" s="236"/>
      <c r="E57" s="285"/>
      <c r="F57" s="303"/>
      <c r="G57" s="285"/>
    </row>
    <row r="58" spans="1:7" hidden="1" x14ac:dyDescent="0.25">
      <c r="A58" s="233" t="s">
        <v>740</v>
      </c>
      <c r="B58" s="236"/>
      <c r="C58" s="236"/>
      <c r="D58" s="236"/>
      <c r="E58" s="285"/>
      <c r="F58" s="303"/>
      <c r="G58" s="285"/>
    </row>
    <row r="59" spans="1:7" hidden="1" x14ac:dyDescent="0.25">
      <c r="A59" s="263" t="s">
        <v>739</v>
      </c>
      <c r="B59" s="236"/>
      <c r="C59" s="236"/>
      <c r="D59" s="236"/>
      <c r="E59" s="285"/>
      <c r="F59" s="303"/>
      <c r="G59" s="285"/>
    </row>
    <row r="60" spans="1:7" hidden="1" x14ac:dyDescent="0.25">
      <c r="A60" s="263" t="s">
        <v>682</v>
      </c>
      <c r="B60" s="236"/>
      <c r="C60" s="236"/>
      <c r="D60" s="236"/>
      <c r="E60" s="285"/>
      <c r="F60" s="305"/>
      <c r="G60" s="326"/>
    </row>
    <row r="61" spans="1:7" hidden="1" x14ac:dyDescent="0.25">
      <c r="A61" s="233"/>
      <c r="B61" s="236"/>
      <c r="C61" s="236"/>
      <c r="D61" s="236"/>
      <c r="E61" s="285"/>
      <c r="F61" s="303"/>
      <c r="G61" s="285"/>
    </row>
    <row r="62" spans="1:7" hidden="1" x14ac:dyDescent="0.25">
      <c r="A62" s="233"/>
      <c r="B62" s="236"/>
      <c r="C62" s="236"/>
      <c r="D62" s="236"/>
      <c r="E62" s="285"/>
      <c r="F62" s="303"/>
      <c r="G62" s="285"/>
    </row>
    <row r="63" spans="1:7" hidden="1" x14ac:dyDescent="0.25">
      <c r="A63" s="233" t="s">
        <v>741</v>
      </c>
      <c r="B63" s="236"/>
      <c r="C63" s="236"/>
      <c r="D63" s="236"/>
      <c r="E63" s="285"/>
      <c r="F63" s="303"/>
      <c r="G63" s="285"/>
    </row>
    <row r="64" spans="1:7" hidden="1" x14ac:dyDescent="0.25">
      <c r="A64" s="263" t="s">
        <v>744</v>
      </c>
      <c r="B64" s="236"/>
      <c r="C64" s="236"/>
      <c r="D64" s="236"/>
      <c r="E64" s="285"/>
      <c r="F64" s="303"/>
      <c r="G64" s="285"/>
    </row>
    <row r="65" spans="1:7" hidden="1" x14ac:dyDescent="0.25">
      <c r="A65" s="263" t="s">
        <v>745</v>
      </c>
      <c r="B65" s="236"/>
      <c r="C65" s="236"/>
      <c r="D65" s="236"/>
      <c r="E65" s="285"/>
      <c r="F65" s="309"/>
      <c r="G65" s="355"/>
    </row>
  </sheetData>
  <mergeCells count="1">
    <mergeCell ref="F2:G2"/>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304A51-3534-4104-8516-15FD8BFA819A}">
  <sheetPr codeName="Sheet21"/>
  <dimension ref="B1:O111"/>
  <sheetViews>
    <sheetView zoomScale="70" zoomScaleNormal="70" workbookViewId="0"/>
  </sheetViews>
  <sheetFormatPr defaultRowHeight="15" x14ac:dyDescent="0.25"/>
  <cols>
    <col min="1" max="1" width="4.5703125" customWidth="1"/>
    <col min="2" max="2" width="40.140625" customWidth="1"/>
    <col min="3" max="3" width="13.85546875" customWidth="1"/>
    <col min="4" max="4" width="16.5703125" customWidth="1"/>
    <col min="5" max="5" width="19.85546875" customWidth="1"/>
    <col min="6" max="6" width="11.140625" customWidth="1"/>
    <col min="7" max="7" width="38.140625" customWidth="1"/>
    <col min="8" max="8" width="21.42578125" customWidth="1"/>
    <col min="9" max="9" width="14.5703125" customWidth="1"/>
    <col min="10" max="10" width="17.42578125" customWidth="1"/>
    <col min="11" max="11" width="18.7109375" customWidth="1"/>
    <col min="12" max="12" width="10.140625" customWidth="1"/>
    <col min="13" max="13" width="11.140625" customWidth="1"/>
  </cols>
  <sheetData>
    <row r="1" spans="2:8" x14ac:dyDescent="0.25">
      <c r="B1" s="75" t="s">
        <v>424</v>
      </c>
      <c r="C1" s="63"/>
      <c r="D1" s="63"/>
      <c r="E1" s="63"/>
      <c r="F1" s="64"/>
    </row>
    <row r="2" spans="2:8" x14ac:dyDescent="0.25">
      <c r="B2" s="178" t="s">
        <v>419</v>
      </c>
      <c r="C2" s="49" t="s">
        <v>148</v>
      </c>
      <c r="D2" s="66"/>
      <c r="E2" s="66"/>
      <c r="F2" s="68"/>
      <c r="G2" s="422" t="s">
        <v>1628</v>
      </c>
    </row>
    <row r="3" spans="2:8" ht="51" customHeight="1" x14ac:dyDescent="0.25">
      <c r="B3" s="178" t="s">
        <v>420</v>
      </c>
      <c r="C3" s="49" t="s">
        <v>147</v>
      </c>
      <c r="D3" s="66"/>
      <c r="E3" s="66"/>
      <c r="F3" s="68"/>
      <c r="G3" s="422"/>
    </row>
    <row r="4" spans="2:8" x14ac:dyDescent="0.25">
      <c r="B4" s="178" t="s">
        <v>421</v>
      </c>
      <c r="C4" s="49" t="s">
        <v>147</v>
      </c>
      <c r="D4" s="66"/>
      <c r="E4" s="66"/>
      <c r="F4" s="68"/>
      <c r="G4" s="422" t="s">
        <v>1629</v>
      </c>
    </row>
    <row r="5" spans="2:8" x14ac:dyDescent="0.25">
      <c r="B5" s="178" t="s">
        <v>1731</v>
      </c>
      <c r="C5" s="49" t="s">
        <v>147</v>
      </c>
      <c r="D5" s="66"/>
      <c r="E5" s="66"/>
      <c r="F5" s="68"/>
      <c r="G5" s="422" t="s">
        <v>1732</v>
      </c>
    </row>
    <row r="6" spans="2:8" ht="30" x14ac:dyDescent="0.25">
      <c r="B6" s="178" t="s">
        <v>423</v>
      </c>
      <c r="C6" s="49" t="s">
        <v>147</v>
      </c>
      <c r="D6" s="66"/>
      <c r="E6" s="66"/>
      <c r="F6" s="68"/>
    </row>
    <row r="7" spans="2:8" x14ac:dyDescent="0.25">
      <c r="B7" s="65"/>
      <c r="C7" s="66"/>
      <c r="D7" s="66"/>
      <c r="E7" s="66"/>
      <c r="F7" s="68"/>
    </row>
    <row r="8" spans="2:8" ht="15.75" thickBot="1" x14ac:dyDescent="0.3">
      <c r="B8" s="179" t="s">
        <v>422</v>
      </c>
      <c r="C8" s="180" t="str" cm="1">
        <f t="array" ref="C8">_xlfn.IFS(C2="Yes","Property, plant and equipment",C3="No","No asset exists",OR(C4="Yes",C6="Yes"),"Intangible asset",AND(C6="No",C4="No",C3="Yes",C2="No"),"Intangible asset is part of goodwill")</f>
        <v>Intangible asset</v>
      </c>
      <c r="D8" s="73"/>
      <c r="E8" s="73"/>
      <c r="F8" s="82"/>
    </row>
    <row r="11" spans="2:8" x14ac:dyDescent="0.25">
      <c r="B11" s="1" t="s">
        <v>425</v>
      </c>
    </row>
    <row r="16" spans="2:8" x14ac:dyDescent="0.25">
      <c r="B16" s="1" t="s">
        <v>426</v>
      </c>
      <c r="F16" s="499" t="s">
        <v>1451</v>
      </c>
      <c r="H16" s="422" t="s">
        <v>1969</v>
      </c>
    </row>
    <row r="17" spans="2:15" x14ac:dyDescent="0.25">
      <c r="B17" s="823" t="s">
        <v>1970</v>
      </c>
      <c r="C17" s="823"/>
      <c r="D17" s="823"/>
      <c r="F17" s="499"/>
      <c r="J17" s="422"/>
    </row>
    <row r="18" spans="2:15" x14ac:dyDescent="0.25">
      <c r="B18" s="823"/>
      <c r="C18" s="823"/>
      <c r="D18" s="823"/>
      <c r="F18" s="499"/>
      <c r="J18" s="422"/>
    </row>
    <row r="19" spans="2:15" x14ac:dyDescent="0.25">
      <c r="B19" s="823"/>
      <c r="C19" s="823"/>
      <c r="D19" s="823"/>
      <c r="F19" s="499"/>
      <c r="J19" s="422"/>
    </row>
    <row r="20" spans="2:15" x14ac:dyDescent="0.25">
      <c r="B20" s="823"/>
      <c r="C20" s="823"/>
      <c r="D20" s="823"/>
      <c r="F20" s="499"/>
      <c r="J20" s="422"/>
    </row>
    <row r="21" spans="2:15" x14ac:dyDescent="0.25">
      <c r="B21" s="823"/>
      <c r="C21" s="823"/>
      <c r="D21" s="823"/>
      <c r="F21" s="499"/>
      <c r="J21" s="422"/>
    </row>
    <row r="22" spans="2:15" x14ac:dyDescent="0.25">
      <c r="B22" s="823"/>
      <c r="C22" s="823"/>
      <c r="D22" s="823"/>
      <c r="F22" s="499"/>
      <c r="J22" s="422"/>
    </row>
    <row r="23" spans="2:15" x14ac:dyDescent="0.25">
      <c r="B23" s="823"/>
      <c r="C23" s="823"/>
      <c r="D23" s="823"/>
      <c r="F23" s="499"/>
      <c r="J23" s="422"/>
    </row>
    <row r="24" spans="2:15" x14ac:dyDescent="0.25">
      <c r="B24" s="823"/>
      <c r="C24" s="823"/>
      <c r="D24" s="823"/>
      <c r="F24" s="499"/>
      <c r="J24" s="422"/>
    </row>
    <row r="25" spans="2:15" x14ac:dyDescent="0.25">
      <c r="B25" s="823"/>
      <c r="C25" s="823"/>
      <c r="D25" s="823"/>
      <c r="F25" s="499"/>
      <c r="J25" s="422"/>
    </row>
    <row r="26" spans="2:15" x14ac:dyDescent="0.25">
      <c r="B26" s="823"/>
      <c r="C26" s="823"/>
      <c r="D26" s="823"/>
      <c r="F26" s="499"/>
    </row>
    <row r="27" spans="2:15" ht="61.5" customHeight="1" x14ac:dyDescent="0.25">
      <c r="B27" s="177" t="s">
        <v>427</v>
      </c>
      <c r="C27" s="37" t="s">
        <v>432</v>
      </c>
      <c r="D27" s="194"/>
      <c r="F27" s="422" t="s">
        <v>1449</v>
      </c>
      <c r="J27" s="786"/>
      <c r="K27" s="29"/>
      <c r="L27" s="29"/>
      <c r="M27" s="29"/>
      <c r="N27" s="29"/>
      <c r="O27" s="29"/>
    </row>
    <row r="28" spans="2:15" ht="57.95" customHeight="1" x14ac:dyDescent="0.25">
      <c r="B28" s="177" t="s">
        <v>428</v>
      </c>
      <c r="C28" s="37" t="s">
        <v>432</v>
      </c>
      <c r="D28" s="698"/>
      <c r="J28" s="29"/>
      <c r="K28" s="29"/>
      <c r="L28" s="29"/>
      <c r="M28" s="29"/>
      <c r="N28" s="29"/>
      <c r="O28" s="29"/>
    </row>
    <row r="29" spans="2:15" ht="30" x14ac:dyDescent="0.25">
      <c r="B29" s="177" t="s">
        <v>429</v>
      </c>
      <c r="C29" s="37" t="s">
        <v>432</v>
      </c>
      <c r="D29" s="194"/>
      <c r="E29" s="629" t="s">
        <v>435</v>
      </c>
      <c r="F29" s="422" t="s">
        <v>1450</v>
      </c>
    </row>
    <row r="30" spans="2:15" ht="30" x14ac:dyDescent="0.25">
      <c r="B30" s="177" t="s">
        <v>1729</v>
      </c>
      <c r="C30" s="37" t="s">
        <v>432</v>
      </c>
      <c r="D30" s="3"/>
      <c r="F30" s="422" t="s">
        <v>1668</v>
      </c>
    </row>
    <row r="31" spans="2:15" ht="60" x14ac:dyDescent="0.25">
      <c r="B31" s="177" t="s">
        <v>430</v>
      </c>
      <c r="C31" s="37" t="s">
        <v>432</v>
      </c>
      <c r="D31" s="698"/>
    </row>
    <row r="32" spans="2:15" ht="45" x14ac:dyDescent="0.25">
      <c r="B32" s="177" t="s">
        <v>431</v>
      </c>
      <c r="C32" s="37" t="s">
        <v>432</v>
      </c>
      <c r="D32" s="698"/>
    </row>
    <row r="34" spans="2:10" x14ac:dyDescent="0.25">
      <c r="B34" s="177" t="s">
        <v>434</v>
      </c>
      <c r="C34" t="str">
        <f>IF(AND(C27="MET",C28="MET",C29="MET",C30="MET",C31="MET",C32="MET"),"Expenditure must be capitalised","Expenditure must be recognised as an expense")</f>
        <v>Expenditure must be capitalised</v>
      </c>
    </row>
    <row r="36" spans="2:10" x14ac:dyDescent="0.25">
      <c r="B36" s="630" t="s">
        <v>1971</v>
      </c>
    </row>
    <row r="37" spans="2:10" x14ac:dyDescent="0.25">
      <c r="B37" s="422" t="s">
        <v>1730</v>
      </c>
      <c r="C37" s="16"/>
      <c r="D37" s="1"/>
      <c r="E37" s="1"/>
      <c r="F37" s="1"/>
      <c r="G37" s="16"/>
    </row>
    <row r="38" spans="2:10" x14ac:dyDescent="0.25">
      <c r="B38" s="422" t="s">
        <v>1973</v>
      </c>
      <c r="D38" s="1"/>
      <c r="F38" s="1"/>
    </row>
    <row r="39" spans="2:10" x14ac:dyDescent="0.25">
      <c r="B39" s="1" t="s">
        <v>437</v>
      </c>
      <c r="C39" s="16" t="s">
        <v>141</v>
      </c>
      <c r="D39" s="1"/>
      <c r="E39" s="1" t="s">
        <v>1968</v>
      </c>
      <c r="F39" s="1"/>
      <c r="G39" s="16" t="s">
        <v>141</v>
      </c>
    </row>
    <row r="40" spans="2:10" x14ac:dyDescent="0.25">
      <c r="B40" s="3"/>
      <c r="C40" s="3"/>
      <c r="E40" s="742"/>
      <c r="F40" s="3"/>
      <c r="G40" s="27"/>
      <c r="J40" s="422" t="s">
        <v>436</v>
      </c>
    </row>
    <row r="41" spans="2:10" x14ac:dyDescent="0.25">
      <c r="B41" s="3"/>
      <c r="C41" s="3"/>
      <c r="E41" s="3"/>
      <c r="F41" s="3"/>
      <c r="G41" s="3"/>
      <c r="J41" s="422" t="s">
        <v>1870</v>
      </c>
    </row>
    <row r="42" spans="2:10" x14ac:dyDescent="0.25">
      <c r="B42" s="3"/>
      <c r="C42" s="3"/>
      <c r="E42" s="3"/>
      <c r="F42" s="3"/>
      <c r="G42" s="3"/>
    </row>
    <row r="43" spans="2:10" s="422" customFormat="1" x14ac:dyDescent="0.25"/>
    <row r="44" spans="2:10" x14ac:dyDescent="0.25">
      <c r="B44" t="s">
        <v>1452</v>
      </c>
      <c r="C44">
        <f>SUM(C40:C42)</f>
        <v>0</v>
      </c>
      <c r="G44" s="10">
        <f>SUM(G40:G42)</f>
        <v>0</v>
      </c>
    </row>
    <row r="45" spans="2:10" x14ac:dyDescent="0.25">
      <c r="B45" s="3"/>
      <c r="C45" s="3"/>
    </row>
    <row r="47" spans="2:10" ht="15.75" thickBot="1" x14ac:dyDescent="0.3">
      <c r="B47" s="422" t="s">
        <v>1972</v>
      </c>
    </row>
    <row r="48" spans="2:10" x14ac:dyDescent="0.25">
      <c r="B48" s="75" t="s">
        <v>536</v>
      </c>
      <c r="C48" s="64"/>
    </row>
    <row r="49" spans="2:8" x14ac:dyDescent="0.25">
      <c r="B49" s="65"/>
      <c r="C49" s="68"/>
    </row>
    <row r="50" spans="2:8" x14ac:dyDescent="0.25">
      <c r="B50" s="65" t="s">
        <v>185</v>
      </c>
      <c r="C50" s="126" t="s">
        <v>186</v>
      </c>
    </row>
    <row r="51" spans="2:8" x14ac:dyDescent="0.25">
      <c r="B51" s="65" t="s">
        <v>184</v>
      </c>
      <c r="C51" s="127" t="e">
        <f>IF(C50="years",1/C52,1/(C52/12))</f>
        <v>#DIV/0!</v>
      </c>
      <c r="G51" s="784"/>
      <c r="H51" s="785"/>
    </row>
    <row r="52" spans="2:8" x14ac:dyDescent="0.25">
      <c r="B52" s="65" t="s">
        <v>203</v>
      </c>
      <c r="C52" s="100"/>
      <c r="G52" s="183"/>
      <c r="H52" s="183"/>
    </row>
    <row r="53" spans="2:8" x14ac:dyDescent="0.25">
      <c r="B53" s="65" t="s">
        <v>285</v>
      </c>
      <c r="C53" s="644"/>
      <c r="G53" s="183"/>
      <c r="H53" s="183"/>
    </row>
    <row r="54" spans="2:8" x14ac:dyDescent="0.25">
      <c r="B54" s="65" t="s">
        <v>286</v>
      </c>
      <c r="C54" s="644"/>
      <c r="E54" s="12"/>
      <c r="G54" s="183"/>
      <c r="H54" s="183"/>
    </row>
    <row r="55" spans="2:8" x14ac:dyDescent="0.25">
      <c r="B55" s="65" t="s">
        <v>189</v>
      </c>
      <c r="C55" s="645"/>
      <c r="G55" s="183"/>
      <c r="H55" s="183"/>
    </row>
    <row r="56" spans="2:8" x14ac:dyDescent="0.25">
      <c r="B56" s="65" t="s">
        <v>190</v>
      </c>
      <c r="C56" s="181" t="e">
        <f>IF(C50="months",C51/12,C51)</f>
        <v>#DIV/0!</v>
      </c>
      <c r="E56" s="422" t="s">
        <v>1896</v>
      </c>
      <c r="G56" s="183"/>
      <c r="H56" s="183"/>
    </row>
    <row r="57" spans="2:8" x14ac:dyDescent="0.25">
      <c r="B57" s="65" t="s">
        <v>193</v>
      </c>
      <c r="C57" s="78"/>
    </row>
    <row r="58" spans="2:8" x14ac:dyDescent="0.25">
      <c r="B58" s="65" t="s">
        <v>150</v>
      </c>
      <c r="C58" s="78">
        <v>0</v>
      </c>
      <c r="E58" s="422" t="s">
        <v>902</v>
      </c>
    </row>
    <row r="59" spans="2:8" x14ac:dyDescent="0.25">
      <c r="B59" s="65"/>
      <c r="C59" s="68"/>
    </row>
    <row r="60" spans="2:8" x14ac:dyDescent="0.25">
      <c r="B60" s="65" t="s">
        <v>194</v>
      </c>
      <c r="C60" s="79" t="e">
        <f>C57-(C57-C58)*(C56*C55)</f>
        <v>#DIV/0!</v>
      </c>
    </row>
    <row r="61" spans="2:8" x14ac:dyDescent="0.25">
      <c r="B61" s="65" t="s">
        <v>438</v>
      </c>
      <c r="C61" s="71" t="e">
        <f>C57-C60</f>
        <v>#DIV/0!</v>
      </c>
    </row>
    <row r="62" spans="2:8" ht="15.75" thickBot="1" x14ac:dyDescent="0.3">
      <c r="B62" s="72" t="s">
        <v>439</v>
      </c>
      <c r="C62" s="110" t="e">
        <f>(C57-C58)/C52</f>
        <v>#DIV/0!</v>
      </c>
    </row>
    <row r="65" spans="2:12" ht="15.75" thickBot="1" x14ac:dyDescent="0.3"/>
    <row r="66" spans="2:12" x14ac:dyDescent="0.25">
      <c r="B66" s="113" t="s">
        <v>195</v>
      </c>
      <c r="C66" s="114"/>
      <c r="D66" s="115"/>
      <c r="G66" s="831" t="s">
        <v>222</v>
      </c>
      <c r="H66" s="832"/>
      <c r="I66" s="832"/>
      <c r="J66" s="832"/>
      <c r="K66" s="63"/>
      <c r="L66" s="64"/>
    </row>
    <row r="67" spans="2:12" x14ac:dyDescent="0.25">
      <c r="B67" s="65"/>
      <c r="C67" s="66"/>
      <c r="D67" s="68"/>
      <c r="G67" s="833"/>
      <c r="H67" s="834"/>
      <c r="I67" s="834"/>
      <c r="J67" s="834"/>
      <c r="K67" s="66"/>
      <c r="L67" s="68"/>
    </row>
    <row r="68" spans="2:12" x14ac:dyDescent="0.25">
      <c r="B68" s="65" t="s">
        <v>441</v>
      </c>
      <c r="C68" s="96"/>
      <c r="D68" s="68"/>
      <c r="G68" s="833"/>
      <c r="H68" s="834"/>
      <c r="I68" s="834"/>
      <c r="J68" s="834"/>
      <c r="K68" s="85"/>
      <c r="L68" s="68"/>
    </row>
    <row r="69" spans="2:12" x14ac:dyDescent="0.25">
      <c r="B69" s="65" t="s">
        <v>196</v>
      </c>
      <c r="C69" s="105" t="e">
        <f>C61</f>
        <v>#DIV/0!</v>
      </c>
      <c r="D69" s="68"/>
      <c r="G69" s="65" t="s">
        <v>220</v>
      </c>
      <c r="H69" s="66"/>
      <c r="I69" s="66"/>
      <c r="J69" s="66"/>
      <c r="K69" s="70"/>
      <c r="L69" s="68"/>
    </row>
    <row r="70" spans="2:12" x14ac:dyDescent="0.25">
      <c r="B70" s="65" t="s">
        <v>194</v>
      </c>
      <c r="C70" s="106" t="e">
        <f>C68-C69</f>
        <v>#DIV/0!</v>
      </c>
      <c r="D70" s="68"/>
      <c r="G70" s="65" t="s">
        <v>442</v>
      </c>
      <c r="H70" s="66"/>
      <c r="I70" s="66"/>
      <c r="J70" s="66"/>
      <c r="K70" s="70"/>
      <c r="L70" s="68"/>
    </row>
    <row r="71" spans="2:12" x14ac:dyDescent="0.25">
      <c r="B71" s="65"/>
      <c r="C71" s="66"/>
      <c r="D71" s="68"/>
      <c r="G71" s="65" t="s">
        <v>221</v>
      </c>
      <c r="H71" s="66"/>
      <c r="I71" s="66"/>
      <c r="J71" s="66"/>
      <c r="K71" s="85">
        <f>K69-K70</f>
        <v>0</v>
      </c>
      <c r="L71" s="68"/>
    </row>
    <row r="72" spans="2:12" x14ac:dyDescent="0.25">
      <c r="B72" s="65" t="s">
        <v>197</v>
      </c>
      <c r="C72" s="96"/>
      <c r="D72" s="68"/>
      <c r="G72" s="65"/>
      <c r="H72" s="66"/>
      <c r="I72" s="66"/>
      <c r="J72" s="66"/>
      <c r="K72" s="66"/>
      <c r="L72" s="68"/>
    </row>
    <row r="73" spans="2:12" ht="15.75" thickBot="1" x14ac:dyDescent="0.3">
      <c r="B73" s="72" t="s">
        <v>198</v>
      </c>
      <c r="C73" s="33" t="e">
        <f>C72-C70</f>
        <v>#DIV/0!</v>
      </c>
      <c r="D73" s="82"/>
      <c r="G73" s="65" t="s">
        <v>443</v>
      </c>
      <c r="H73" s="66"/>
      <c r="I73" s="66"/>
      <c r="J73" s="66"/>
      <c r="K73" s="17" t="e">
        <f>C73</f>
        <v>#DIV/0!</v>
      </c>
      <c r="L73" s="68"/>
    </row>
    <row r="74" spans="2:12" x14ac:dyDescent="0.25">
      <c r="B74" s="422" t="s">
        <v>924</v>
      </c>
      <c r="G74" s="65"/>
      <c r="H74" s="66"/>
      <c r="I74" s="66"/>
      <c r="J74" s="66"/>
      <c r="K74" s="66"/>
      <c r="L74" s="68"/>
    </row>
    <row r="75" spans="2:12" x14ac:dyDescent="0.25">
      <c r="B75" s="584" t="s">
        <v>1666</v>
      </c>
      <c r="G75" s="65"/>
      <c r="H75" s="66"/>
      <c r="I75" s="66"/>
      <c r="J75" s="66"/>
      <c r="K75" s="66"/>
      <c r="L75" s="68"/>
    </row>
    <row r="76" spans="2:12" x14ac:dyDescent="0.25">
      <c r="B76" s="584"/>
      <c r="G76" s="65"/>
      <c r="H76" s="66"/>
      <c r="I76" s="66"/>
      <c r="J76" s="66"/>
      <c r="K76" s="66"/>
      <c r="L76" s="68"/>
    </row>
    <row r="77" spans="2:12" ht="15.75" thickBot="1" x14ac:dyDescent="0.3">
      <c r="B77" s="116" t="s">
        <v>284</v>
      </c>
      <c r="C77" s="17"/>
      <c r="D77" s="66"/>
      <c r="G77" s="65"/>
      <c r="H77" s="66"/>
      <c r="I77" s="66"/>
      <c r="J77" s="66"/>
      <c r="K77" s="66"/>
      <c r="L77" s="68"/>
    </row>
    <row r="78" spans="2:12" x14ac:dyDescent="0.25">
      <c r="B78" s="62"/>
      <c r="C78" s="108" t="s">
        <v>173</v>
      </c>
      <c r="D78" s="109" t="s">
        <v>165</v>
      </c>
      <c r="G78" s="65"/>
      <c r="H78" s="101" t="s">
        <v>173</v>
      </c>
      <c r="I78" s="101" t="s">
        <v>165</v>
      </c>
      <c r="J78" s="66"/>
      <c r="K78" s="66"/>
      <c r="L78" s="68"/>
    </row>
    <row r="79" spans="2:12" x14ac:dyDescent="0.25">
      <c r="B79" s="65" t="s">
        <v>200</v>
      </c>
      <c r="C79" s="106" t="e">
        <f>C69</f>
        <v>#DIV/0!</v>
      </c>
      <c r="D79" s="68"/>
      <c r="G79" s="65" t="s">
        <v>200</v>
      </c>
      <c r="H79" s="103" t="e">
        <f>C69</f>
        <v>#DIV/0!</v>
      </c>
      <c r="I79" s="66"/>
      <c r="J79" s="66"/>
      <c r="K79" s="66"/>
      <c r="L79" s="68"/>
    </row>
    <row r="80" spans="2:12" x14ac:dyDescent="0.25">
      <c r="B80" s="65" t="e">
        <f>IF(C72&lt;C70,"Cr "&amp;B68,"DR "&amp;B68)</f>
        <v>#DIV/0!</v>
      </c>
      <c r="C80" s="17" t="e">
        <f>IF(C69&lt;C73,C73-C69,0)</f>
        <v>#DIV/0!</v>
      </c>
      <c r="D80" s="79" t="e">
        <f>IF(C69&gt;C73,C69-C73,0)</f>
        <v>#DIV/0!</v>
      </c>
      <c r="G80" s="65" t="s">
        <v>202</v>
      </c>
      <c r="H80" s="103" t="e">
        <f>C73-C69</f>
        <v>#DIV/0!</v>
      </c>
      <c r="I80" s="66"/>
      <c r="J80" s="66"/>
      <c r="K80" s="66"/>
      <c r="L80" s="68"/>
    </row>
    <row r="81" spans="2:12" x14ac:dyDescent="0.25">
      <c r="B81" s="65" t="e">
        <f>IF(C73&lt;0,"DR SPL","CR Revaluation Reserve")</f>
        <v>#DIV/0!</v>
      </c>
      <c r="C81" s="66"/>
      <c r="D81" s="71" t="e">
        <f>C73</f>
        <v>#DIV/0!</v>
      </c>
      <c r="G81" s="65" t="s">
        <v>201</v>
      </c>
      <c r="H81" s="66"/>
      <c r="I81" s="17" t="e">
        <f>IF(K71&lt;K73,K73-K71,0)</f>
        <v>#DIV/0!</v>
      </c>
      <c r="J81" s="66"/>
      <c r="K81" s="66"/>
      <c r="L81" s="68"/>
    </row>
    <row r="82" spans="2:12" x14ac:dyDescent="0.25">
      <c r="B82" s="65"/>
      <c r="C82" s="66"/>
      <c r="D82" s="68"/>
      <c r="G82" s="65" t="s">
        <v>224</v>
      </c>
      <c r="H82" s="66"/>
      <c r="I82" s="85" t="e">
        <f>IF(K71&lt;K73,K71,K73)</f>
        <v>#DIV/0!</v>
      </c>
      <c r="J82" s="66"/>
      <c r="K82" s="66"/>
      <c r="L82" s="68"/>
    </row>
    <row r="83" spans="2:12" x14ac:dyDescent="0.25">
      <c r="B83" s="65"/>
      <c r="C83" s="66"/>
      <c r="D83" s="68"/>
      <c r="G83" s="65"/>
      <c r="H83" s="66"/>
      <c r="I83" s="66"/>
      <c r="J83" s="66"/>
      <c r="K83" s="66"/>
      <c r="L83" s="68"/>
    </row>
    <row r="84" spans="2:12" ht="15.75" thickBot="1" x14ac:dyDescent="0.3">
      <c r="B84" s="72" t="s">
        <v>204</v>
      </c>
      <c r="C84" s="73"/>
      <c r="D84" s="110" t="e">
        <f>D81/(C52-C55)</f>
        <v>#DIV/0!</v>
      </c>
      <c r="G84" s="65"/>
      <c r="H84" s="66"/>
      <c r="I84" s="66"/>
      <c r="J84" s="66"/>
      <c r="K84" s="66"/>
      <c r="L84" s="68"/>
    </row>
    <row r="85" spans="2:12" ht="15.75" thickBot="1" x14ac:dyDescent="0.3">
      <c r="G85" s="72"/>
      <c r="H85" s="73"/>
      <c r="I85" s="73"/>
      <c r="J85" s="73"/>
      <c r="K85" s="73"/>
      <c r="L85" s="82"/>
    </row>
    <row r="87" spans="2:12" ht="15.75" thickBot="1" x14ac:dyDescent="0.3"/>
    <row r="88" spans="2:12" x14ac:dyDescent="0.25">
      <c r="B88" s="113" t="s">
        <v>900</v>
      </c>
      <c r="C88" s="114"/>
      <c r="D88" s="115"/>
    </row>
    <row r="89" spans="2:12" x14ac:dyDescent="0.25">
      <c r="B89" s="65"/>
      <c r="C89" s="101" t="s">
        <v>173</v>
      </c>
      <c r="D89" s="102" t="s">
        <v>165</v>
      </c>
    </row>
    <row r="90" spans="2:12" x14ac:dyDescent="0.25">
      <c r="B90" s="65" t="s">
        <v>703</v>
      </c>
      <c r="C90" s="66" t="e">
        <f>IF(C73&lt;0,-C73," ")</f>
        <v>#DIV/0!</v>
      </c>
      <c r="D90" s="68"/>
    </row>
    <row r="91" spans="2:12" ht="15.75" thickBot="1" x14ac:dyDescent="0.3">
      <c r="B91" s="72" t="s">
        <v>901</v>
      </c>
      <c r="C91" s="73"/>
      <c r="D91" s="82" t="e">
        <f>IF(C73&lt;0,-C73," ")</f>
        <v>#DIV/0!</v>
      </c>
    </row>
    <row r="93" spans="2:12" ht="15.75" thickBot="1" x14ac:dyDescent="0.3"/>
    <row r="94" spans="2:12" x14ac:dyDescent="0.25">
      <c r="B94" s="113" t="s">
        <v>1667</v>
      </c>
      <c r="C94" s="114"/>
      <c r="D94" s="115"/>
    </row>
    <row r="95" spans="2:12" x14ac:dyDescent="0.25">
      <c r="B95" s="65"/>
      <c r="C95" s="66"/>
      <c r="D95" s="68"/>
    </row>
    <row r="96" spans="2:12" x14ac:dyDescent="0.25">
      <c r="B96" s="65" t="s">
        <v>217</v>
      </c>
      <c r="C96" s="66"/>
      <c r="D96" s="78"/>
      <c r="F96" s="422" t="s">
        <v>925</v>
      </c>
    </row>
    <row r="97" spans="2:4" x14ac:dyDescent="0.25">
      <c r="B97" s="65" t="s">
        <v>216</v>
      </c>
      <c r="C97" s="66"/>
      <c r="D97" s="78"/>
    </row>
    <row r="98" spans="2:4" x14ac:dyDescent="0.25">
      <c r="B98" s="65"/>
      <c r="C98" s="66"/>
      <c r="D98" s="79">
        <f>D96-D97</f>
        <v>0</v>
      </c>
    </row>
    <row r="99" spans="2:4" x14ac:dyDescent="0.25">
      <c r="B99" s="65"/>
      <c r="C99" s="66"/>
      <c r="D99" s="68"/>
    </row>
    <row r="100" spans="2:4" x14ac:dyDescent="0.25">
      <c r="B100" s="65" t="s">
        <v>218</v>
      </c>
      <c r="C100" s="66"/>
      <c r="D100" s="78"/>
    </row>
    <row r="101" spans="2:4" x14ac:dyDescent="0.25">
      <c r="B101" s="65"/>
      <c r="C101" s="66"/>
      <c r="D101" s="68"/>
    </row>
    <row r="102" spans="2:4" x14ac:dyDescent="0.25">
      <c r="B102" s="65"/>
      <c r="C102" s="66"/>
      <c r="D102" s="68"/>
    </row>
    <row r="103" spans="2:4" x14ac:dyDescent="0.25">
      <c r="B103" s="65"/>
      <c r="C103" s="66"/>
      <c r="D103" s="68"/>
    </row>
    <row r="104" spans="2:4" x14ac:dyDescent="0.25">
      <c r="B104" s="65"/>
      <c r="C104" s="101" t="s">
        <v>173</v>
      </c>
      <c r="D104" s="102" t="s">
        <v>165</v>
      </c>
    </row>
    <row r="105" spans="2:4" x14ac:dyDescent="0.25">
      <c r="B105" s="65" t="s">
        <v>215</v>
      </c>
      <c r="C105" s="111">
        <f>IF(D100&gt;D98,D98,D100)</f>
        <v>0</v>
      </c>
      <c r="D105" s="83"/>
    </row>
    <row r="106" spans="2:4" x14ac:dyDescent="0.25">
      <c r="B106" s="65" t="s">
        <v>291</v>
      </c>
      <c r="C106" s="111">
        <f>IF(D100&gt;D98,D100-D98,0)</f>
        <v>0</v>
      </c>
      <c r="D106" s="83"/>
    </row>
    <row r="107" spans="2:4" x14ac:dyDescent="0.25">
      <c r="B107" s="65" t="s">
        <v>281</v>
      </c>
      <c r="C107" s="103" t="e">
        <f>C69</f>
        <v>#DIV/0!</v>
      </c>
      <c r="D107" s="112"/>
    </row>
    <row r="108" spans="2:4" x14ac:dyDescent="0.25">
      <c r="B108" s="65" t="s">
        <v>282</v>
      </c>
      <c r="C108" s="111"/>
      <c r="D108" s="78">
        <f>C68-C72</f>
        <v>0</v>
      </c>
    </row>
    <row r="109" spans="2:4" x14ac:dyDescent="0.25">
      <c r="B109" s="65"/>
      <c r="C109" s="66"/>
      <c r="D109" s="68"/>
    </row>
    <row r="110" spans="2:4" x14ac:dyDescent="0.25">
      <c r="B110" s="65" t="s">
        <v>205</v>
      </c>
      <c r="C110" s="66"/>
      <c r="D110" s="68"/>
    </row>
    <row r="111" spans="2:4" ht="15.75" thickBot="1" x14ac:dyDescent="0.3">
      <c r="B111" s="72"/>
      <c r="C111" s="73"/>
      <c r="D111" s="82"/>
    </row>
  </sheetData>
  <mergeCells count="2">
    <mergeCell ref="G66:J68"/>
    <mergeCell ref="B17:D26"/>
  </mergeCell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75E48569-55BC-4870-8196-F459F6C1DD53}">
          <x14:formula1>
            <xm:f>Inputs!$B$5:$B$6</xm:f>
          </x14:formula1>
          <xm:sqref>C2:C6</xm:sqref>
        </x14:dataValidation>
        <x14:dataValidation type="list" allowBlank="1" showInputMessage="1" showErrorMessage="1" xr:uid="{13DE3ED2-E925-4EE8-B049-9ACB04CD9D6A}">
          <x14:formula1>
            <xm:f>Inputs!$B$14:$B$15</xm:f>
          </x14:formula1>
          <xm:sqref>C27:C32</xm:sqref>
        </x14:dataValidation>
        <x14:dataValidation type="list" allowBlank="1" showInputMessage="1" showErrorMessage="1" xr:uid="{D801382E-994D-4444-8931-6F254E2ECD41}">
          <x14:formula1>
            <xm:f>Inputs!$B$8:$B$9</xm:f>
          </x14:formula1>
          <xm:sqref>C50</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5BC844-5460-408C-AC76-6D022E34E0A8}">
  <dimension ref="B1:Q39"/>
  <sheetViews>
    <sheetView zoomScale="50" zoomScaleNormal="50" workbookViewId="0"/>
  </sheetViews>
  <sheetFormatPr defaultRowHeight="15" x14ac:dyDescent="0.25"/>
  <cols>
    <col min="1" max="1" width="4.5703125" customWidth="1"/>
    <col min="2" max="2" width="11" customWidth="1"/>
    <col min="3" max="3" width="19.5703125" customWidth="1"/>
    <col min="4" max="4" width="11.7109375" customWidth="1"/>
    <col min="5" max="5" width="11" bestFit="1" customWidth="1"/>
    <col min="6" max="6" width="10.42578125" bestFit="1" customWidth="1"/>
    <col min="10" max="10" width="14.42578125" customWidth="1"/>
    <col min="11" max="11" width="10" bestFit="1" customWidth="1"/>
    <col min="14" max="14" width="10.42578125" customWidth="1"/>
  </cols>
  <sheetData>
    <row r="1" spans="2:17" x14ac:dyDescent="0.25">
      <c r="B1" t="s">
        <v>1140</v>
      </c>
      <c r="E1" s="42">
        <v>41090</v>
      </c>
    </row>
    <row r="2" spans="2:17" x14ac:dyDescent="0.25">
      <c r="B2" t="s">
        <v>1141</v>
      </c>
      <c r="D2" s="41">
        <f>EOMONTH(E1,-5)</f>
        <v>40939</v>
      </c>
      <c r="E2" s="568">
        <v>40922</v>
      </c>
      <c r="F2" s="422" t="s">
        <v>1142</v>
      </c>
      <c r="M2" t="s">
        <v>1143</v>
      </c>
      <c r="O2" s="3"/>
      <c r="Q2" t="s">
        <v>1740</v>
      </c>
    </row>
    <row r="3" spans="2:17" x14ac:dyDescent="0.25">
      <c r="B3" t="s">
        <v>1144</v>
      </c>
      <c r="D3" s="41">
        <f>EOMONTH(E2,3)</f>
        <v>41029</v>
      </c>
      <c r="E3" s="42">
        <v>41013</v>
      </c>
      <c r="M3" t="s">
        <v>89</v>
      </c>
      <c r="O3" s="3"/>
      <c r="Q3" s="422" t="s">
        <v>1151</v>
      </c>
    </row>
    <row r="4" spans="2:17" x14ac:dyDescent="0.25">
      <c r="B4" t="s">
        <v>1145</v>
      </c>
      <c r="D4" s="41">
        <f>EOMONTH(E3,3)</f>
        <v>41121</v>
      </c>
      <c r="E4" s="42">
        <v>41104</v>
      </c>
      <c r="O4" s="3"/>
      <c r="Q4" s="422" t="s">
        <v>1195</v>
      </c>
    </row>
    <row r="5" spans="2:17" x14ac:dyDescent="0.25">
      <c r="B5" t="s">
        <v>1146</v>
      </c>
      <c r="D5" s="41">
        <f>EOMONTH(D4,3)</f>
        <v>41213</v>
      </c>
      <c r="E5" s="42">
        <v>41196</v>
      </c>
      <c r="O5">
        <f>SUM(O2:O4)</f>
        <v>0</v>
      </c>
      <c r="Q5" s="422"/>
    </row>
    <row r="6" spans="2:17" x14ac:dyDescent="0.25">
      <c r="D6" s="41"/>
      <c r="M6" t="s">
        <v>1148</v>
      </c>
      <c r="O6" s="3">
        <f>O5*0.19</f>
        <v>0</v>
      </c>
      <c r="Q6" s="422" t="s">
        <v>1196</v>
      </c>
    </row>
    <row r="7" spans="2:17" x14ac:dyDescent="0.25">
      <c r="B7" t="s">
        <v>1742</v>
      </c>
      <c r="D7" s="41"/>
    </row>
    <row r="8" spans="2:17" x14ac:dyDescent="0.25">
      <c r="B8" s="422" t="s">
        <v>1194</v>
      </c>
      <c r="G8" t="s">
        <v>1147</v>
      </c>
      <c r="J8" s="14"/>
    </row>
    <row r="9" spans="2:17" x14ac:dyDescent="0.25">
      <c r="B9" t="s">
        <v>1149</v>
      </c>
      <c r="D9" s="14"/>
      <c r="G9" t="s">
        <v>1150</v>
      </c>
      <c r="J9" s="14"/>
      <c r="M9" t="s">
        <v>1154</v>
      </c>
      <c r="O9" s="3"/>
    </row>
    <row r="10" spans="2:17" x14ac:dyDescent="0.25">
      <c r="B10" t="s">
        <v>1152</v>
      </c>
      <c r="D10" s="14"/>
      <c r="G10" t="s">
        <v>1153</v>
      </c>
      <c r="J10" s="583">
        <f>J9-J8</f>
        <v>0</v>
      </c>
    </row>
    <row r="12" spans="2:17" x14ac:dyDescent="0.25">
      <c r="B12" t="s">
        <v>1155</v>
      </c>
      <c r="D12" s="12">
        <f>D9</f>
        <v>0</v>
      </c>
    </row>
    <row r="13" spans="2:17" x14ac:dyDescent="0.25">
      <c r="B13" t="s">
        <v>407</v>
      </c>
      <c r="E13" s="12">
        <f>D10</f>
        <v>0</v>
      </c>
      <c r="G13" t="str">
        <f>IF(J10&lt;0,"DR SPL - Taxation","CR SPL - Taxation")</f>
        <v>CR SPL - Taxation</v>
      </c>
      <c r="J13" s="32">
        <f>IF($J$10&lt;0,-$J$10,0)</f>
        <v>0</v>
      </c>
      <c r="K13" s="32">
        <f>IF($J$10&gt;0,$J$10,0)</f>
        <v>0</v>
      </c>
      <c r="M13" t="s">
        <v>1156</v>
      </c>
      <c r="O13">
        <f>O9</f>
        <v>0</v>
      </c>
    </row>
    <row r="14" spans="2:17" x14ac:dyDescent="0.25">
      <c r="B14" t="s">
        <v>1157</v>
      </c>
      <c r="E14" s="12">
        <f>D9-D10</f>
        <v>0</v>
      </c>
      <c r="G14" t="str">
        <f>IF(J10&lt;0,"CR Current tax payable","DR Current tax payable")</f>
        <v>DR Current tax payable</v>
      </c>
      <c r="J14" s="32">
        <f>IF($J$10&gt;0,$J$10,0)</f>
        <v>0</v>
      </c>
      <c r="K14" s="32">
        <f>IF($J$10&lt;0,-$J$10,0)</f>
        <v>0</v>
      </c>
      <c r="M14" t="s">
        <v>1158</v>
      </c>
      <c r="P14">
        <f>O9</f>
        <v>0</v>
      </c>
    </row>
    <row r="16" spans="2:17" x14ac:dyDescent="0.25">
      <c r="G16" t="s">
        <v>1741</v>
      </c>
    </row>
    <row r="17" spans="2:8" x14ac:dyDescent="0.25">
      <c r="B17" s="422"/>
      <c r="C17" s="422"/>
      <c r="D17" s="422"/>
      <c r="E17" s="422"/>
      <c r="G17" s="422" t="s">
        <v>1651</v>
      </c>
    </row>
    <row r="18" spans="2:8" x14ac:dyDescent="0.25">
      <c r="G18" s="422" t="s">
        <v>1650</v>
      </c>
    </row>
    <row r="19" spans="2:8" x14ac:dyDescent="0.25">
      <c r="B19" s="422"/>
      <c r="C19" s="422"/>
      <c r="D19" s="422"/>
      <c r="E19" s="422"/>
      <c r="G19" s="422" t="s">
        <v>1193</v>
      </c>
    </row>
    <row r="20" spans="2:8" x14ac:dyDescent="0.25">
      <c r="B20" s="422"/>
      <c r="C20" s="422"/>
      <c r="D20" s="422"/>
    </row>
    <row r="21" spans="2:8" x14ac:dyDescent="0.25">
      <c r="B21" s="422"/>
      <c r="C21" s="422"/>
      <c r="D21" s="422"/>
      <c r="E21" s="422"/>
    </row>
    <row r="22" spans="2:8" x14ac:dyDescent="0.25">
      <c r="B22" s="422"/>
      <c r="C22" s="422"/>
      <c r="D22" s="422"/>
      <c r="E22" s="422"/>
    </row>
    <row r="23" spans="2:8" x14ac:dyDescent="0.25">
      <c r="B23" s="632" t="s">
        <v>1743</v>
      </c>
      <c r="D23" s="422"/>
      <c r="E23" s="422"/>
      <c r="F23" s="422"/>
    </row>
    <row r="24" spans="2:8" x14ac:dyDescent="0.25">
      <c r="B24" s="422" t="s">
        <v>1744</v>
      </c>
      <c r="C24" s="422"/>
      <c r="D24" s="422"/>
      <c r="F24" s="422"/>
      <c r="G24" s="422"/>
    </row>
    <row r="25" spans="2:8" x14ac:dyDescent="0.25">
      <c r="B25" s="422"/>
      <c r="C25" s="422"/>
      <c r="D25" s="422"/>
      <c r="E25" s="422"/>
    </row>
    <row r="26" spans="2:8" x14ac:dyDescent="0.25">
      <c r="B26" s="422"/>
      <c r="C26" s="422"/>
      <c r="D26" s="422"/>
      <c r="E26" s="422"/>
      <c r="F26" s="422"/>
      <c r="G26" s="422"/>
      <c r="H26" s="422"/>
    </row>
    <row r="27" spans="2:8" x14ac:dyDescent="0.25">
      <c r="B27" s="422"/>
      <c r="C27" s="422"/>
      <c r="D27" s="422"/>
      <c r="E27" s="422"/>
      <c r="F27" s="422"/>
      <c r="G27" s="422"/>
      <c r="H27" s="422"/>
    </row>
    <row r="28" spans="2:8" x14ac:dyDescent="0.25">
      <c r="B28" s="422"/>
      <c r="C28" s="422"/>
      <c r="D28" s="422"/>
      <c r="E28" s="422"/>
    </row>
    <row r="29" spans="2:8" x14ac:dyDescent="0.25">
      <c r="B29" s="422"/>
      <c r="C29" s="422"/>
      <c r="D29" s="422"/>
      <c r="E29" s="422"/>
    </row>
    <row r="30" spans="2:8" x14ac:dyDescent="0.25">
      <c r="B30" s="422"/>
      <c r="C30" s="422"/>
      <c r="D30" s="422"/>
      <c r="F30" s="422"/>
      <c r="H30" s="682"/>
    </row>
    <row r="31" spans="2:8" x14ac:dyDescent="0.25">
      <c r="B31" s="422"/>
      <c r="C31" s="422"/>
      <c r="D31" s="422"/>
    </row>
    <row r="32" spans="2:8" x14ac:dyDescent="0.25">
      <c r="B32" s="422"/>
      <c r="C32" s="422"/>
      <c r="D32" s="422"/>
      <c r="E32" s="422"/>
      <c r="F32" s="422"/>
      <c r="G32" s="422"/>
      <c r="H32" s="422"/>
    </row>
    <row r="33" spans="2:8" x14ac:dyDescent="0.25">
      <c r="B33" s="422"/>
      <c r="C33" s="422"/>
      <c r="D33" s="422"/>
      <c r="E33" s="422"/>
      <c r="F33" s="422"/>
      <c r="G33" s="422"/>
      <c r="H33" s="422"/>
    </row>
    <row r="34" spans="2:8" x14ac:dyDescent="0.25">
      <c r="B34" s="422"/>
      <c r="C34" s="422"/>
      <c r="D34" s="422"/>
      <c r="E34" s="422"/>
      <c r="F34" s="422"/>
      <c r="G34" s="422"/>
      <c r="H34" s="422"/>
    </row>
    <row r="35" spans="2:8" x14ac:dyDescent="0.25">
      <c r="B35" s="422"/>
      <c r="C35" s="422"/>
      <c r="D35" s="422"/>
      <c r="E35" s="422"/>
    </row>
    <row r="36" spans="2:8" x14ac:dyDescent="0.25">
      <c r="B36" s="422"/>
      <c r="C36" s="422"/>
      <c r="D36" s="422"/>
      <c r="E36" s="422"/>
    </row>
    <row r="37" spans="2:8" x14ac:dyDescent="0.25">
      <c r="B37" s="422"/>
      <c r="D37" s="422"/>
    </row>
    <row r="38" spans="2:8" x14ac:dyDescent="0.25">
      <c r="D38" s="422"/>
    </row>
    <row r="39" spans="2:8" x14ac:dyDescent="0.25">
      <c r="B39" s="422"/>
    </row>
  </sheetData>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AD45D-9AEA-4BC9-9480-E05A673B95EA}">
  <dimension ref="A1:Z91"/>
  <sheetViews>
    <sheetView topLeftCell="A62" zoomScale="60" zoomScaleNormal="60" workbookViewId="0"/>
  </sheetViews>
  <sheetFormatPr defaultRowHeight="15" x14ac:dyDescent="0.25"/>
  <cols>
    <col min="1" max="1" width="24.5703125" customWidth="1"/>
    <col min="2" max="2" width="19.42578125" customWidth="1"/>
    <col min="3" max="3" width="14.42578125" bestFit="1" customWidth="1"/>
    <col min="4" max="4" width="36.5703125" customWidth="1"/>
    <col min="5" max="5" width="13.140625" bestFit="1" customWidth="1"/>
  </cols>
  <sheetData>
    <row r="1" spans="1:5" hidden="1" x14ac:dyDescent="0.25"/>
    <row r="2" spans="1:5" hidden="1" x14ac:dyDescent="0.25"/>
    <row r="3" spans="1:5" hidden="1" x14ac:dyDescent="0.25">
      <c r="A3" s="1" t="s">
        <v>1513</v>
      </c>
    </row>
    <row r="4" spans="1:5" hidden="1" x14ac:dyDescent="0.25">
      <c r="A4" t="s">
        <v>1511</v>
      </c>
      <c r="B4" s="664" t="s">
        <v>1510</v>
      </c>
    </row>
    <row r="5" spans="1:5" hidden="1" x14ac:dyDescent="0.25">
      <c r="A5" s="1"/>
      <c r="B5" s="1"/>
      <c r="C5" s="1"/>
      <c r="D5" s="1"/>
    </row>
    <row r="6" spans="1:5" hidden="1" x14ac:dyDescent="0.25"/>
    <row r="7" spans="1:5" hidden="1" x14ac:dyDescent="0.25">
      <c r="A7" t="s">
        <v>12</v>
      </c>
      <c r="B7" t="s">
        <v>233</v>
      </c>
      <c r="C7" t="s">
        <v>1509</v>
      </c>
      <c r="D7" s="2" t="str">
        <f>IF($B$4="DTA","Deductible temporary difference","Taxable temporary difference")</f>
        <v>Taxable temporary difference</v>
      </c>
      <c r="E7" s="2" t="str">
        <f>IF($B$4="DTA","DTA","DTL")</f>
        <v>DTL</v>
      </c>
    </row>
    <row r="8" spans="1:5" hidden="1" x14ac:dyDescent="0.25">
      <c r="B8" s="2" t="s">
        <v>10</v>
      </c>
      <c r="C8" s="2" t="s">
        <v>10</v>
      </c>
      <c r="D8" s="2" t="s">
        <v>10</v>
      </c>
      <c r="E8" s="2" t="s">
        <v>10</v>
      </c>
    </row>
    <row r="9" spans="1:5" hidden="1" x14ac:dyDescent="0.25">
      <c r="A9" s="3"/>
      <c r="B9" s="14">
        <v>900</v>
      </c>
      <c r="C9" s="14">
        <v>820</v>
      </c>
      <c r="D9" s="12">
        <f>B9-C9</f>
        <v>80</v>
      </c>
      <c r="E9" s="10"/>
    </row>
    <row r="10" spans="1:5" hidden="1" x14ac:dyDescent="0.25">
      <c r="A10" s="665">
        <v>41364</v>
      </c>
      <c r="B10" s="14">
        <v>40000000</v>
      </c>
      <c r="C10" s="14">
        <v>28000000</v>
      </c>
      <c r="D10" s="663">
        <f>IF(B4="DTA",-(B10-C10),B10-C10)</f>
        <v>12000000</v>
      </c>
      <c r="E10" s="662">
        <f>D10*0.17</f>
        <v>2040000.0000000002</v>
      </c>
    </row>
    <row r="11" spans="1:5" hidden="1" x14ac:dyDescent="0.25">
      <c r="A11" s="3"/>
      <c r="B11" s="3"/>
      <c r="C11" s="3"/>
    </row>
    <row r="12" spans="1:5" hidden="1" x14ac:dyDescent="0.25">
      <c r="E12" s="191">
        <f>E10-E9</f>
        <v>2040000.0000000002</v>
      </c>
    </row>
    <row r="13" spans="1:5" hidden="1" x14ac:dyDescent="0.25">
      <c r="E13" s="191"/>
    </row>
    <row r="14" spans="1:5" hidden="1" x14ac:dyDescent="0.25">
      <c r="A14" t="str" cm="1">
        <f t="array" ref="A14">_xlfn.IFS(AND($B$4="DTA",E12&gt;0),"DR DTA",AND($B$4="DTA",E12&lt;0),"CR DTA",AND($B$4="DTL",E12&gt;0),"CR DTL",AND($B$4="DTL",E12&lt;0),"DR DTL")</f>
        <v>CR DTL</v>
      </c>
      <c r="B14" s="11">
        <f>IF($E$12&gt;0,$E$12,0)</f>
        <v>2040000.0000000002</v>
      </c>
      <c r="C14" s="11"/>
    </row>
    <row r="15" spans="1:5" hidden="1" x14ac:dyDescent="0.25">
      <c r="A15" t="str" cm="1">
        <f t="array" ref="A15">_xlfn.IFS(AND($B$4="DTA",E12&gt;0),"CR SPL - Taxation",AND($B$4="DTA",E12&lt;0),"DR SPL - Taxation",AND($B$4="DTL",E12&gt;0),"DR SPL - Taxation",AND($B$4="DTL",E12&lt;0),"CR SPL - Taxation")</f>
        <v>DR SPL - Taxation</v>
      </c>
      <c r="B15" s="11">
        <f>IF($E$12&gt;0,$E$12,0)</f>
        <v>2040000.0000000002</v>
      </c>
    </row>
    <row r="16" spans="1:5" hidden="1" x14ac:dyDescent="0.25"/>
    <row r="17" spans="1:5" hidden="1" x14ac:dyDescent="0.25"/>
    <row r="18" spans="1:5" ht="15" hidden="1" customHeight="1" x14ac:dyDescent="0.25">
      <c r="A18" s="1" t="s">
        <v>679</v>
      </c>
    </row>
    <row r="19" spans="1:5" ht="15" hidden="1" customHeight="1" x14ac:dyDescent="0.25">
      <c r="A19" t="s">
        <v>1511</v>
      </c>
      <c r="B19" s="664" t="s">
        <v>1510</v>
      </c>
    </row>
    <row r="20" spans="1:5" ht="15" hidden="1" customHeight="1" x14ac:dyDescent="0.25"/>
    <row r="21" spans="1:5" hidden="1" x14ac:dyDescent="0.25"/>
    <row r="22" spans="1:5" hidden="1" x14ac:dyDescent="0.25">
      <c r="A22" t="s">
        <v>12</v>
      </c>
      <c r="B22" t="s">
        <v>233</v>
      </c>
      <c r="C22" t="s">
        <v>1509</v>
      </c>
      <c r="D22" s="2" t="str">
        <f>IF($B$4="DTA","Deductible temporary difference","Taxable temporary difference")</f>
        <v>Taxable temporary difference</v>
      </c>
      <c r="E22" s="2" t="str">
        <f>IF($B$4="DTA","DTA","DTL")</f>
        <v>DTL</v>
      </c>
    </row>
    <row r="23" spans="1:5" hidden="1" x14ac:dyDescent="0.25">
      <c r="B23" s="2" t="s">
        <v>10</v>
      </c>
      <c r="C23" s="2" t="s">
        <v>10</v>
      </c>
      <c r="D23" s="2" t="s">
        <v>10</v>
      </c>
      <c r="E23" s="2" t="s">
        <v>10</v>
      </c>
    </row>
    <row r="24" spans="1:5" hidden="1" x14ac:dyDescent="0.25">
      <c r="A24" s="3"/>
      <c r="B24" s="3"/>
      <c r="C24" s="3"/>
      <c r="E24" s="10"/>
    </row>
    <row r="25" spans="1:5" hidden="1" x14ac:dyDescent="0.25">
      <c r="A25" s="42"/>
      <c r="B25" s="14"/>
      <c r="C25" s="14">
        <v>0</v>
      </c>
      <c r="D25" s="663">
        <f>IF(B16="DTA",-(B25-C25),B25-C25)</f>
        <v>0</v>
      </c>
      <c r="E25" s="662">
        <f>D25*0.19</f>
        <v>0</v>
      </c>
    </row>
    <row r="26" spans="1:5" hidden="1" x14ac:dyDescent="0.25">
      <c r="A26" s="3"/>
      <c r="B26" s="3"/>
      <c r="C26" s="3"/>
    </row>
    <row r="27" spans="1:5" hidden="1" x14ac:dyDescent="0.25">
      <c r="E27" s="191">
        <f>E25-E24</f>
        <v>0</v>
      </c>
    </row>
    <row r="28" spans="1:5" hidden="1" x14ac:dyDescent="0.25">
      <c r="E28" s="191"/>
    </row>
    <row r="29" spans="1:5" hidden="1" x14ac:dyDescent="0.25">
      <c r="A29" t="e" cm="1">
        <f t="array" ref="A29">_xlfn.IFS(AND($B$4="DTA",E27&gt;0),"DR DTA",AND($B$4="DTA",E27&lt;0),"CR DTA",AND($B$4="DTL",E27&gt;0),"CR DTL",AND($B$4="DTL",E27&lt;0),"DR DTL")</f>
        <v>#N/A</v>
      </c>
      <c r="B29" s="11">
        <f>IF($E$27&gt;0,$E$27,0)</f>
        <v>0</v>
      </c>
      <c r="C29" s="11">
        <f>IF($E$27&lt;0,-$E$27,0)</f>
        <v>0</v>
      </c>
    </row>
    <row r="30" spans="1:5" hidden="1" x14ac:dyDescent="0.25">
      <c r="A30" t="e" cm="1">
        <f t="array" ref="A30">_xlfn.IFS(AND($B$4="DTA",E27&gt;0),"CR Retained earnings",AND($B$4="DTA",E27&lt;0),"DR Retained earnings",AND($B$4="DTL",E27&gt;0),"DR Retained earnings",AND($B$4="DTL",E27&lt;0),"CR Retained earnings")</f>
        <v>#N/A</v>
      </c>
      <c r="B30" s="11">
        <f>IF($E$27&lt;0,-$E$27,0)</f>
        <v>0</v>
      </c>
      <c r="C30" s="11">
        <f>IF($E$27&gt;0,$E$27,0)</f>
        <v>0</v>
      </c>
    </row>
    <row r="31" spans="1:5" hidden="1" x14ac:dyDescent="0.25"/>
    <row r="32" spans="1:5" hidden="1" x14ac:dyDescent="0.25"/>
    <row r="33" spans="1:5" hidden="1" x14ac:dyDescent="0.25"/>
    <row r="34" spans="1:5" hidden="1" x14ac:dyDescent="0.25">
      <c r="A34" s="1" t="s">
        <v>1514</v>
      </c>
    </row>
    <row r="35" spans="1:5" hidden="1" x14ac:dyDescent="0.25">
      <c r="A35" t="s">
        <v>1511</v>
      </c>
      <c r="B35" s="664" t="s">
        <v>1512</v>
      </c>
    </row>
    <row r="36" spans="1:5" hidden="1" x14ac:dyDescent="0.25"/>
    <row r="37" spans="1:5" hidden="1" x14ac:dyDescent="0.25"/>
    <row r="38" spans="1:5" hidden="1" x14ac:dyDescent="0.25">
      <c r="A38" t="s">
        <v>12</v>
      </c>
      <c r="B38" t="s">
        <v>233</v>
      </c>
      <c r="C38" t="s">
        <v>1509</v>
      </c>
      <c r="D38" s="2" t="str">
        <f>IF($B$35="DTA","Deductible temporary difference","Taxable temporary difference")</f>
        <v>Deductible temporary difference</v>
      </c>
      <c r="E38" s="2" t="str">
        <f>IF($B$35="DTA","DTA","DTL")</f>
        <v>DTA</v>
      </c>
    </row>
    <row r="39" spans="1:5" hidden="1" x14ac:dyDescent="0.25">
      <c r="B39" s="2" t="s">
        <v>10</v>
      </c>
      <c r="C39" s="2" t="s">
        <v>10</v>
      </c>
      <c r="D39" s="2" t="s">
        <v>10</v>
      </c>
      <c r="E39" s="2" t="s">
        <v>10</v>
      </c>
    </row>
    <row r="40" spans="1:5" hidden="1" x14ac:dyDescent="0.25">
      <c r="A40" s="3"/>
      <c r="B40" s="3"/>
      <c r="C40" s="3"/>
      <c r="E40" s="10"/>
    </row>
    <row r="41" spans="1:5" hidden="1" x14ac:dyDescent="0.25">
      <c r="A41" s="3"/>
      <c r="B41" s="14"/>
      <c r="C41" s="14">
        <v>0</v>
      </c>
      <c r="D41" s="663">
        <f>IF(B32="DTA",-(B41-C41),B41-C41)</f>
        <v>0</v>
      </c>
      <c r="E41" s="662">
        <f>D41*0.19</f>
        <v>0</v>
      </c>
    </row>
    <row r="42" spans="1:5" hidden="1" x14ac:dyDescent="0.25">
      <c r="A42" s="3"/>
      <c r="B42" s="3"/>
      <c r="C42" s="3"/>
    </row>
    <row r="43" spans="1:5" hidden="1" x14ac:dyDescent="0.25">
      <c r="E43" s="191">
        <f>E41-E40</f>
        <v>0</v>
      </c>
    </row>
    <row r="44" spans="1:5" hidden="1" x14ac:dyDescent="0.25">
      <c r="E44" s="191"/>
    </row>
    <row r="45" spans="1:5" hidden="1" x14ac:dyDescent="0.25">
      <c r="A45" t="e" cm="1">
        <f t="array" ref="A45">_xlfn.IFS(AND($B$35="DTA",E43&gt;0),"DR DTA",AND($B$35="DTA",E43&lt;0),"CR DTA",AND($B$35="DTL",E43&gt;0),"CR DTL",AND($B$35="DTL",E43&lt;0),"DR DTL")</f>
        <v>#N/A</v>
      </c>
      <c r="B45" s="11">
        <f>IF($E$43&gt;0,$E$43,0)</f>
        <v>0</v>
      </c>
      <c r="C45" s="11">
        <f>IF($E$12&lt;0,-$E$12,0)</f>
        <v>0</v>
      </c>
    </row>
    <row r="46" spans="1:5" hidden="1" x14ac:dyDescent="0.25">
      <c r="A46" t="e" cm="1">
        <f t="array" ref="A46">_xlfn.IFS(AND($B$35="DTA",E43&gt;0),"CR SPL - Taxation",AND($B$35="DTA",E43&lt;0),"DR SPL - Taxation",AND($B$35="DTL",E43&gt;0),"DR SPL - Taxation",AND($B$35="DTL",E43&lt;0),"CR SPL - Taxation")</f>
        <v>#N/A</v>
      </c>
      <c r="B46" s="11">
        <f>IF($E$43&lt;0,-$E$43,0)</f>
        <v>0</v>
      </c>
      <c r="C46" s="11">
        <f>IF($E$43&gt;0,$E$43,0)</f>
        <v>0</v>
      </c>
    </row>
    <row r="47" spans="1:5" hidden="1" x14ac:dyDescent="0.25"/>
    <row r="48" spans="1:5" hidden="1" x14ac:dyDescent="0.25"/>
    <row r="49" spans="1:23" hidden="1" x14ac:dyDescent="0.25">
      <c r="A49" s="1" t="s">
        <v>1515</v>
      </c>
    </row>
    <row r="50" spans="1:23" hidden="1" x14ac:dyDescent="0.25">
      <c r="A50" t="s">
        <v>1511</v>
      </c>
      <c r="B50" s="664" t="s">
        <v>1512</v>
      </c>
    </row>
    <row r="51" spans="1:23" hidden="1" x14ac:dyDescent="0.25"/>
    <row r="52" spans="1:23" hidden="1" x14ac:dyDescent="0.25"/>
    <row r="53" spans="1:23" hidden="1" x14ac:dyDescent="0.25">
      <c r="A53" t="s">
        <v>12</v>
      </c>
      <c r="B53" t="s">
        <v>233</v>
      </c>
      <c r="C53" t="s">
        <v>1509</v>
      </c>
      <c r="D53" s="2" t="str">
        <f>IF($B$35="DTA","Deductible temporary difference","Taxable temporary difference")</f>
        <v>Deductible temporary difference</v>
      </c>
      <c r="E53" s="2" t="str">
        <f>IF($B$35="DTA","DTA","DTL")</f>
        <v>DTA</v>
      </c>
    </row>
    <row r="54" spans="1:23" hidden="1" x14ac:dyDescent="0.25">
      <c r="B54" s="2" t="s">
        <v>10</v>
      </c>
      <c r="C54" s="2" t="s">
        <v>10</v>
      </c>
      <c r="D54" s="2" t="s">
        <v>10</v>
      </c>
      <c r="E54" s="2" t="s">
        <v>10</v>
      </c>
    </row>
    <row r="55" spans="1:23" hidden="1" x14ac:dyDescent="0.25">
      <c r="A55" s="3"/>
      <c r="B55" s="3"/>
      <c r="C55" s="3"/>
      <c r="E55" s="10"/>
    </row>
    <row r="56" spans="1:23" hidden="1" x14ac:dyDescent="0.25">
      <c r="A56" s="3"/>
      <c r="B56" s="14"/>
      <c r="C56" s="14">
        <v>0</v>
      </c>
      <c r="D56" s="663">
        <f>IF(B47="DTA",-(B56-C56),B56-C56)</f>
        <v>0</v>
      </c>
      <c r="E56" s="662">
        <f>D56*0.19</f>
        <v>0</v>
      </c>
    </row>
    <row r="57" spans="1:23" hidden="1" x14ac:dyDescent="0.25">
      <c r="A57" s="3"/>
      <c r="B57" s="3"/>
      <c r="C57" s="3"/>
    </row>
    <row r="58" spans="1:23" hidden="1" x14ac:dyDescent="0.25">
      <c r="E58" s="191">
        <f>E56-E55</f>
        <v>0</v>
      </c>
    </row>
    <row r="59" spans="1:23" hidden="1" x14ac:dyDescent="0.25">
      <c r="E59" s="191"/>
    </row>
    <row r="60" spans="1:23" hidden="1" x14ac:dyDescent="0.25">
      <c r="A60" t="e" cm="1">
        <f t="array" ref="A60">_xlfn.IFS(AND($B$35="DTA",E58&gt;0),"DR DTA",AND($B$35="DTA",E58&lt;0),"CR DTA",AND($B$35="DTL",E58&gt;0),"CR DTL",AND($B$35="DTL",E58&lt;0),"DR DTL")</f>
        <v>#N/A</v>
      </c>
      <c r="B60" s="11">
        <f>IF($E$58&gt;0,$E$58,0)</f>
        <v>0</v>
      </c>
      <c r="C60" s="11">
        <f>IF($E$58&lt;0,-$E$58,0)</f>
        <v>0</v>
      </c>
    </row>
    <row r="61" spans="1:23" ht="14.45" hidden="1" customHeight="1" x14ac:dyDescent="0.25">
      <c r="A61" t="e" cm="1">
        <f t="array" ref="A61">_xlfn.IFS(AND($B$35="DTA",E58&gt;0),"CR SPL - Taxation",AND($B$35="DTA",E58&lt;0),"DR SPL - Taxation",AND($B$35="DTL",E58&gt;0),"DR SPL - Taxation",AND($B$35="DTL",E58&lt;0),"CR SPL - Taxation")</f>
        <v>#N/A</v>
      </c>
      <c r="B61" s="11">
        <f>IF($E$58&lt;0,-$E$58,0)</f>
        <v>0</v>
      </c>
      <c r="C61" s="11">
        <f>IF($E$58&gt;0,$E$58,0)</f>
        <v>0</v>
      </c>
      <c r="H61" s="823" t="s">
        <v>1845</v>
      </c>
      <c r="I61" s="823"/>
      <c r="J61" s="823"/>
      <c r="K61" s="823"/>
      <c r="L61" s="823"/>
      <c r="M61" s="823"/>
      <c r="N61" s="823"/>
      <c r="O61" s="823"/>
      <c r="P61" s="823"/>
      <c r="Q61" s="823"/>
      <c r="R61" s="823"/>
      <c r="S61" s="823"/>
      <c r="T61" s="823"/>
      <c r="U61" s="823"/>
      <c r="V61" s="823"/>
      <c r="W61" s="823"/>
    </row>
    <row r="62" spans="1:23" x14ac:dyDescent="0.25">
      <c r="H62" s="823"/>
      <c r="I62" s="823"/>
      <c r="J62" s="823"/>
      <c r="K62" s="823"/>
      <c r="L62" s="823"/>
      <c r="M62" s="823"/>
      <c r="N62" s="823"/>
      <c r="O62" s="823"/>
      <c r="P62" s="823"/>
      <c r="Q62" s="823"/>
      <c r="R62" s="823"/>
      <c r="S62" s="823"/>
      <c r="T62" s="823"/>
      <c r="U62" s="823"/>
      <c r="V62" s="823"/>
      <c r="W62" s="823"/>
    </row>
    <row r="63" spans="1:23" x14ac:dyDescent="0.25">
      <c r="H63" s="823"/>
      <c r="I63" s="823"/>
      <c r="J63" s="823"/>
      <c r="K63" s="823"/>
      <c r="L63" s="823"/>
      <c r="M63" s="823"/>
      <c r="N63" s="823"/>
      <c r="O63" s="823"/>
      <c r="P63" s="823"/>
      <c r="Q63" s="823"/>
      <c r="R63" s="823"/>
      <c r="S63" s="823"/>
      <c r="T63" s="823"/>
      <c r="U63" s="823"/>
      <c r="V63" s="823"/>
      <c r="W63" s="823"/>
    </row>
    <row r="64" spans="1:23" ht="15.75" thickBot="1" x14ac:dyDescent="0.3">
      <c r="H64" s="823"/>
      <c r="I64" s="823"/>
      <c r="J64" s="823"/>
      <c r="K64" s="823"/>
      <c r="L64" s="823"/>
      <c r="M64" s="823"/>
      <c r="N64" s="823"/>
      <c r="O64" s="823"/>
      <c r="P64" s="823"/>
      <c r="Q64" s="823"/>
      <c r="R64" s="823"/>
      <c r="S64" s="823"/>
      <c r="T64" s="823"/>
      <c r="U64" s="823"/>
      <c r="V64" s="823"/>
      <c r="W64" s="823"/>
    </row>
    <row r="65" spans="1:26" x14ac:dyDescent="0.25">
      <c r="A65" s="62"/>
      <c r="B65" s="63"/>
      <c r="C65" s="63"/>
      <c r="D65" s="63"/>
      <c r="E65" s="63"/>
      <c r="F65" s="64"/>
      <c r="H65" s="823" t="str">
        <f>"As there are £"&amp;SUMIF(D68:D77,"&gt;0")&amp;" of taxable temporary differences as at …, all deductible differences can be recognised"</f>
        <v>As there are £0 of taxable temporary differences as at …, all deductible differences can be recognised</v>
      </c>
      <c r="I65" s="823"/>
      <c r="J65" s="823"/>
      <c r="K65" s="823"/>
      <c r="L65" s="823"/>
      <c r="M65" s="823"/>
      <c r="N65" s="823"/>
      <c r="O65" s="823"/>
      <c r="P65" s="823"/>
      <c r="Q65" s="823"/>
      <c r="R65" s="823"/>
      <c r="S65" s="823"/>
      <c r="T65" s="823"/>
      <c r="U65" s="823"/>
      <c r="V65" s="823"/>
      <c r="W65" s="823"/>
    </row>
    <row r="66" spans="1:26" x14ac:dyDescent="0.25">
      <c r="A66" s="65" t="s">
        <v>1647</v>
      </c>
      <c r="B66" s="52">
        <v>0.19</v>
      </c>
      <c r="C66" s="66"/>
      <c r="D66" s="66"/>
      <c r="E66" s="66"/>
      <c r="F66" s="68"/>
      <c r="H66" s="823"/>
      <c r="I66" s="823"/>
      <c r="J66" s="823"/>
      <c r="K66" s="823"/>
      <c r="L66" s="823"/>
      <c r="M66" s="823"/>
      <c r="N66" s="823"/>
      <c r="O66" s="823"/>
      <c r="P66" s="823"/>
      <c r="Q66" s="823"/>
      <c r="R66" s="823"/>
      <c r="S66" s="823"/>
      <c r="T66" s="823"/>
      <c r="U66" s="823"/>
      <c r="V66" s="823"/>
      <c r="W66" s="823"/>
    </row>
    <row r="67" spans="1:26" x14ac:dyDescent="0.25">
      <c r="A67" s="65"/>
      <c r="B67" s="152" t="s">
        <v>233</v>
      </c>
      <c r="C67" s="152" t="s">
        <v>1509</v>
      </c>
      <c r="D67" s="152" t="s">
        <v>1521</v>
      </c>
      <c r="E67" s="152" t="s">
        <v>1842</v>
      </c>
      <c r="F67" s="68"/>
      <c r="H67" s="823"/>
      <c r="I67" s="823"/>
      <c r="J67" s="823"/>
      <c r="K67" s="823"/>
      <c r="L67" s="823"/>
      <c r="M67" s="823"/>
      <c r="N67" s="823"/>
      <c r="O67" s="823"/>
      <c r="P67" s="823"/>
      <c r="Q67" s="823"/>
      <c r="R67" s="823"/>
      <c r="S67" s="823"/>
      <c r="T67" s="823"/>
      <c r="U67" s="823"/>
      <c r="V67" s="823"/>
      <c r="W67" s="823"/>
    </row>
    <row r="68" spans="1:26" x14ac:dyDescent="0.25">
      <c r="A68" s="65" t="s">
        <v>1526</v>
      </c>
      <c r="B68" s="70"/>
      <c r="C68" s="70"/>
      <c r="D68" s="684">
        <f t="shared" ref="D68:D74" si="0">B68-C68</f>
        <v>0</v>
      </c>
      <c r="E68" s="85">
        <f t="shared" ref="E68:E74" si="1">D68*$B$66</f>
        <v>0</v>
      </c>
      <c r="F68" s="68"/>
    </row>
    <row r="69" spans="1:26" x14ac:dyDescent="0.25">
      <c r="A69" s="65" t="s">
        <v>1517</v>
      </c>
      <c r="B69" s="70"/>
      <c r="C69" s="70"/>
      <c r="D69" s="684">
        <f t="shared" si="0"/>
        <v>0</v>
      </c>
      <c r="E69" s="85">
        <f t="shared" si="1"/>
        <v>0</v>
      </c>
      <c r="F69" s="68"/>
    </row>
    <row r="70" spans="1:26" x14ac:dyDescent="0.25">
      <c r="A70" s="65" t="s">
        <v>1518</v>
      </c>
      <c r="B70" s="70"/>
      <c r="C70" s="70"/>
      <c r="D70" s="684">
        <f t="shared" si="0"/>
        <v>0</v>
      </c>
      <c r="E70" s="85">
        <f t="shared" si="1"/>
        <v>0</v>
      </c>
      <c r="F70" s="68"/>
      <c r="G70" s="422"/>
    </row>
    <row r="71" spans="1:26" x14ac:dyDescent="0.25">
      <c r="A71" s="65" t="s">
        <v>1519</v>
      </c>
      <c r="B71" s="70"/>
      <c r="C71" s="70"/>
      <c r="D71" s="684">
        <f>B71-C71</f>
        <v>0</v>
      </c>
      <c r="E71" s="85">
        <f t="shared" si="1"/>
        <v>0</v>
      </c>
      <c r="F71" s="68"/>
      <c r="H71" s="422" t="s">
        <v>1844</v>
      </c>
    </row>
    <row r="72" spans="1:26" x14ac:dyDescent="0.25">
      <c r="A72" s="65" t="s">
        <v>1520</v>
      </c>
      <c r="B72" s="70"/>
      <c r="C72" s="70"/>
      <c r="D72" s="684">
        <f>B72-C72</f>
        <v>0</v>
      </c>
      <c r="E72" s="85">
        <f t="shared" si="1"/>
        <v>0</v>
      </c>
      <c r="F72" s="68"/>
      <c r="H72" s="422" t="s">
        <v>1673</v>
      </c>
    </row>
    <row r="73" spans="1:26" x14ac:dyDescent="0.25">
      <c r="A73" s="65" t="s">
        <v>1136</v>
      </c>
      <c r="B73" s="70"/>
      <c r="C73" s="70"/>
      <c r="D73" s="684">
        <f t="shared" si="0"/>
        <v>0</v>
      </c>
      <c r="E73" s="85">
        <f t="shared" si="1"/>
        <v>0</v>
      </c>
      <c r="F73" s="68"/>
      <c r="H73" s="422" t="s">
        <v>1843</v>
      </c>
    </row>
    <row r="74" spans="1:26" ht="14.45" customHeight="1" x14ac:dyDescent="0.25">
      <c r="A74" s="65" t="s">
        <v>1154</v>
      </c>
      <c r="B74" s="70"/>
      <c r="C74" s="70"/>
      <c r="D74" s="684">
        <f t="shared" si="0"/>
        <v>0</v>
      </c>
      <c r="E74" s="85">
        <f t="shared" si="1"/>
        <v>0</v>
      </c>
      <c r="F74" s="68"/>
      <c r="H74" s="823" t="str">
        <f>"Tax losses can also be recognised to the extent of the existence of taxable temporary differences. From above, £"&amp;SUMIF(D68:D77,"&gt;0")+SUMIF(D68:D73,"&lt;0")&amp;" of taxable losses would be covered by such differences. This would leave … of losses, creating a potential DTA."</f>
        <v>Tax losses can also be recognised to the extent of the existence of taxable temporary differences. From above, £0 of taxable losses would be covered by such differences. This would leave … of losses, creating a potential DTA.</v>
      </c>
      <c r="I74" s="823"/>
      <c r="J74" s="823"/>
      <c r="K74" s="823"/>
      <c r="L74" s="823"/>
      <c r="M74" s="823"/>
      <c r="N74" s="823"/>
      <c r="O74" s="823"/>
      <c r="P74" s="823"/>
      <c r="Q74" s="823"/>
      <c r="R74" s="823"/>
      <c r="S74" s="823"/>
      <c r="T74" s="823"/>
      <c r="U74" s="823"/>
      <c r="V74" s="823"/>
      <c r="W74" s="823"/>
    </row>
    <row r="75" spans="1:26" x14ac:dyDescent="0.25">
      <c r="A75" s="65"/>
      <c r="B75" s="66"/>
      <c r="C75" s="66"/>
      <c r="D75" s="684"/>
      <c r="E75" s="266">
        <f>SUM(E68:E74)</f>
        <v>0</v>
      </c>
      <c r="F75" s="68"/>
      <c r="H75" s="823"/>
      <c r="I75" s="823"/>
      <c r="J75" s="823"/>
      <c r="K75" s="823"/>
      <c r="L75" s="823"/>
      <c r="M75" s="823"/>
      <c r="N75" s="823"/>
      <c r="O75" s="823"/>
      <c r="P75" s="823"/>
      <c r="Q75" s="823"/>
      <c r="R75" s="823"/>
      <c r="S75" s="823"/>
      <c r="T75" s="823"/>
      <c r="U75" s="823"/>
      <c r="V75" s="823"/>
      <c r="W75" s="823"/>
    </row>
    <row r="76" spans="1:26" x14ac:dyDescent="0.25">
      <c r="A76" s="65"/>
      <c r="B76" s="66"/>
      <c r="C76" s="66"/>
      <c r="D76" s="66"/>
      <c r="E76" s="66"/>
      <c r="F76" s="68"/>
      <c r="H76" s="823"/>
      <c r="I76" s="823"/>
      <c r="J76" s="823"/>
      <c r="K76" s="823"/>
      <c r="L76" s="823"/>
      <c r="M76" s="823"/>
      <c r="N76" s="823"/>
      <c r="O76" s="823"/>
      <c r="P76" s="823"/>
      <c r="Q76" s="823"/>
      <c r="R76" s="823"/>
      <c r="S76" s="823"/>
      <c r="T76" s="823"/>
      <c r="U76" s="823"/>
      <c r="V76" s="823"/>
      <c r="W76" s="823"/>
      <c r="Y76" s="422" t="s">
        <v>1671</v>
      </c>
    </row>
    <row r="77" spans="1:26" x14ac:dyDescent="0.25">
      <c r="A77" s="65" t="s">
        <v>1736</v>
      </c>
      <c r="B77" s="70"/>
      <c r="C77" s="70">
        <v>0</v>
      </c>
      <c r="D77" s="684">
        <f>B77-C77</f>
        <v>0</v>
      </c>
      <c r="E77" s="685">
        <f>D77*$B$66</f>
        <v>0</v>
      </c>
      <c r="F77" s="68"/>
      <c r="H77" s="824" t="s">
        <v>1846</v>
      </c>
      <c r="I77" s="824"/>
      <c r="J77" s="824"/>
      <c r="K77" s="824"/>
      <c r="L77" s="824"/>
      <c r="M77" s="824"/>
      <c r="N77" s="824"/>
      <c r="O77" s="824"/>
      <c r="P77" s="824"/>
      <c r="Q77" s="824"/>
      <c r="R77" s="824"/>
      <c r="S77" s="824"/>
      <c r="T77" s="824"/>
      <c r="U77" s="824"/>
      <c r="V77" s="824"/>
      <c r="W77" s="824"/>
      <c r="Z77" s="499" t="s">
        <v>1523</v>
      </c>
    </row>
    <row r="78" spans="1:26" x14ac:dyDescent="0.25">
      <c r="A78" s="65"/>
      <c r="B78" s="66"/>
      <c r="C78" s="66"/>
      <c r="D78" s="66"/>
      <c r="E78" s="66"/>
      <c r="F78" s="68"/>
      <c r="H78" s="824"/>
      <c r="I78" s="824"/>
      <c r="J78" s="824"/>
      <c r="K78" s="824"/>
      <c r="L78" s="824"/>
      <c r="M78" s="824"/>
      <c r="N78" s="824"/>
      <c r="O78" s="824"/>
      <c r="P78" s="824"/>
      <c r="Q78" s="824"/>
      <c r="R78" s="824"/>
      <c r="S78" s="824"/>
      <c r="T78" s="824"/>
      <c r="U78" s="824"/>
      <c r="V78" s="824"/>
      <c r="W78" s="824"/>
      <c r="Z78" s="422" t="s">
        <v>1524</v>
      </c>
    </row>
    <row r="79" spans="1:26" x14ac:dyDescent="0.25">
      <c r="A79" s="65" t="s">
        <v>1648</v>
      </c>
      <c r="B79" s="66"/>
      <c r="C79" s="49"/>
      <c r="D79" s="66"/>
      <c r="E79" s="66"/>
      <c r="F79" s="68"/>
      <c r="H79" s="824"/>
      <c r="I79" s="824"/>
      <c r="J79" s="824"/>
      <c r="K79" s="824"/>
      <c r="L79" s="824"/>
      <c r="M79" s="824"/>
      <c r="N79" s="824"/>
      <c r="O79" s="824"/>
      <c r="P79" s="824"/>
      <c r="Q79" s="824"/>
      <c r="R79" s="824"/>
      <c r="S79" s="824"/>
      <c r="T79" s="824"/>
      <c r="U79" s="824"/>
      <c r="V79" s="824"/>
      <c r="W79" s="824"/>
      <c r="Z79" s="422" t="s">
        <v>1525</v>
      </c>
    </row>
    <row r="80" spans="1:26" x14ac:dyDescent="0.25">
      <c r="A80" s="65" t="s">
        <v>1737</v>
      </c>
      <c r="B80" s="66"/>
      <c r="C80" s="741">
        <f>E77-C79</f>
        <v>0</v>
      </c>
      <c r="D80" s="66"/>
      <c r="E80" s="66"/>
      <c r="F80" s="68"/>
      <c r="Z80" s="422" t="s">
        <v>1672</v>
      </c>
    </row>
    <row r="81" spans="1:10" x14ac:dyDescent="0.25">
      <c r="A81" s="65"/>
      <c r="B81" s="66"/>
      <c r="C81" s="66"/>
      <c r="D81" s="66"/>
      <c r="E81" s="66"/>
      <c r="F81" s="68"/>
    </row>
    <row r="82" spans="1:10" x14ac:dyDescent="0.25">
      <c r="A82" s="65" t="s">
        <v>1522</v>
      </c>
      <c r="B82" s="66"/>
      <c r="C82" s="111">
        <f>E77+E75</f>
        <v>0</v>
      </c>
      <c r="D82" s="66"/>
      <c r="E82" s="66"/>
      <c r="F82" s="68"/>
    </row>
    <row r="83" spans="1:10" x14ac:dyDescent="0.25">
      <c r="A83" s="65" t="s">
        <v>1527</v>
      </c>
      <c r="B83" s="66"/>
      <c r="C83" s="70">
        <v>0</v>
      </c>
      <c r="D83" s="66"/>
      <c r="E83" s="66"/>
      <c r="F83" s="68"/>
    </row>
    <row r="84" spans="1:10" x14ac:dyDescent="0.25">
      <c r="A84" s="65"/>
      <c r="B84" s="66"/>
      <c r="C84" s="66"/>
      <c r="D84" s="66"/>
      <c r="E84" s="66"/>
      <c r="F84" s="68"/>
    </row>
    <row r="85" spans="1:10" x14ac:dyDescent="0.25">
      <c r="A85" s="65" t="s">
        <v>1516</v>
      </c>
      <c r="B85" s="66"/>
      <c r="C85" s="85">
        <f>C82-C83</f>
        <v>0</v>
      </c>
      <c r="D85" s="66"/>
      <c r="E85" s="66"/>
      <c r="F85" s="68"/>
      <c r="H85" s="422" t="s">
        <v>1738</v>
      </c>
    </row>
    <row r="86" spans="1:10" x14ac:dyDescent="0.25">
      <c r="A86" s="65"/>
      <c r="B86" s="66"/>
      <c r="C86" s="66"/>
      <c r="D86" s="66"/>
      <c r="E86" s="66"/>
      <c r="F86" s="68"/>
      <c r="J86" s="422"/>
    </row>
    <row r="87" spans="1:10" x14ac:dyDescent="0.25">
      <c r="A87" s="65"/>
      <c r="B87" s="66"/>
      <c r="C87" s="66"/>
      <c r="D87" s="66"/>
      <c r="E87" s="66"/>
      <c r="F87" s="68"/>
      <c r="H87" s="422"/>
    </row>
    <row r="88" spans="1:10" x14ac:dyDescent="0.25">
      <c r="A88" s="48" t="str">
        <f>IF(C85&lt;0,"DR DTL/DTA","CR DTL/DTA")</f>
        <v>CR DTL/DTA</v>
      </c>
      <c r="B88" s="66">
        <f>IF(C85&lt;0,-C85,0)</f>
        <v>0</v>
      </c>
      <c r="C88" s="17">
        <f>IF(C85&gt;0,C85,0)</f>
        <v>0</v>
      </c>
      <c r="D88" s="66"/>
      <c r="E88" s="66"/>
      <c r="F88" s="68"/>
      <c r="H88" s="422"/>
    </row>
    <row r="89" spans="1:10" x14ac:dyDescent="0.25">
      <c r="A89" s="48" t="str">
        <f>IF((E77-C79)&lt;0,"CR Revaluation surplus","DR Revaluation surplus")</f>
        <v>DR Revaluation surplus</v>
      </c>
      <c r="B89" s="17">
        <f>IF((E77-C79)&lt;0,0,E77-C79)</f>
        <v>0</v>
      </c>
      <c r="C89" s="66">
        <f>IF((E77-C79)&gt;0,0,-(E77-C79))</f>
        <v>0</v>
      </c>
      <c r="D89" s="66"/>
      <c r="E89" s="66"/>
      <c r="F89" s="68"/>
      <c r="H89" s="422"/>
    </row>
    <row r="90" spans="1:10" x14ac:dyDescent="0.25">
      <c r="A90" s="48" t="s">
        <v>1841</v>
      </c>
      <c r="B90" s="104">
        <f>IF(C85&gt;0,C88+C89-B89-B88,0)</f>
        <v>0</v>
      </c>
      <c r="C90" s="104">
        <f>IF(C85&lt;0,B88+B89-C88-C89,0)</f>
        <v>0</v>
      </c>
      <c r="D90" s="66"/>
      <c r="E90" s="66"/>
      <c r="F90" s="68"/>
      <c r="H90" s="422" t="s">
        <v>1739</v>
      </c>
    </row>
    <row r="91" spans="1:10" ht="15.75" thickBot="1" x14ac:dyDescent="0.3">
      <c r="A91" s="72"/>
      <c r="B91" s="73"/>
      <c r="C91" s="73"/>
      <c r="D91" s="73"/>
      <c r="E91" s="73"/>
      <c r="F91" s="82"/>
    </row>
  </sheetData>
  <mergeCells count="4">
    <mergeCell ref="H61:W64"/>
    <mergeCell ref="H65:W67"/>
    <mergeCell ref="H77:W79"/>
    <mergeCell ref="H74:W76"/>
  </mergeCells>
  <phoneticPr fontId="3" type="noConversion"/>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B0A670-308F-4A6D-B9F1-BE906F2B9C41}">
  <dimension ref="B1:N54"/>
  <sheetViews>
    <sheetView zoomScale="85" zoomScaleNormal="85" workbookViewId="0">
      <selection activeCell="I18" sqref="I18"/>
    </sheetView>
  </sheetViews>
  <sheetFormatPr defaultRowHeight="15" x14ac:dyDescent="0.25"/>
  <cols>
    <col min="1" max="1" width="4" customWidth="1"/>
    <col min="2" max="2" width="23.85546875" customWidth="1"/>
    <col min="3" max="3" width="15.42578125" customWidth="1"/>
    <col min="4" max="4" width="14.140625" customWidth="1"/>
    <col min="5" max="5" width="12" customWidth="1"/>
    <col min="6" max="6" width="13" customWidth="1"/>
    <col min="7" max="7" width="20.42578125" customWidth="1"/>
    <col min="8" max="8" width="22.5703125" customWidth="1"/>
    <col min="9" max="9" width="20.140625" customWidth="1"/>
    <col min="10" max="10" width="22.85546875" customWidth="1"/>
    <col min="11" max="11" width="21.42578125" bestFit="1" customWidth="1"/>
    <col min="12" max="12" width="26.140625" customWidth="1"/>
    <col min="13" max="13" width="40.140625" bestFit="1" customWidth="1"/>
    <col min="14" max="14" width="35.140625" bestFit="1" customWidth="1"/>
  </cols>
  <sheetData>
    <row r="1" spans="2:14" x14ac:dyDescent="0.25">
      <c r="F1" s="422" t="s">
        <v>904</v>
      </c>
    </row>
    <row r="2" spans="2:14" x14ac:dyDescent="0.25">
      <c r="B2" s="1" t="s">
        <v>444</v>
      </c>
      <c r="C2" s="16" t="s">
        <v>445</v>
      </c>
      <c r="D2" s="16" t="s">
        <v>446</v>
      </c>
      <c r="E2" s="16" t="s">
        <v>449</v>
      </c>
      <c r="F2" s="16" t="s">
        <v>450</v>
      </c>
      <c r="G2" s="16" t="s">
        <v>447</v>
      </c>
      <c r="H2" s="16" t="s">
        <v>461</v>
      </c>
      <c r="I2" s="16" t="s">
        <v>468</v>
      </c>
      <c r="J2" s="16" t="s">
        <v>448</v>
      </c>
      <c r="L2" s="182" t="s">
        <v>453</v>
      </c>
      <c r="M2" s="16" t="s">
        <v>475</v>
      </c>
      <c r="N2" s="16" t="s">
        <v>477</v>
      </c>
    </row>
    <row r="3" spans="2:14" x14ac:dyDescent="0.25">
      <c r="C3" s="15" t="s">
        <v>141</v>
      </c>
      <c r="D3" s="15" t="s">
        <v>141</v>
      </c>
      <c r="E3" s="15" t="s">
        <v>141</v>
      </c>
      <c r="F3" s="15" t="s">
        <v>141</v>
      </c>
      <c r="G3" s="15" t="s">
        <v>141</v>
      </c>
      <c r="H3" s="15" t="s">
        <v>141</v>
      </c>
      <c r="I3" s="15" t="s">
        <v>141</v>
      </c>
      <c r="J3" s="15" t="s">
        <v>141</v>
      </c>
      <c r="L3" s="15" t="s">
        <v>141</v>
      </c>
      <c r="M3" s="15" t="s">
        <v>141</v>
      </c>
      <c r="N3" s="15" t="s">
        <v>141</v>
      </c>
    </row>
    <row r="4" spans="2:14" x14ac:dyDescent="0.25">
      <c r="B4" s="787" t="s">
        <v>1983</v>
      </c>
      <c r="C4" s="789">
        <v>240</v>
      </c>
      <c r="D4" s="789">
        <v>65</v>
      </c>
      <c r="E4" s="789">
        <v>6</v>
      </c>
      <c r="F4" s="789"/>
      <c r="G4" s="14"/>
      <c r="H4" s="14"/>
      <c r="I4" s="788">
        <v>21.571428571428573</v>
      </c>
      <c r="J4" s="12">
        <f>SUM(C4:I4)</f>
        <v>332.57142857142856</v>
      </c>
      <c r="K4" s="422" t="s">
        <v>457</v>
      </c>
      <c r="L4" s="3"/>
      <c r="M4" s="789">
        <v>67</v>
      </c>
      <c r="N4" s="14">
        <v>2047</v>
      </c>
    </row>
    <row r="5" spans="2:14" x14ac:dyDescent="0.25">
      <c r="B5" s="787" t="s">
        <v>1984</v>
      </c>
      <c r="C5" s="789">
        <v>150</v>
      </c>
      <c r="D5" s="789">
        <v>60</v>
      </c>
      <c r="E5" s="789">
        <v>5</v>
      </c>
      <c r="F5" s="789"/>
      <c r="G5" s="14"/>
      <c r="H5" s="14"/>
      <c r="I5" s="788">
        <v>21.571428571428573</v>
      </c>
      <c r="J5" s="12">
        <f>SUM(C5:I5)</f>
        <v>236.57142857142858</v>
      </c>
      <c r="K5" s="422"/>
      <c r="L5" s="3"/>
      <c r="M5" s="789">
        <v>48</v>
      </c>
      <c r="N5" s="3"/>
    </row>
    <row r="6" spans="2:14" x14ac:dyDescent="0.25">
      <c r="B6" s="787" t="s">
        <v>1985</v>
      </c>
      <c r="C6" s="789">
        <v>150</v>
      </c>
      <c r="D6" s="789">
        <v>60</v>
      </c>
      <c r="E6" s="789">
        <v>6</v>
      </c>
      <c r="F6" s="789"/>
      <c r="G6" s="14"/>
      <c r="H6" s="14"/>
      <c r="I6" s="788">
        <v>21.571428571428573</v>
      </c>
      <c r="J6" s="12">
        <f>SUM(C6:I6)</f>
        <v>237.57142857142858</v>
      </c>
      <c r="K6" s="422"/>
      <c r="L6" s="27"/>
      <c r="M6" s="789">
        <v>48</v>
      </c>
      <c r="N6" s="3"/>
    </row>
    <row r="7" spans="2:14" x14ac:dyDescent="0.25">
      <c r="B7" s="787" t="s">
        <v>1986</v>
      </c>
      <c r="C7" s="789">
        <v>150</v>
      </c>
      <c r="D7" s="789">
        <v>40</v>
      </c>
      <c r="E7" s="789">
        <v>2</v>
      </c>
      <c r="F7" s="789"/>
      <c r="G7" s="14"/>
      <c r="H7" s="14"/>
      <c r="I7" s="788">
        <v>21.571428571428573</v>
      </c>
      <c r="J7" s="12">
        <f t="shared" ref="J7:J8" si="0">SUM(C7:I7)</f>
        <v>213.57142857142858</v>
      </c>
      <c r="K7" s="422"/>
      <c r="L7" s="27"/>
      <c r="M7" s="789">
        <v>48</v>
      </c>
      <c r="N7" s="3"/>
    </row>
    <row r="8" spans="2:14" x14ac:dyDescent="0.25">
      <c r="B8" s="787" t="s">
        <v>1987</v>
      </c>
      <c r="C8" s="789">
        <v>120</v>
      </c>
      <c r="D8" s="789">
        <v>60</v>
      </c>
      <c r="E8" s="789">
        <v>4</v>
      </c>
      <c r="F8" s="789"/>
      <c r="G8" s="789">
        <v>25</v>
      </c>
      <c r="H8" s="14"/>
      <c r="I8" s="788">
        <v>21.571428571428573</v>
      </c>
      <c r="J8" s="12">
        <f t="shared" si="0"/>
        <v>230.57142857142858</v>
      </c>
      <c r="K8" s="422"/>
      <c r="L8" s="27"/>
      <c r="M8" s="789">
        <v>36</v>
      </c>
      <c r="N8" s="3"/>
    </row>
    <row r="9" spans="2:14" x14ac:dyDescent="0.25">
      <c r="B9" s="787" t="s">
        <v>1988</v>
      </c>
      <c r="C9" s="789">
        <v>120</v>
      </c>
      <c r="D9" s="789">
        <v>40</v>
      </c>
      <c r="E9" s="789">
        <v>2</v>
      </c>
      <c r="F9" s="789"/>
      <c r="G9" s="789">
        <v>15</v>
      </c>
      <c r="H9" s="14"/>
      <c r="I9" s="788">
        <v>21.571428571428573</v>
      </c>
      <c r="J9" s="12">
        <f>SUM(C9:I9)</f>
        <v>198.57142857142858</v>
      </c>
      <c r="K9" s="422"/>
      <c r="L9" s="3"/>
      <c r="M9" s="789">
        <v>36</v>
      </c>
      <c r="N9" s="3"/>
    </row>
    <row r="10" spans="2:14" x14ac:dyDescent="0.25">
      <c r="B10" s="787" t="s">
        <v>1989</v>
      </c>
      <c r="C10" s="789">
        <v>80</v>
      </c>
      <c r="D10" s="789">
        <v>0</v>
      </c>
      <c r="E10" s="789">
        <v>1</v>
      </c>
      <c r="F10" s="789"/>
      <c r="G10" s="14"/>
      <c r="H10" s="14"/>
      <c r="I10" s="788">
        <v>21.571428571428573</v>
      </c>
      <c r="J10" s="12">
        <f>SUM(C10:I10)</f>
        <v>102.57142857142857</v>
      </c>
      <c r="K10" s="422"/>
      <c r="L10" s="3"/>
      <c r="M10" s="789">
        <v>22</v>
      </c>
      <c r="N10" s="3"/>
    </row>
    <row r="11" spans="2:14" x14ac:dyDescent="0.25">
      <c r="C11" s="11">
        <f t="shared" ref="C11:I11" si="1">SUM(C4:C10)</f>
        <v>1010</v>
      </c>
      <c r="D11" s="11">
        <f t="shared" si="1"/>
        <v>325</v>
      </c>
      <c r="E11" s="11">
        <f t="shared" si="1"/>
        <v>26</v>
      </c>
      <c r="F11" s="11">
        <f t="shared" si="1"/>
        <v>0</v>
      </c>
      <c r="G11" s="11">
        <f t="shared" si="1"/>
        <v>40</v>
      </c>
      <c r="H11" s="11">
        <f>SUM(H4:H10)</f>
        <v>0</v>
      </c>
      <c r="I11" s="11">
        <f t="shared" si="1"/>
        <v>151.00000000000003</v>
      </c>
      <c r="J11" s="12">
        <f>SUM(J4:J10)</f>
        <v>1552.0000000000002</v>
      </c>
      <c r="L11" s="11">
        <f>SUM(L4:L9)</f>
        <v>0</v>
      </c>
      <c r="M11" s="11">
        <f>SUM(M4:M10)</f>
        <v>305</v>
      </c>
      <c r="N11" s="11">
        <f>SUM(N4:N9)</f>
        <v>2047</v>
      </c>
    </row>
    <row r="13" spans="2:14" ht="15.75" thickBot="1" x14ac:dyDescent="0.3">
      <c r="M13" s="422" t="s">
        <v>1860</v>
      </c>
    </row>
    <row r="14" spans="2:14" x14ac:dyDescent="0.25">
      <c r="B14" s="62" t="s">
        <v>474</v>
      </c>
      <c r="C14" s="63"/>
      <c r="D14" s="64"/>
      <c r="G14" s="197"/>
    </row>
    <row r="15" spans="2:14" x14ac:dyDescent="0.25">
      <c r="B15" s="80" t="s">
        <v>466</v>
      </c>
      <c r="C15" s="66"/>
      <c r="D15" s="68"/>
    </row>
    <row r="16" spans="2:14" x14ac:dyDescent="0.25">
      <c r="B16" s="65" t="s">
        <v>445</v>
      </c>
      <c r="C16" s="66"/>
      <c r="D16" s="71">
        <f>C11</f>
        <v>1010</v>
      </c>
    </row>
    <row r="17" spans="2:12" x14ac:dyDescent="0.25">
      <c r="B17" s="65" t="s">
        <v>446</v>
      </c>
      <c r="C17" s="66"/>
      <c r="D17" s="71">
        <f>D11</f>
        <v>325</v>
      </c>
    </row>
    <row r="18" spans="2:12" ht="15.75" thickBot="1" x14ac:dyDescent="0.3">
      <c r="B18" s="65" t="s">
        <v>454</v>
      </c>
      <c r="C18" s="66"/>
      <c r="D18" s="71">
        <f>E11</f>
        <v>26</v>
      </c>
    </row>
    <row r="19" spans="2:12" x14ac:dyDescent="0.25">
      <c r="B19" s="65" t="s">
        <v>450</v>
      </c>
      <c r="C19" s="66"/>
      <c r="D19" s="71">
        <f>F11</f>
        <v>0</v>
      </c>
      <c r="F19" s="62" t="s">
        <v>470</v>
      </c>
      <c r="G19" s="63"/>
      <c r="H19" s="63"/>
      <c r="I19" s="63"/>
      <c r="J19" s="64"/>
      <c r="L19" s="499" t="s">
        <v>1859</v>
      </c>
    </row>
    <row r="20" spans="2:12" x14ac:dyDescent="0.25">
      <c r="B20" s="48" t="s">
        <v>452</v>
      </c>
      <c r="C20" s="66"/>
      <c r="D20" s="71">
        <f>+G11</f>
        <v>40</v>
      </c>
      <c r="F20" s="65"/>
      <c r="G20" s="66"/>
      <c r="H20" s="66"/>
      <c r="I20" s="66"/>
      <c r="J20" s="68"/>
    </row>
    <row r="21" spans="2:12" ht="15.75" thickBot="1" x14ac:dyDescent="0.3">
      <c r="B21" s="65"/>
      <c r="C21" s="66"/>
      <c r="D21" s="184">
        <f>SUM(D16:D20)</f>
        <v>1401</v>
      </c>
      <c r="F21" s="65"/>
      <c r="G21" s="17">
        <f>D21+H11+I11</f>
        <v>1552</v>
      </c>
      <c r="H21" s="66" t="s">
        <v>471</v>
      </c>
      <c r="I21" s="66"/>
      <c r="J21" s="68"/>
    </row>
    <row r="22" spans="2:12" ht="16.5" thickTop="1" thickBot="1" x14ac:dyDescent="0.3">
      <c r="B22" s="65"/>
      <c r="C22" s="66"/>
      <c r="D22" s="68"/>
      <c r="F22" s="72"/>
      <c r="G22" s="73"/>
      <c r="H22" s="73"/>
      <c r="I22" s="73"/>
      <c r="J22" s="82"/>
    </row>
    <row r="23" spans="2:12" ht="15.75" thickBot="1" x14ac:dyDescent="0.3">
      <c r="B23" s="80" t="s">
        <v>456</v>
      </c>
      <c r="C23" s="66"/>
      <c r="D23" s="68"/>
    </row>
    <row r="24" spans="2:12" x14ac:dyDescent="0.25">
      <c r="B24" s="65" t="s">
        <v>445</v>
      </c>
      <c r="C24" s="66"/>
      <c r="D24" s="79">
        <f>SUMIF($K$4:$K$10,"Highest paid director",C4:C10)</f>
        <v>240</v>
      </c>
      <c r="F24" s="187" t="s">
        <v>455</v>
      </c>
      <c r="G24" s="63"/>
      <c r="H24" s="63"/>
      <c r="I24" s="63"/>
      <c r="J24" s="64"/>
    </row>
    <row r="25" spans="2:12" x14ac:dyDescent="0.25">
      <c r="B25" s="65" t="s">
        <v>446</v>
      </c>
      <c r="C25" s="66"/>
      <c r="D25" s="79">
        <f>SUMIF($K$4:$K$10,"Highest paid director",D4:D10)</f>
        <v>65</v>
      </c>
      <c r="F25" s="65" t="s">
        <v>472</v>
      </c>
      <c r="G25" s="66"/>
      <c r="H25" s="66"/>
      <c r="I25" s="671" t="str">
        <f>IF(G21&gt;200,"Yes","No")</f>
        <v>Yes</v>
      </c>
      <c r="J25" s="68"/>
    </row>
    <row r="26" spans="2:12" ht="15.75" thickBot="1" x14ac:dyDescent="0.3">
      <c r="B26" s="65" t="s">
        <v>454</v>
      </c>
      <c r="C26" s="66"/>
      <c r="D26" s="79">
        <f>SUMIF($K$4:$K$10,"Highest paid director",E4:E10)</f>
        <v>6</v>
      </c>
      <c r="F26" s="72" t="s">
        <v>434</v>
      </c>
      <c r="G26" s="73"/>
      <c r="H26" s="73"/>
      <c r="I26" s="188" t="str">
        <f>IF(I25="Yes","Disclose Highest Paid Director","Do not disclose highest  paid director")</f>
        <v>Disclose Highest Paid Director</v>
      </c>
      <c r="J26" s="82"/>
    </row>
    <row r="27" spans="2:12" x14ac:dyDescent="0.25">
      <c r="B27" s="65" t="s">
        <v>450</v>
      </c>
      <c r="C27" s="66"/>
      <c r="D27" s="79">
        <f>SUMIF($K$4:$K$10,"Highest paid director",F4:F10)</f>
        <v>0</v>
      </c>
    </row>
    <row r="28" spans="2:12" x14ac:dyDescent="0.25">
      <c r="B28" s="185" t="s">
        <v>467</v>
      </c>
      <c r="C28" s="66"/>
      <c r="D28" s="79">
        <f>SUMIF($K$4:$K$10,"Highest paid director",I4:I10)</f>
        <v>21.571428571428573</v>
      </c>
    </row>
    <row r="29" spans="2:12" x14ac:dyDescent="0.25">
      <c r="B29" s="65" t="s">
        <v>462</v>
      </c>
      <c r="C29" s="66"/>
      <c r="D29" s="79">
        <f>SUMIF($K$4:$K$10,"Highest paid director",H4:H10)</f>
        <v>0</v>
      </c>
    </row>
    <row r="30" spans="2:12" x14ac:dyDescent="0.25">
      <c r="B30" s="48" t="s">
        <v>458</v>
      </c>
      <c r="C30" s="66"/>
      <c r="D30" s="79">
        <f>SUMIF($K$4:$K$10,"Highest paid director",G4:G10)</f>
        <v>0</v>
      </c>
    </row>
    <row r="31" spans="2:12" ht="15.75" thickBot="1" x14ac:dyDescent="0.3">
      <c r="B31" s="179" t="s">
        <v>466</v>
      </c>
      <c r="C31" s="73"/>
      <c r="D31" s="186">
        <f>SUM(D24:D30)</f>
        <v>332.57142857142856</v>
      </c>
    </row>
    <row r="32" spans="2:12" ht="15.75" thickBot="1" x14ac:dyDescent="0.3"/>
    <row r="33" spans="2:6" x14ac:dyDescent="0.25">
      <c r="B33" s="75" t="s">
        <v>459</v>
      </c>
      <c r="C33" s="63"/>
      <c r="D33" s="63"/>
      <c r="E33" s="64"/>
    </row>
    <row r="34" spans="2:6" x14ac:dyDescent="0.25">
      <c r="B34" s="65" t="s">
        <v>469</v>
      </c>
      <c r="C34" s="66"/>
      <c r="D34" s="66"/>
      <c r="E34" s="68"/>
    </row>
    <row r="35" spans="2:6" x14ac:dyDescent="0.25">
      <c r="B35" s="65" t="s">
        <v>451</v>
      </c>
      <c r="C35" s="66"/>
      <c r="D35" s="17">
        <f>D21</f>
        <v>1401</v>
      </c>
      <c r="E35" s="68"/>
    </row>
    <row r="36" spans="2:6" x14ac:dyDescent="0.25">
      <c r="B36" s="65" t="s">
        <v>460</v>
      </c>
      <c r="C36" s="66"/>
      <c r="D36" s="17">
        <f>H11</f>
        <v>0</v>
      </c>
      <c r="E36" s="68"/>
    </row>
    <row r="37" spans="2:6" x14ac:dyDescent="0.25">
      <c r="B37" s="65" t="s">
        <v>463</v>
      </c>
      <c r="C37" s="66"/>
      <c r="D37" s="17">
        <f>M11</f>
        <v>305</v>
      </c>
      <c r="E37" s="68"/>
      <c r="F37" s="422" t="s">
        <v>476</v>
      </c>
    </row>
    <row r="38" spans="2:6" ht="15.75" thickBot="1" x14ac:dyDescent="0.3">
      <c r="B38" s="80" t="s">
        <v>464</v>
      </c>
      <c r="C38" s="66"/>
      <c r="D38" s="94">
        <f>SUM(D35:D37)</f>
        <v>1706</v>
      </c>
      <c r="E38" s="68"/>
    </row>
    <row r="39" spans="2:6" ht="15.75" thickTop="1" x14ac:dyDescent="0.25">
      <c r="B39" s="65"/>
      <c r="C39" s="66"/>
      <c r="D39" s="66"/>
      <c r="E39" s="68"/>
    </row>
    <row r="40" spans="2:6" x14ac:dyDescent="0.25">
      <c r="B40" s="185"/>
      <c r="C40" s="151"/>
      <c r="D40" s="169"/>
      <c r="E40" s="68"/>
    </row>
    <row r="41" spans="2:6" x14ac:dyDescent="0.25">
      <c r="B41" s="65" t="str">
        <f>COUNT(M4:M9)&amp;" directors are members of the defined contribution pension scheme"</f>
        <v>6 directors are members of the defined contribution pension scheme</v>
      </c>
      <c r="C41" s="66"/>
      <c r="D41" s="66"/>
      <c r="E41" s="68"/>
    </row>
    <row r="42" spans="2:6" x14ac:dyDescent="0.25">
      <c r="B42" s="65" t="str">
        <f>COUNT(N4:N10)&amp;" directors are members of the defined benefit pension scheme"</f>
        <v>1 directors are members of the defined benefit pension scheme</v>
      </c>
      <c r="C42" s="66"/>
      <c r="D42" s="66"/>
      <c r="E42" s="68"/>
    </row>
    <row r="43" spans="2:6" x14ac:dyDescent="0.25">
      <c r="B43" s="65"/>
      <c r="C43" s="66"/>
      <c r="D43" s="66"/>
      <c r="E43" s="68"/>
    </row>
    <row r="44" spans="2:6" x14ac:dyDescent="0.25">
      <c r="B44" s="65" t="s">
        <v>465</v>
      </c>
      <c r="C44" s="66"/>
      <c r="D44" s="66"/>
      <c r="E44" s="68"/>
    </row>
    <row r="45" spans="2:6" x14ac:dyDescent="0.25">
      <c r="B45" s="65" t="s">
        <v>466</v>
      </c>
      <c r="C45" s="66"/>
      <c r="D45" s="85">
        <f>D31</f>
        <v>332.57142857142856</v>
      </c>
      <c r="E45" s="68"/>
    </row>
    <row r="46" spans="2:6" x14ac:dyDescent="0.25">
      <c r="B46" s="65" t="s">
        <v>463</v>
      </c>
      <c r="C46" s="66"/>
      <c r="D46" s="85">
        <f>SUMIF(K4:K10,"Highest paid director",M4:M10)</f>
        <v>67</v>
      </c>
      <c r="E46" s="68"/>
    </row>
    <row r="47" spans="2:6" ht="15.75" thickBot="1" x14ac:dyDescent="0.3">
      <c r="B47" s="80" t="s">
        <v>473</v>
      </c>
      <c r="C47" s="66"/>
      <c r="D47" s="94">
        <f>SUM(D45:D46)</f>
        <v>399.57142857142856</v>
      </c>
      <c r="E47" s="68"/>
    </row>
    <row r="48" spans="2:6" ht="15.75" thickTop="1" x14ac:dyDescent="0.25">
      <c r="B48" s="80"/>
      <c r="C48" s="66"/>
      <c r="D48" s="17"/>
      <c r="E48" s="68"/>
    </row>
    <row r="49" spans="2:5" x14ac:dyDescent="0.25">
      <c r="B49" s="48" t="str">
        <f>COUNTIF(H4:H10,"&gt;0")&amp;" of the directors have share options accruing at the year end. The exercies date of these options is xx/xx/xx"</f>
        <v>0 of the directors have share options accruing at the year end. The exercies date of these options is xx/xx/xx</v>
      </c>
      <c r="C49" s="3"/>
      <c r="D49" s="3"/>
      <c r="E49" s="3"/>
    </row>
    <row r="50" spans="2:5" ht="15" customHeight="1" x14ac:dyDescent="0.25">
      <c r="B50" s="793" t="str">
        <f>"Compensation for loss of office of a director amounted to £"&amp;L11&amp;" which consisted of …"</f>
        <v>Compensation for loss of office of a director amounted to £0 which consisted of …</v>
      </c>
      <c r="C50" s="794"/>
      <c r="D50" s="794"/>
      <c r="E50" s="795"/>
    </row>
    <row r="51" spans="2:5" ht="13.5" customHeight="1" x14ac:dyDescent="0.25">
      <c r="B51" s="793"/>
      <c r="C51" s="794"/>
      <c r="D51" s="794"/>
      <c r="E51" s="795"/>
    </row>
    <row r="52" spans="2:5" s="183" customFormat="1" ht="15" customHeight="1" x14ac:dyDescent="0.25">
      <c r="B52" s="790" t="s">
        <v>903</v>
      </c>
      <c r="C52" s="791"/>
      <c r="D52" s="791"/>
      <c r="E52" s="792"/>
    </row>
    <row r="53" spans="2:5" x14ac:dyDescent="0.25">
      <c r="B53" s="48" t="s">
        <v>1861</v>
      </c>
      <c r="C53" s="49"/>
      <c r="D53" s="70"/>
      <c r="E53" s="100">
        <f>SUMIF(K4:K10,"Highest paid director",N4:N10)</f>
        <v>2047</v>
      </c>
    </row>
    <row r="54" spans="2:5" ht="15.75" thickBot="1" x14ac:dyDescent="0.3">
      <c r="B54" s="72"/>
      <c r="C54" s="73"/>
      <c r="D54" s="73"/>
      <c r="E54" s="82"/>
    </row>
  </sheetData>
  <pageMargins left="0.7" right="0.7" top="0.75" bottom="0.75" header="0.3" footer="0.3"/>
  <drawing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8B284B71-996A-4FE3-8251-0F45684C3D17}">
          <x14:formula1>
            <xm:f>Inputs!$B$17</xm:f>
          </x14:formula1>
          <xm:sqref>K4:K10</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48E6E2-8BD7-4F1D-BD50-8195C2FAF1DB}">
  <sheetPr codeName="Sheet23"/>
  <dimension ref="A1:J185"/>
  <sheetViews>
    <sheetView zoomScale="90" zoomScaleNormal="90" zoomScaleSheetLayoutView="50" workbookViewId="0"/>
  </sheetViews>
  <sheetFormatPr defaultRowHeight="15" x14ac:dyDescent="0.25"/>
  <cols>
    <col min="1" max="1" width="7.7109375" style="1" customWidth="1"/>
    <col min="2" max="2" width="59" customWidth="1"/>
    <col min="3" max="3" width="26.28515625" customWidth="1"/>
    <col min="4" max="4" width="25.42578125" customWidth="1"/>
    <col min="5" max="5" width="34.85546875" customWidth="1"/>
    <col min="6" max="7" width="31.140625" customWidth="1"/>
    <col min="8" max="8" width="25.85546875" customWidth="1"/>
    <col min="9" max="9" width="10.5703125" bestFit="1" customWidth="1"/>
    <col min="10" max="10" width="20.42578125" bestFit="1" customWidth="1"/>
    <col min="11" max="12" width="13.140625" bestFit="1" customWidth="1"/>
  </cols>
  <sheetData>
    <row r="1" spans="1:9" ht="15.75" thickBot="1" x14ac:dyDescent="0.3">
      <c r="I1" s="499" t="s">
        <v>1400</v>
      </c>
    </row>
    <row r="2" spans="1:9" ht="15.75" thickBot="1" x14ac:dyDescent="0.3">
      <c r="A2" s="1">
        <v>1</v>
      </c>
      <c r="B2" s="157" t="s">
        <v>357</v>
      </c>
      <c r="C2" s="154"/>
      <c r="D2" s="154"/>
      <c r="E2" s="155"/>
      <c r="I2" s="422" t="s">
        <v>1910</v>
      </c>
    </row>
    <row r="3" spans="1:9" ht="15" customHeight="1" x14ac:dyDescent="0.25">
      <c r="B3" s="835" t="s">
        <v>605</v>
      </c>
      <c r="C3" s="836"/>
      <c r="D3" s="836"/>
      <c r="E3" s="837"/>
      <c r="I3" s="422" t="s">
        <v>1911</v>
      </c>
    </row>
    <row r="4" spans="1:9" ht="24.75" customHeight="1" x14ac:dyDescent="0.25">
      <c r="B4" s="838" t="s">
        <v>1921</v>
      </c>
      <c r="C4" s="839"/>
      <c r="D4" s="839"/>
      <c r="E4" s="840"/>
      <c r="I4" s="499" t="s">
        <v>1404</v>
      </c>
    </row>
    <row r="5" spans="1:9" ht="22.5" customHeight="1" x14ac:dyDescent="0.25">
      <c r="B5" s="841" t="s">
        <v>401</v>
      </c>
      <c r="C5" s="842"/>
      <c r="D5" s="842"/>
      <c r="E5" s="843"/>
      <c r="I5" s="422" t="s">
        <v>1913</v>
      </c>
    </row>
    <row r="6" spans="1:9" ht="25.5" customHeight="1" x14ac:dyDescent="0.25">
      <c r="B6" s="838" t="s">
        <v>1919</v>
      </c>
      <c r="C6" s="839"/>
      <c r="D6" s="839"/>
      <c r="E6" s="840"/>
      <c r="I6" s="422" t="s">
        <v>1402</v>
      </c>
    </row>
    <row r="7" spans="1:9" x14ac:dyDescent="0.25">
      <c r="B7" s="850" t="s">
        <v>402</v>
      </c>
      <c r="C7" s="851"/>
      <c r="D7" s="851"/>
      <c r="E7" s="852"/>
      <c r="I7" s="422" t="s">
        <v>1403</v>
      </c>
    </row>
    <row r="8" spans="1:9" ht="35.25" customHeight="1" x14ac:dyDescent="0.25">
      <c r="B8" s="844" t="s">
        <v>1920</v>
      </c>
      <c r="C8" s="845"/>
      <c r="D8" s="845"/>
      <c r="E8" s="846"/>
    </row>
    <row r="9" spans="1:9" x14ac:dyDescent="0.25">
      <c r="B9" s="850" t="s">
        <v>403</v>
      </c>
      <c r="C9" s="851"/>
      <c r="D9" s="851"/>
      <c r="E9" s="852"/>
      <c r="F9" s="847" t="s">
        <v>1908</v>
      </c>
      <c r="G9" s="824"/>
      <c r="H9" s="824"/>
    </row>
    <row r="10" spans="1:9" ht="29.25" customHeight="1" x14ac:dyDescent="0.25">
      <c r="B10" s="844" t="s">
        <v>1917</v>
      </c>
      <c r="C10" s="845"/>
      <c r="D10" s="845"/>
      <c r="E10" s="846"/>
      <c r="F10" s="847"/>
      <c r="G10" s="824"/>
      <c r="H10" s="824"/>
    </row>
    <row r="11" spans="1:9" x14ac:dyDescent="0.25">
      <c r="B11" s="850" t="s">
        <v>404</v>
      </c>
      <c r="C11" s="851"/>
      <c r="D11" s="851"/>
      <c r="E11" s="852"/>
      <c r="F11" s="848" t="s">
        <v>1909</v>
      </c>
      <c r="G11" s="849"/>
      <c r="H11" s="849"/>
    </row>
    <row r="12" spans="1:9" ht="36" customHeight="1" thickBot="1" x14ac:dyDescent="0.3">
      <c r="B12" s="859" t="s">
        <v>1918</v>
      </c>
      <c r="C12" s="860"/>
      <c r="D12" s="860"/>
      <c r="E12" s="861"/>
      <c r="F12" s="848"/>
      <c r="G12" s="849"/>
      <c r="H12" s="849"/>
    </row>
    <row r="13" spans="1:9" x14ac:dyDescent="0.25">
      <c r="B13" s="768" t="s">
        <v>1916</v>
      </c>
      <c r="C13" s="164"/>
      <c r="D13" s="164"/>
      <c r="E13" s="164"/>
    </row>
    <row r="14" spans="1:9" ht="15.75" thickBot="1" x14ac:dyDescent="0.3"/>
    <row r="15" spans="1:9" ht="15.75" thickBot="1" x14ac:dyDescent="0.3">
      <c r="A15" s="1">
        <v>2</v>
      </c>
      <c r="B15" s="157" t="s">
        <v>336</v>
      </c>
      <c r="C15" s="154"/>
      <c r="D15" s="154"/>
      <c r="E15" s="155"/>
      <c r="F15" t="s">
        <v>337</v>
      </c>
    </row>
    <row r="16" spans="1:9" x14ac:dyDescent="0.25">
      <c r="B16" s="853" t="s">
        <v>1783</v>
      </c>
      <c r="C16" s="854"/>
      <c r="D16" s="854"/>
      <c r="E16" s="855"/>
    </row>
    <row r="17" spans="1:10" ht="15.75" thickBot="1" x14ac:dyDescent="0.3">
      <c r="B17" s="856"/>
      <c r="C17" s="857"/>
      <c r="D17" s="857"/>
      <c r="E17" s="858"/>
    </row>
    <row r="18" spans="1:10" ht="15.75" thickBot="1" x14ac:dyDescent="0.3">
      <c r="H18" s="422" t="s">
        <v>1912</v>
      </c>
    </row>
    <row r="19" spans="1:10" ht="15.75" thickBot="1" x14ac:dyDescent="0.3">
      <c r="A19" s="1">
        <v>3</v>
      </c>
      <c r="B19" s="157" t="s">
        <v>356</v>
      </c>
      <c r="C19" s="154"/>
      <c r="D19" s="155"/>
      <c r="H19" s="157" t="s">
        <v>410</v>
      </c>
      <c r="I19" s="173"/>
      <c r="J19" s="155"/>
    </row>
    <row r="20" spans="1:10" x14ac:dyDescent="0.25">
      <c r="B20" s="62"/>
      <c r="C20" s="63"/>
      <c r="D20" s="64" t="s">
        <v>141</v>
      </c>
      <c r="E20" s="422" t="s">
        <v>1929</v>
      </c>
      <c r="F20" s="8"/>
      <c r="G20" s="8"/>
      <c r="H20" s="172" t="s">
        <v>411</v>
      </c>
      <c r="I20" s="174"/>
      <c r="J20" s="64" t="s">
        <v>412</v>
      </c>
    </row>
    <row r="21" spans="1:10" x14ac:dyDescent="0.25">
      <c r="B21" s="65" t="s">
        <v>339</v>
      </c>
      <c r="C21" s="66"/>
      <c r="D21" s="78"/>
      <c r="E21" s="422" t="s">
        <v>945</v>
      </c>
      <c r="F21" s="8"/>
      <c r="G21" s="8"/>
      <c r="H21" s="769">
        <v>0.5</v>
      </c>
      <c r="I21" s="70">
        <f>9900*9-4.5*100</f>
        <v>88650</v>
      </c>
      <c r="J21" s="79">
        <f>H21*I21</f>
        <v>44325</v>
      </c>
    </row>
    <row r="22" spans="1:10" x14ac:dyDescent="0.25">
      <c r="B22" s="65" t="s">
        <v>340</v>
      </c>
      <c r="C22" s="66"/>
      <c r="D22" s="78"/>
      <c r="E22" s="422" t="s">
        <v>1728</v>
      </c>
      <c r="F22" s="8"/>
      <c r="G22" s="8"/>
      <c r="H22" s="769">
        <v>0.35</v>
      </c>
      <c r="I22" s="70">
        <f>9800*9-4.5*200</f>
        <v>87300</v>
      </c>
      <c r="J22" s="79">
        <f>H22*I22</f>
        <v>30554.999999999996</v>
      </c>
    </row>
    <row r="23" spans="1:10" ht="15.75" thickBot="1" x14ac:dyDescent="0.3">
      <c r="B23" s="65" t="s">
        <v>338</v>
      </c>
      <c r="C23" s="66"/>
      <c r="D23" s="79">
        <f>SUM(D21:D22)</f>
        <v>0</v>
      </c>
      <c r="E23" s="422" t="s">
        <v>946</v>
      </c>
      <c r="H23" s="770">
        <v>0.15</v>
      </c>
      <c r="I23" s="771">
        <f>9700*9-4.5*300</f>
        <v>85950</v>
      </c>
      <c r="J23" s="99">
        <f>H23*I23</f>
        <v>12892.5</v>
      </c>
    </row>
    <row r="24" spans="1:10" x14ac:dyDescent="0.25">
      <c r="B24" s="65"/>
      <c r="C24" s="66"/>
      <c r="D24" s="79"/>
      <c r="E24" s="422" t="s">
        <v>1618</v>
      </c>
      <c r="J24" s="191">
        <f>SUM(J21:J23)</f>
        <v>87772.5</v>
      </c>
    </row>
    <row r="25" spans="1:10" ht="15.75" thickBot="1" x14ac:dyDescent="0.3">
      <c r="B25" s="72" t="s">
        <v>264</v>
      </c>
      <c r="C25" s="73"/>
      <c r="D25" s="676"/>
    </row>
    <row r="26" spans="1:10" ht="15.75" thickBot="1" x14ac:dyDescent="0.3">
      <c r="B26" s="66"/>
      <c r="C26" s="66"/>
    </row>
    <row r="27" spans="1:10" ht="15.75" thickBot="1" x14ac:dyDescent="0.3">
      <c r="A27" s="1">
        <v>4</v>
      </c>
      <c r="B27" s="157" t="s">
        <v>1888</v>
      </c>
      <c r="C27" s="154"/>
      <c r="D27" s="155"/>
    </row>
    <row r="28" spans="1:10" x14ac:dyDescent="0.25">
      <c r="B28" s="765" t="str">
        <f>"The transaction price of £"&amp;D23&amp;" is allocated in its entirety to the single performance obligation, being…"</f>
        <v>The transaction price of £0 is allocated in its entirety to the single performance obligation, being…</v>
      </c>
      <c r="C28" s="63"/>
      <c r="D28" s="64"/>
      <c r="H28" s="422" t="s">
        <v>1784</v>
      </c>
    </row>
    <row r="29" spans="1:10" x14ac:dyDescent="0.25">
      <c r="B29" s="65"/>
      <c r="C29" s="66"/>
      <c r="D29" s="68"/>
    </row>
    <row r="30" spans="1:10" x14ac:dyDescent="0.25">
      <c r="B30" s="65"/>
      <c r="C30" s="66"/>
      <c r="D30" s="68"/>
    </row>
    <row r="31" spans="1:10" ht="15.75" thickBot="1" x14ac:dyDescent="0.3">
      <c r="B31" s="72"/>
      <c r="C31" s="73"/>
      <c r="D31" s="82"/>
    </row>
    <row r="32" spans="1:10" ht="15.75" thickBot="1" x14ac:dyDescent="0.3"/>
    <row r="33" spans="1:8" ht="15.75" thickBot="1" x14ac:dyDescent="0.3">
      <c r="A33" s="1">
        <v>5</v>
      </c>
      <c r="B33" s="157" t="s">
        <v>358</v>
      </c>
      <c r="C33" s="154"/>
      <c r="D33" s="155"/>
    </row>
    <row r="34" spans="1:8" x14ac:dyDescent="0.25">
      <c r="B34" s="62"/>
      <c r="C34" s="63"/>
      <c r="D34" s="64"/>
    </row>
    <row r="35" spans="1:8" x14ac:dyDescent="0.25">
      <c r="B35" s="65" t="s">
        <v>385</v>
      </c>
      <c r="C35" s="49"/>
      <c r="D35" s="68"/>
      <c r="F35" s="422" t="s">
        <v>1619</v>
      </c>
      <c r="G35" s="422"/>
    </row>
    <row r="36" spans="1:8" x14ac:dyDescent="0.25">
      <c r="B36" s="65"/>
      <c r="C36" s="66"/>
      <c r="D36" s="68"/>
      <c r="F36" s="422" t="s">
        <v>1620</v>
      </c>
      <c r="G36" s="422"/>
    </row>
    <row r="37" spans="1:8" x14ac:dyDescent="0.25">
      <c r="B37" s="123" t="str">
        <f>IF(C35="Recognised at a point in time","Date"," ")</f>
        <v xml:space="preserve"> </v>
      </c>
      <c r="C37" s="66"/>
      <c r="D37" s="71" t="str">
        <f>IF(C35="Recognised at a point in time","Revenue recognised"," ")</f>
        <v xml:space="preserve"> </v>
      </c>
      <c r="F37" s="422" t="s">
        <v>1621</v>
      </c>
      <c r="G37" s="422"/>
    </row>
    <row r="38" spans="1:8" x14ac:dyDescent="0.25">
      <c r="B38" s="171">
        <v>44012</v>
      </c>
      <c r="C38" s="66"/>
      <c r="D38" s="71">
        <f>IF(C35="Recognised at a point in time",D23*D25,0)</f>
        <v>0</v>
      </c>
      <c r="F38" s="422" t="s">
        <v>1622</v>
      </c>
      <c r="G38" s="422"/>
    </row>
    <row r="39" spans="1:8" x14ac:dyDescent="0.25">
      <c r="B39" s="165"/>
      <c r="C39" s="66"/>
      <c r="D39" s="68"/>
    </row>
    <row r="40" spans="1:8" x14ac:dyDescent="0.25">
      <c r="B40" s="165" t="s">
        <v>382</v>
      </c>
      <c r="C40" s="66"/>
      <c r="D40" s="68"/>
      <c r="F40" s="422" t="str">
        <f>"The expected value of revenue to recognise is estimated using stage of completion, which is calculated on "&amp;D41&amp;" to date as a proportion of the estimated total"</f>
        <v>The expected value of revenue to recognise is estimated using stage of completion, which is calculated on  to date as a proportion of the estimated total</v>
      </c>
      <c r="G40" s="422"/>
    </row>
    <row r="41" spans="1:8" x14ac:dyDescent="0.25">
      <c r="B41" s="165" t="s">
        <v>1711</v>
      </c>
      <c r="C41" s="66"/>
      <c r="D41" s="166"/>
      <c r="F41" s="422" t="s">
        <v>948</v>
      </c>
      <c r="G41" s="422"/>
    </row>
    <row r="42" spans="1:8" x14ac:dyDescent="0.25">
      <c r="B42" s="165" t="str">
        <f>D41&amp;" to date"</f>
        <v xml:space="preserve"> to date</v>
      </c>
      <c r="C42" s="66"/>
      <c r="D42" s="78"/>
      <c r="F42" s="11"/>
      <c r="G42" s="11"/>
      <c r="H42" s="10"/>
    </row>
    <row r="43" spans="1:8" x14ac:dyDescent="0.25">
      <c r="B43" s="165" t="s">
        <v>383</v>
      </c>
      <c r="C43" s="66"/>
      <c r="D43" s="78"/>
      <c r="F43" s="773" t="s">
        <v>1931</v>
      </c>
      <c r="G43" s="11"/>
      <c r="H43" s="10"/>
    </row>
    <row r="44" spans="1:8" x14ac:dyDescent="0.25">
      <c r="B44" s="165" t="s">
        <v>384</v>
      </c>
      <c r="C44" s="66"/>
      <c r="D44" s="71">
        <f>IF(C35="Recognised over time",D42/D43,0)</f>
        <v>0</v>
      </c>
      <c r="E44" t="str">
        <f>"(="&amp;D42&amp;"/"&amp;D43&amp;")"</f>
        <v>(=/)</v>
      </c>
    </row>
    <row r="45" spans="1:8" x14ac:dyDescent="0.25">
      <c r="B45" s="165"/>
      <c r="C45" s="66"/>
      <c r="D45" s="68"/>
    </row>
    <row r="46" spans="1:8" ht="15.75" thickBot="1" x14ac:dyDescent="0.3">
      <c r="B46" s="167" t="s">
        <v>359</v>
      </c>
      <c r="C46" s="73"/>
      <c r="D46" s="110">
        <f>D44*D23*D25</f>
        <v>0</v>
      </c>
    </row>
    <row r="47" spans="1:8" x14ac:dyDescent="0.25">
      <c r="B47" s="41"/>
      <c r="F47" s="12"/>
      <c r="G47" s="12"/>
    </row>
    <row r="48" spans="1:8" ht="15.75" thickBot="1" x14ac:dyDescent="0.3">
      <c r="F48" s="12"/>
      <c r="G48" s="12"/>
    </row>
    <row r="49" spans="1:7" ht="15.75" thickBot="1" x14ac:dyDescent="0.3">
      <c r="A49" s="1">
        <v>5</v>
      </c>
      <c r="B49" s="157" t="s">
        <v>358</v>
      </c>
      <c r="C49" s="154"/>
      <c r="D49" s="155"/>
      <c r="F49" s="12"/>
      <c r="G49" s="12"/>
    </row>
    <row r="50" spans="1:7" x14ac:dyDescent="0.25">
      <c r="B50" t="s">
        <v>1712</v>
      </c>
      <c r="C50" s="36"/>
      <c r="F50" s="422" t="str">
        <f>"Up until the point that the variable consideration conditions were met there was an entitlement to a consideration of £"&amp;D21</f>
        <v>Up until the point that the variable consideration conditions were met there was an entitlement to a consideration of £</v>
      </c>
    </row>
    <row r="51" spans="1:7" x14ac:dyDescent="0.25">
      <c r="B51" t="s">
        <v>1923</v>
      </c>
      <c r="C51" s="14"/>
      <c r="F51" s="422" t="str">
        <f>"Invoices were therefore correctly raised at this amount. However, the transaction price must be recorded at £"&amp;D23&amp;" as the criteria has been met"</f>
        <v>Invoices were therefore correctly raised at this amount. However, the transaction price must be recorded at £0 as the criteria has been met</v>
      </c>
    </row>
    <row r="52" spans="1:7" x14ac:dyDescent="0.25">
      <c r="B52" t="s">
        <v>1922</v>
      </c>
      <c r="C52" s="14"/>
      <c r="F52" s="422" t="s">
        <v>1930</v>
      </c>
    </row>
    <row r="53" spans="1:7" x14ac:dyDescent="0.25">
      <c r="B53" t="s">
        <v>400</v>
      </c>
      <c r="C53" s="89">
        <f>C52-C51</f>
        <v>0</v>
      </c>
    </row>
    <row r="54" spans="1:7" x14ac:dyDescent="0.25">
      <c r="E54" s="12"/>
      <c r="F54" s="422" t="str">
        <f>"Amounts invoiced should be recognised at £"&amp;C52&amp;" in trade receivables, as there is an enforceable right to payment at this amount"</f>
        <v>Amounts invoiced should be recognised at £ in trade receivables, as there is an enforceable right to payment at this amount</v>
      </c>
    </row>
    <row r="55" spans="1:7" x14ac:dyDescent="0.25">
      <c r="C55" s="13" t="s">
        <v>173</v>
      </c>
      <c r="D55" s="13" t="s">
        <v>165</v>
      </c>
      <c r="F55" s="422" t="s">
        <v>947</v>
      </c>
    </row>
    <row r="56" spans="1:7" x14ac:dyDescent="0.25">
      <c r="C56" s="13" t="s">
        <v>141</v>
      </c>
      <c r="D56" s="13" t="s">
        <v>141</v>
      </c>
      <c r="F56" s="422" t="s">
        <v>949</v>
      </c>
    </row>
    <row r="57" spans="1:7" x14ac:dyDescent="0.25">
      <c r="B57" t="str">
        <f>IF(C51&gt;0,"DR Trade Receivables"," ")</f>
        <v xml:space="preserve"> </v>
      </c>
      <c r="C57" s="11">
        <f>C51</f>
        <v>0</v>
      </c>
      <c r="D57" s="11"/>
    </row>
    <row r="58" spans="1:7" x14ac:dyDescent="0.25">
      <c r="B58" t="s">
        <v>342</v>
      </c>
      <c r="D58" s="11">
        <f>IF(D38&lt;&gt;0,D38,D46)</f>
        <v>0</v>
      </c>
    </row>
    <row r="59" spans="1:7" x14ac:dyDescent="0.25">
      <c r="B59" t="str" cm="1">
        <f t="array" ref="B59">_xlfn.IFS(AND(C50="Yes",C53&gt;0),"DR Contract asset",AND(C50="Yes",C53&lt;0),"CR Refund liability",OR(C50="No",C53=0)," ")</f>
        <v xml:space="preserve"> </v>
      </c>
      <c r="C59" s="11">
        <f>IF(C57&lt;D58,D58-C57,0)</f>
        <v>0</v>
      </c>
      <c r="D59" s="11" t="b">
        <f>IF(C57&gt;D58,C57-D58)</f>
        <v>0</v>
      </c>
      <c r="F59" s="499" t="s">
        <v>1664</v>
      </c>
    </row>
    <row r="60" spans="1:7" x14ac:dyDescent="0.25">
      <c r="C60" s="11"/>
      <c r="D60" s="11"/>
      <c r="F60" s="422" t="s">
        <v>1665</v>
      </c>
    </row>
    <row r="61" spans="1:7" x14ac:dyDescent="0.25">
      <c r="B61" s="1" t="s">
        <v>386</v>
      </c>
      <c r="C61" s="11"/>
      <c r="D61" s="11"/>
      <c r="F61" s="422"/>
    </row>
    <row r="62" spans="1:7" x14ac:dyDescent="0.25">
      <c r="C62" s="11"/>
      <c r="D62" s="11"/>
    </row>
    <row r="63" spans="1:7" x14ac:dyDescent="0.25">
      <c r="B63" t="s">
        <v>389</v>
      </c>
      <c r="C63" s="14"/>
      <c r="F63" s="422" t="s">
        <v>343</v>
      </c>
    </row>
    <row r="64" spans="1:7" x14ac:dyDescent="0.25">
      <c r="C64" s="11"/>
      <c r="D64" s="11"/>
      <c r="F64" s="422" t="s">
        <v>1396</v>
      </c>
    </row>
    <row r="65" spans="2:9" x14ac:dyDescent="0.25">
      <c r="B65" t="s">
        <v>387</v>
      </c>
      <c r="C65" s="11">
        <f>C63</f>
        <v>0</v>
      </c>
      <c r="D65" s="11"/>
    </row>
    <row r="66" spans="2:9" x14ac:dyDescent="0.25">
      <c r="B66" t="s">
        <v>388</v>
      </c>
      <c r="C66" s="11"/>
      <c r="D66" s="11">
        <f>C63</f>
        <v>0</v>
      </c>
      <c r="F66" s="12"/>
      <c r="G66" s="12"/>
    </row>
    <row r="67" spans="2:9" x14ac:dyDescent="0.25">
      <c r="C67" s="11"/>
    </row>
    <row r="69" spans="2:9" ht="15.75" thickBot="1" x14ac:dyDescent="0.3"/>
    <row r="70" spans="2:9" ht="15.75" thickBot="1" x14ac:dyDescent="0.3">
      <c r="B70" s="157" t="s">
        <v>606</v>
      </c>
      <c r="C70" s="154"/>
      <c r="D70" s="154"/>
      <c r="E70" s="154"/>
      <c r="F70" s="155"/>
      <c r="G70" t="s">
        <v>344</v>
      </c>
    </row>
    <row r="71" spans="2:9" x14ac:dyDescent="0.25">
      <c r="B71" s="497" t="s">
        <v>943</v>
      </c>
      <c r="C71" s="151"/>
      <c r="D71" s="151"/>
      <c r="E71" s="151"/>
      <c r="F71" s="151"/>
      <c r="G71" s="151"/>
    </row>
    <row r="72" spans="2:9" x14ac:dyDescent="0.25">
      <c r="B72" s="497" t="s">
        <v>1708</v>
      </c>
      <c r="C72" s="151"/>
      <c r="D72" s="151"/>
      <c r="E72" s="151"/>
      <c r="F72" s="151"/>
      <c r="G72" s="151"/>
    </row>
    <row r="73" spans="2:9" x14ac:dyDescent="0.25">
      <c r="B73" s="497" t="s">
        <v>944</v>
      </c>
      <c r="C73" s="183"/>
      <c r="D73" s="183"/>
      <c r="E73" s="183"/>
      <c r="F73" s="183"/>
      <c r="G73" s="183"/>
    </row>
    <row r="74" spans="2:9" ht="15.75" thickBot="1" x14ac:dyDescent="0.3">
      <c r="B74" s="183"/>
      <c r="C74" s="183"/>
      <c r="D74" s="21"/>
      <c r="E74" s="183"/>
      <c r="F74" s="183"/>
      <c r="G74" s="183"/>
    </row>
    <row r="75" spans="2:9" x14ac:dyDescent="0.25">
      <c r="B75" s="62" t="s">
        <v>209</v>
      </c>
      <c r="C75" s="170"/>
      <c r="D75" s="12"/>
      <c r="I75" s="422" t="s">
        <v>1399</v>
      </c>
    </row>
    <row r="76" spans="2:9" x14ac:dyDescent="0.25">
      <c r="B76" s="65" t="s">
        <v>1709</v>
      </c>
      <c r="C76" s="78"/>
      <c r="D76" s="12"/>
      <c r="I76" s="422" t="s">
        <v>1398</v>
      </c>
    </row>
    <row r="77" spans="2:9" x14ac:dyDescent="0.25">
      <c r="B77" s="65" t="s">
        <v>352</v>
      </c>
      <c r="C77" s="100"/>
      <c r="D77" s="12"/>
    </row>
    <row r="78" spans="2:9" x14ac:dyDescent="0.25">
      <c r="B78" s="65" t="s">
        <v>353</v>
      </c>
      <c r="C78" s="68"/>
      <c r="D78" s="12"/>
    </row>
    <row r="79" spans="2:9" ht="15.75" thickBot="1" x14ac:dyDescent="0.3">
      <c r="B79" s="153" t="s">
        <v>1924</v>
      </c>
      <c r="C79" s="99">
        <f>C76/(1+C75)^C77</f>
        <v>0</v>
      </c>
      <c r="D79" s="772" t="str">
        <f>"=("&amp;C76&amp;"/(1+"&amp;C75&amp;")^"&amp;C77&amp;")"</f>
        <v>=(/(1+)^)</v>
      </c>
    </row>
    <row r="80" spans="2:9" ht="15.75" thickBot="1" x14ac:dyDescent="0.3"/>
    <row r="81" spans="2:9" x14ac:dyDescent="0.25">
      <c r="B81" s="75" t="s">
        <v>347</v>
      </c>
      <c r="C81" s="63"/>
      <c r="D81" s="63"/>
      <c r="E81" s="63"/>
      <c r="F81" s="64"/>
      <c r="G81" s="66"/>
      <c r="H81" s="422" t="s">
        <v>1710</v>
      </c>
    </row>
    <row r="82" spans="2:9" x14ac:dyDescent="0.25">
      <c r="B82" s="80" t="s">
        <v>12</v>
      </c>
      <c r="C82" s="152" t="s">
        <v>348</v>
      </c>
      <c r="D82" s="152" t="s">
        <v>349</v>
      </c>
      <c r="E82" s="152" t="s">
        <v>350</v>
      </c>
      <c r="F82" s="134" t="s">
        <v>351</v>
      </c>
      <c r="G82" s="152"/>
      <c r="I82" s="116"/>
    </row>
    <row r="83" spans="2:9" x14ac:dyDescent="0.25">
      <c r="B83" s="65"/>
      <c r="C83" s="149" t="s">
        <v>10</v>
      </c>
      <c r="D83" s="149" t="s">
        <v>10</v>
      </c>
      <c r="E83" s="149" t="s">
        <v>10</v>
      </c>
      <c r="F83" s="150" t="s">
        <v>10</v>
      </c>
      <c r="G83" s="149"/>
    </row>
    <row r="84" spans="2:9" x14ac:dyDescent="0.25">
      <c r="B84" s="496"/>
      <c r="C84" s="17">
        <f>C76/(1+C75)^C77</f>
        <v>0</v>
      </c>
      <c r="D84" s="17">
        <f>C84*$C$75</f>
        <v>0</v>
      </c>
      <c r="E84" s="66">
        <f>$C$78</f>
        <v>0</v>
      </c>
      <c r="F84" s="71">
        <f>C84+D84-E84</f>
        <v>0</v>
      </c>
      <c r="G84" s="17"/>
    </row>
    <row r="85" spans="2:9" x14ac:dyDescent="0.25">
      <c r="B85" s="496"/>
      <c r="C85" s="17">
        <f>IF(F84&gt;=$C$76,0,F84)</f>
        <v>0</v>
      </c>
      <c r="D85" s="17">
        <f>C85*$C$75</f>
        <v>0</v>
      </c>
      <c r="E85" s="66">
        <f>$C$78</f>
        <v>0</v>
      </c>
      <c r="F85" s="71">
        <f>C85+D85-E85</f>
        <v>0</v>
      </c>
      <c r="G85" s="17"/>
    </row>
    <row r="86" spans="2:9" x14ac:dyDescent="0.25">
      <c r="B86" s="696"/>
      <c r="C86" s="17">
        <f>IF(F85&gt;=$C$76,0,F85)</f>
        <v>0</v>
      </c>
      <c r="D86" s="17">
        <f>C86*$C$75</f>
        <v>0</v>
      </c>
      <c r="E86" s="66">
        <f>$C$78</f>
        <v>0</v>
      </c>
      <c r="F86" s="71">
        <f>C86+D86-E86</f>
        <v>0</v>
      </c>
      <c r="G86" s="17"/>
    </row>
    <row r="87" spans="2:9" ht="15.75" thickBot="1" x14ac:dyDescent="0.3">
      <c r="B87" s="697"/>
      <c r="C87" s="107">
        <f>IF(F86&gt;=$C$76,0,F86)</f>
        <v>0</v>
      </c>
      <c r="D87" s="107">
        <f>C87*$C$75</f>
        <v>0</v>
      </c>
      <c r="E87" s="73">
        <f>$C$78</f>
        <v>0</v>
      </c>
      <c r="F87" s="110">
        <f>C87+D87-E87</f>
        <v>0</v>
      </c>
      <c r="G87" s="17"/>
    </row>
    <row r="88" spans="2:9" x14ac:dyDescent="0.25">
      <c r="B88" s="12"/>
    </row>
    <row r="89" spans="2:9" x14ac:dyDescent="0.25">
      <c r="B89" s="1" t="s">
        <v>363</v>
      </c>
    </row>
    <row r="90" spans="2:9" x14ac:dyDescent="0.25">
      <c r="B90" s="1"/>
      <c r="C90" s="13" t="s">
        <v>173</v>
      </c>
      <c r="D90" s="13" t="s">
        <v>165</v>
      </c>
    </row>
    <row r="91" spans="2:9" x14ac:dyDescent="0.25">
      <c r="B91" s="1"/>
      <c r="C91" s="13" t="s">
        <v>141</v>
      </c>
      <c r="D91" s="13" t="s">
        <v>141</v>
      </c>
      <c r="F91" s="12"/>
      <c r="G91" s="12"/>
    </row>
    <row r="92" spans="2:9" x14ac:dyDescent="0.25">
      <c r="B92" t="s">
        <v>341</v>
      </c>
      <c r="C92" s="12">
        <f>C84</f>
        <v>0</v>
      </c>
    </row>
    <row r="93" spans="2:9" x14ac:dyDescent="0.25">
      <c r="B93" t="s">
        <v>346</v>
      </c>
      <c r="D93" s="12">
        <f>C84</f>
        <v>0</v>
      </c>
    </row>
    <row r="94" spans="2:9" x14ac:dyDescent="0.25">
      <c r="D94" s="12"/>
    </row>
    <row r="95" spans="2:9" x14ac:dyDescent="0.25">
      <c r="B95" s="422" t="str">
        <f>"Finance income for the period ended […]  = "&amp;C75*100&amp;"% * £"&amp;C84&amp;" = £"&amp;C96</f>
        <v>Finance income for the period ended […]  = 0% * £0 = £0</v>
      </c>
    </row>
    <row r="96" spans="2:9" x14ac:dyDescent="0.25">
      <c r="B96" t="s">
        <v>341</v>
      </c>
      <c r="C96" s="12">
        <f>D84-E84</f>
        <v>0</v>
      </c>
    </row>
    <row r="97" spans="2:4" x14ac:dyDescent="0.25">
      <c r="B97" t="s">
        <v>354</v>
      </c>
      <c r="D97" s="12">
        <f>D84</f>
        <v>0</v>
      </c>
    </row>
    <row r="98" spans="2:4" x14ac:dyDescent="0.25">
      <c r="B98" t="s">
        <v>355</v>
      </c>
      <c r="C98">
        <f>E84</f>
        <v>0</v>
      </c>
    </row>
    <row r="100" spans="2:4" x14ac:dyDescent="0.25">
      <c r="B100" t="s">
        <v>341</v>
      </c>
      <c r="C100" s="12">
        <f>D85-E85</f>
        <v>0</v>
      </c>
    </row>
    <row r="101" spans="2:4" x14ac:dyDescent="0.25">
      <c r="B101" t="s">
        <v>354</v>
      </c>
      <c r="D101" s="12">
        <f>D85</f>
        <v>0</v>
      </c>
    </row>
    <row r="102" spans="2:4" x14ac:dyDescent="0.25">
      <c r="B102" t="s">
        <v>355</v>
      </c>
      <c r="C102">
        <f>E85</f>
        <v>0</v>
      </c>
    </row>
    <row r="105" spans="2:4" ht="15.75" thickBot="1" x14ac:dyDescent="0.3"/>
    <row r="106" spans="2:4" ht="15.75" thickBot="1" x14ac:dyDescent="0.3">
      <c r="B106" s="157" t="s">
        <v>390</v>
      </c>
      <c r="C106" s="154"/>
      <c r="D106" s="155"/>
    </row>
    <row r="107" spans="2:4" x14ac:dyDescent="0.25">
      <c r="B107" s="65"/>
      <c r="C107" s="142" t="s">
        <v>10</v>
      </c>
      <c r="D107" s="68"/>
    </row>
    <row r="108" spans="2:4" x14ac:dyDescent="0.25">
      <c r="B108" s="65" t="s">
        <v>345</v>
      </c>
      <c r="C108" s="168">
        <f>D23</f>
        <v>0</v>
      </c>
      <c r="D108" s="68"/>
    </row>
    <row r="109" spans="2:4" x14ac:dyDescent="0.25">
      <c r="B109" s="65" t="s">
        <v>359</v>
      </c>
      <c r="C109" s="169">
        <f>D46</f>
        <v>0</v>
      </c>
      <c r="D109" s="68"/>
    </row>
    <row r="110" spans="2:4" x14ac:dyDescent="0.25">
      <c r="B110" s="65" t="s">
        <v>360</v>
      </c>
      <c r="C110" s="158">
        <f>C108-C109</f>
        <v>0</v>
      </c>
      <c r="D110" s="68"/>
    </row>
    <row r="111" spans="2:4" x14ac:dyDescent="0.25">
      <c r="B111" s="65"/>
      <c r="C111" s="66"/>
      <c r="D111" s="68"/>
    </row>
    <row r="112" spans="2:4" x14ac:dyDescent="0.25">
      <c r="B112" s="65" t="s">
        <v>361</v>
      </c>
      <c r="C112" s="49"/>
      <c r="D112" s="68"/>
    </row>
    <row r="113" spans="2:7" ht="15.75" thickBot="1" x14ac:dyDescent="0.3">
      <c r="B113" s="65" t="s">
        <v>362</v>
      </c>
      <c r="C113" s="159">
        <f>IF(C110-C112&lt;0,C112-C110,0)</f>
        <v>0</v>
      </c>
      <c r="D113" s="68"/>
    </row>
    <row r="114" spans="2:7" ht="15.75" thickTop="1" x14ac:dyDescent="0.25">
      <c r="B114" s="65"/>
      <c r="C114" s="628"/>
      <c r="D114" s="68"/>
    </row>
    <row r="115" spans="2:7" x14ac:dyDescent="0.25">
      <c r="B115" s="500" t="s">
        <v>1393</v>
      </c>
      <c r="C115" s="628"/>
      <c r="D115" s="68"/>
    </row>
    <row r="116" spans="2:7" x14ac:dyDescent="0.25">
      <c r="B116" s="500" t="s">
        <v>1394</v>
      </c>
      <c r="C116" s="628"/>
      <c r="D116" s="68"/>
    </row>
    <row r="117" spans="2:7" x14ac:dyDescent="0.25">
      <c r="B117" s="500" t="s">
        <v>1397</v>
      </c>
      <c r="C117" s="628"/>
      <c r="D117" s="68"/>
    </row>
    <row r="118" spans="2:7" x14ac:dyDescent="0.25">
      <c r="B118" s="65"/>
      <c r="C118" s="66"/>
      <c r="D118" s="68"/>
    </row>
    <row r="119" spans="2:7" x14ac:dyDescent="0.25">
      <c r="B119" s="65"/>
      <c r="C119" s="101" t="s">
        <v>173</v>
      </c>
      <c r="D119" s="102" t="s">
        <v>165</v>
      </c>
    </row>
    <row r="120" spans="2:7" x14ac:dyDescent="0.25">
      <c r="B120" s="65"/>
      <c r="C120" s="101" t="s">
        <v>141</v>
      </c>
      <c r="D120" s="102" t="s">
        <v>141</v>
      </c>
    </row>
    <row r="121" spans="2:7" x14ac:dyDescent="0.25">
      <c r="B121" s="65" t="s">
        <v>323</v>
      </c>
      <c r="C121" s="66">
        <f>IF(C113&lt;&gt;0,C113,0)</f>
        <v>0</v>
      </c>
      <c r="D121" s="68"/>
    </row>
    <row r="122" spans="2:7" x14ac:dyDescent="0.25">
      <c r="B122" s="65" t="s">
        <v>391</v>
      </c>
      <c r="C122" s="66"/>
      <c r="D122" s="68">
        <f>IF(C113&lt;&gt;0,C113,0)</f>
        <v>0</v>
      </c>
    </row>
    <row r="123" spans="2:7" x14ac:dyDescent="0.25">
      <c r="B123" s="65"/>
      <c r="C123" s="66"/>
      <c r="D123" s="68"/>
    </row>
    <row r="124" spans="2:7" x14ac:dyDescent="0.25">
      <c r="B124" s="65"/>
      <c r="C124" s="66"/>
      <c r="D124" s="68"/>
    </row>
    <row r="125" spans="2:7" ht="15.75" thickBot="1" x14ac:dyDescent="0.3">
      <c r="B125" s="72"/>
      <c r="C125" s="73"/>
      <c r="D125" s="82"/>
    </row>
    <row r="126" spans="2:7" ht="15.75" thickBot="1" x14ac:dyDescent="0.3"/>
    <row r="127" spans="2:7" ht="15.75" thickBot="1" x14ac:dyDescent="0.3">
      <c r="B127" s="157" t="s">
        <v>405</v>
      </c>
      <c r="C127" s="154"/>
      <c r="D127" s="155"/>
    </row>
    <row r="128" spans="2:7" x14ac:dyDescent="0.25">
      <c r="B128" t="s">
        <v>409</v>
      </c>
      <c r="C128" s="3"/>
      <c r="F128" s="499" t="s">
        <v>1623</v>
      </c>
      <c r="G128" s="499"/>
    </row>
    <row r="129" spans="2:8" x14ac:dyDescent="0.25">
      <c r="B129" t="s">
        <v>406</v>
      </c>
      <c r="C129" s="3"/>
      <c r="F129" s="422" t="s">
        <v>1624</v>
      </c>
      <c r="G129" s="422"/>
    </row>
    <row r="130" spans="2:8" x14ac:dyDescent="0.25">
      <c r="F130" s="422" t="s">
        <v>1625</v>
      </c>
      <c r="G130" s="422"/>
    </row>
    <row r="132" spans="2:8" x14ac:dyDescent="0.25">
      <c r="B132" t="s">
        <v>323</v>
      </c>
      <c r="C132">
        <f>C128</f>
        <v>0</v>
      </c>
    </row>
    <row r="133" spans="2:8" x14ac:dyDescent="0.25">
      <c r="B133" t="s">
        <v>408</v>
      </c>
      <c r="C133">
        <f>C129</f>
        <v>0</v>
      </c>
      <c r="F133" s="422" t="s">
        <v>1395</v>
      </c>
      <c r="G133" s="422"/>
    </row>
    <row r="134" spans="2:8" x14ac:dyDescent="0.25">
      <c r="B134" t="s">
        <v>407</v>
      </c>
      <c r="D134">
        <f>C128+C129</f>
        <v>0</v>
      </c>
    </row>
    <row r="136" spans="2:8" ht="15.75" thickBot="1" x14ac:dyDescent="0.3"/>
    <row r="137" spans="2:8" ht="15.75" thickBot="1" x14ac:dyDescent="0.3">
      <c r="B137" s="157" t="s">
        <v>1176</v>
      </c>
      <c r="C137" s="154"/>
      <c r="D137" s="155"/>
    </row>
    <row r="138" spans="2:8" x14ac:dyDescent="0.25">
      <c r="B138" s="767" t="s">
        <v>1914</v>
      </c>
      <c r="C138" s="766"/>
      <c r="D138" s="766"/>
    </row>
    <row r="139" spans="2:8" x14ac:dyDescent="0.25">
      <c r="B139" s="497" t="s">
        <v>1713</v>
      </c>
      <c r="C139" s="151"/>
      <c r="D139" s="151"/>
      <c r="H139" s="422" t="s">
        <v>1915</v>
      </c>
    </row>
    <row r="140" spans="2:8" x14ac:dyDescent="0.25">
      <c r="B140" s="422" t="s">
        <v>1714</v>
      </c>
      <c r="C140" s="151"/>
      <c r="D140" s="151"/>
    </row>
    <row r="141" spans="2:8" x14ac:dyDescent="0.25">
      <c r="B141" t="s">
        <v>1715</v>
      </c>
      <c r="D141" s="14"/>
    </row>
    <row r="142" spans="2:8" x14ac:dyDescent="0.25">
      <c r="B142" t="s">
        <v>1177</v>
      </c>
      <c r="D142" s="14">
        <v>11000</v>
      </c>
    </row>
    <row r="143" spans="2:8" x14ac:dyDescent="0.25">
      <c r="B143" t="s">
        <v>1716</v>
      </c>
      <c r="D143" s="14"/>
      <c r="F143" s="422"/>
      <c r="G143" s="422"/>
      <c r="H143" s="499" t="s">
        <v>1400</v>
      </c>
    </row>
    <row r="144" spans="2:8" x14ac:dyDescent="0.25">
      <c r="E144" s="422"/>
      <c r="H144" s="422" t="s">
        <v>1404</v>
      </c>
    </row>
    <row r="145" spans="2:8" x14ac:dyDescent="0.25">
      <c r="B145" t="s">
        <v>1181</v>
      </c>
      <c r="C145" s="11">
        <f>IF(D141&lt;&gt;0,D141,D142)</f>
        <v>11000</v>
      </c>
      <c r="D145" s="11"/>
      <c r="E145" s="422" t="s">
        <v>1178</v>
      </c>
      <c r="H145" s="422" t="s">
        <v>1401</v>
      </c>
    </row>
    <row r="146" spans="2:8" x14ac:dyDescent="0.25">
      <c r="B146" t="s">
        <v>346</v>
      </c>
      <c r="C146" s="11"/>
      <c r="D146" s="11">
        <f>IF(D141&lt;&gt;0,D141,D142)</f>
        <v>11000</v>
      </c>
      <c r="H146" s="422" t="s">
        <v>1402</v>
      </c>
    </row>
    <row r="147" spans="2:8" x14ac:dyDescent="0.25">
      <c r="C147" s="11"/>
      <c r="D147" s="11"/>
      <c r="H147" s="422" t="s">
        <v>1403</v>
      </c>
    </row>
    <row r="148" spans="2:8" x14ac:dyDescent="0.25">
      <c r="B148" t="s">
        <v>1179</v>
      </c>
      <c r="C148" s="11">
        <f>D143</f>
        <v>0</v>
      </c>
      <c r="D148" s="11"/>
    </row>
    <row r="149" spans="2:8" x14ac:dyDescent="0.25">
      <c r="B149" t="s">
        <v>1180</v>
      </c>
      <c r="C149" s="11"/>
      <c r="D149" s="11">
        <f>D143</f>
        <v>0</v>
      </c>
    </row>
    <row r="154" spans="2:8" x14ac:dyDescent="0.25">
      <c r="B154" s="1" t="s">
        <v>1717</v>
      </c>
    </row>
    <row r="155" spans="2:8" x14ac:dyDescent="0.25">
      <c r="B155" s="422" t="s">
        <v>1725</v>
      </c>
    </row>
    <row r="156" spans="2:8" x14ac:dyDescent="0.25">
      <c r="B156" t="s">
        <v>1724</v>
      </c>
    </row>
    <row r="157" spans="2:8" x14ac:dyDescent="0.25">
      <c r="B157" t="s">
        <v>1718</v>
      </c>
      <c r="C157" s="14"/>
    </row>
    <row r="158" spans="2:8" x14ac:dyDescent="0.25">
      <c r="B158" t="s">
        <v>1719</v>
      </c>
      <c r="C158" s="3"/>
    </row>
    <row r="159" spans="2:8" x14ac:dyDescent="0.25">
      <c r="B159" t="s">
        <v>1720</v>
      </c>
      <c r="C159" s="3"/>
    </row>
    <row r="161" spans="2:3" x14ac:dyDescent="0.25">
      <c r="B161" t="s">
        <v>1721</v>
      </c>
      <c r="C161" s="12" t="e">
        <f>C157/C158</f>
        <v>#DIV/0!</v>
      </c>
    </row>
    <row r="162" spans="2:3" x14ac:dyDescent="0.25">
      <c r="B162" t="s">
        <v>1722</v>
      </c>
      <c r="C162" s="12" t="e">
        <f>C157/C159</f>
        <v>#DIV/0!</v>
      </c>
    </row>
    <row r="163" spans="2:3" x14ac:dyDescent="0.25">
      <c r="B163" t="s">
        <v>1723</v>
      </c>
      <c r="C163" s="538" t="e">
        <f>C162-C161</f>
        <v>#DIV/0!</v>
      </c>
    </row>
    <row r="164" spans="2:3" x14ac:dyDescent="0.25">
      <c r="C164" s="17"/>
    </row>
    <row r="165" spans="2:3" x14ac:dyDescent="0.25">
      <c r="B165" s="422" t="s">
        <v>1726</v>
      </c>
    </row>
    <row r="166" spans="2:3" x14ac:dyDescent="0.25">
      <c r="B166" s="3" t="s">
        <v>341</v>
      </c>
      <c r="C166" s="12" t="e">
        <f>C163</f>
        <v>#DIV/0!</v>
      </c>
    </row>
    <row r="167" spans="2:3" x14ac:dyDescent="0.25">
      <c r="B167" s="3" t="s">
        <v>1727</v>
      </c>
      <c r="C167" s="12" t="e">
        <f>C163</f>
        <v>#DIV/0!</v>
      </c>
    </row>
    <row r="178" spans="2:4" x14ac:dyDescent="0.25">
      <c r="B178" t="s">
        <v>1925</v>
      </c>
      <c r="C178">
        <v>100</v>
      </c>
    </row>
    <row r="179" spans="2:4" x14ac:dyDescent="0.25">
      <c r="B179" t="s">
        <v>323</v>
      </c>
      <c r="C179">
        <v>100</v>
      </c>
    </row>
    <row r="181" spans="2:4" x14ac:dyDescent="0.25">
      <c r="B181" t="s">
        <v>323</v>
      </c>
      <c r="C181">
        <v>8</v>
      </c>
    </row>
    <row r="182" spans="2:4" x14ac:dyDescent="0.25">
      <c r="B182" t="s">
        <v>1926</v>
      </c>
    </row>
    <row r="184" spans="2:4" x14ac:dyDescent="0.25">
      <c r="B184" t="s">
        <v>1927</v>
      </c>
      <c r="D184">
        <v>145</v>
      </c>
    </row>
    <row r="185" spans="2:4" x14ac:dyDescent="0.25">
      <c r="B185" t="s">
        <v>1928</v>
      </c>
      <c r="C185">
        <v>145</v>
      </c>
    </row>
  </sheetData>
  <mergeCells count="13">
    <mergeCell ref="F9:H10"/>
    <mergeCell ref="F11:H12"/>
    <mergeCell ref="B7:E7"/>
    <mergeCell ref="B11:E11"/>
    <mergeCell ref="B16:E17"/>
    <mergeCell ref="B12:E12"/>
    <mergeCell ref="B10:E10"/>
    <mergeCell ref="B9:E9"/>
    <mergeCell ref="B3:E3"/>
    <mergeCell ref="B4:E4"/>
    <mergeCell ref="B5:E5"/>
    <mergeCell ref="B6:E6"/>
    <mergeCell ref="B8:E8"/>
  </mergeCells>
  <phoneticPr fontId="3" type="noConversion"/>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96305D1C-3D6D-4899-BD5F-679C306E2F52}">
          <x14:formula1>
            <xm:f>Inputs!$B$11:$B$12</xm:f>
          </x14:formula1>
          <xm:sqref>C35</xm:sqref>
        </x14:dataValidation>
        <x14:dataValidation type="list" allowBlank="1" showInputMessage="1" showErrorMessage="1" xr:uid="{8628383E-1B75-4BE3-9BD2-0D297BAB6516}">
          <x14:formula1>
            <xm:f>Inputs!$B$5:$B$6</xm:f>
          </x14:formula1>
          <xm:sqref>C50</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E3BBDF-EC1C-4602-BCBA-301F61169679}">
  <sheetPr codeName="Sheet24"/>
  <dimension ref="A1:W93"/>
  <sheetViews>
    <sheetView topLeftCell="A19" zoomScale="60" zoomScaleNormal="60" workbookViewId="0"/>
  </sheetViews>
  <sheetFormatPr defaultRowHeight="15" x14ac:dyDescent="0.25"/>
  <cols>
    <col min="1" max="1" width="40.140625" customWidth="1"/>
    <col min="2" max="2" width="14.140625" bestFit="1" customWidth="1"/>
    <col min="3" max="3" width="22.42578125" customWidth="1"/>
    <col min="4" max="4" width="31.140625" customWidth="1"/>
    <col min="8" max="8" width="10.5703125" customWidth="1"/>
    <col min="10" max="10" width="11.7109375" bestFit="1" customWidth="1"/>
    <col min="11" max="12" width="11.5703125" bestFit="1" customWidth="1"/>
    <col min="13" max="13" width="12.5703125" customWidth="1"/>
    <col min="14" max="14" width="14.85546875" customWidth="1"/>
  </cols>
  <sheetData>
    <row r="1" spans="1:23" x14ac:dyDescent="0.25">
      <c r="C1" s="15" t="s">
        <v>482</v>
      </c>
    </row>
    <row r="2" spans="1:23" ht="84.6" customHeight="1" x14ac:dyDescent="0.25">
      <c r="A2" s="177" t="s">
        <v>479</v>
      </c>
      <c r="B2" s="3"/>
      <c r="C2" s="194"/>
      <c r="D2" s="629" t="s">
        <v>1407</v>
      </c>
      <c r="E2" s="631" t="s">
        <v>1410</v>
      </c>
      <c r="F2" s="422"/>
      <c r="N2" s="823" t="s">
        <v>1817</v>
      </c>
      <c r="O2" s="862"/>
      <c r="P2" s="862"/>
      <c r="Q2" s="862"/>
      <c r="R2" s="862"/>
      <c r="S2" s="862"/>
      <c r="T2" s="862"/>
      <c r="U2" s="862"/>
      <c r="V2" s="862"/>
      <c r="W2" s="862"/>
    </row>
    <row r="3" spans="1:23" ht="68.099999999999994" customHeight="1" x14ac:dyDescent="0.25">
      <c r="A3" s="177" t="s">
        <v>480</v>
      </c>
      <c r="B3" s="3"/>
      <c r="C3" s="194"/>
      <c r="E3" s="422" t="s">
        <v>1568</v>
      </c>
    </row>
    <row r="4" spans="1:23" ht="59.1" customHeight="1" x14ac:dyDescent="0.25">
      <c r="A4" s="177" t="s">
        <v>481</v>
      </c>
      <c r="B4" s="3"/>
      <c r="C4" s="194"/>
      <c r="E4" s="422" t="s">
        <v>1569</v>
      </c>
    </row>
    <row r="5" spans="1:23" x14ac:dyDescent="0.25">
      <c r="U5" s="422"/>
    </row>
    <row r="6" spans="1:23" x14ac:dyDescent="0.25">
      <c r="A6" s="630" t="s">
        <v>1408</v>
      </c>
      <c r="E6" s="422" t="s">
        <v>1805</v>
      </c>
      <c r="U6" s="422"/>
    </row>
    <row r="7" spans="1:23" x14ac:dyDescent="0.25">
      <c r="A7" s="630" t="s">
        <v>1563</v>
      </c>
      <c r="U7" s="422"/>
    </row>
    <row r="8" spans="1:23" x14ac:dyDescent="0.25">
      <c r="A8" s="177" t="s">
        <v>483</v>
      </c>
      <c r="B8" s="27">
        <v>3500</v>
      </c>
    </row>
    <row r="10" spans="1:23" x14ac:dyDescent="0.25">
      <c r="H10" t="s">
        <v>1806</v>
      </c>
      <c r="K10" t="s">
        <v>1810</v>
      </c>
      <c r="L10" s="11" t="s">
        <v>1807</v>
      </c>
      <c r="M10" s="11" t="s">
        <v>193</v>
      </c>
      <c r="N10" s="11" t="s">
        <v>1808</v>
      </c>
      <c r="O10" s="11" t="s">
        <v>1809</v>
      </c>
    </row>
    <row r="11" spans="1:23" x14ac:dyDescent="0.25">
      <c r="A11" t="s">
        <v>484</v>
      </c>
      <c r="L11" s="11"/>
      <c r="M11" s="11" t="s">
        <v>141</v>
      </c>
      <c r="N11" t="s">
        <v>10</v>
      </c>
      <c r="O11" t="s">
        <v>10</v>
      </c>
    </row>
    <row r="12" spans="1:23" x14ac:dyDescent="0.25">
      <c r="A12" t="s">
        <v>486</v>
      </c>
      <c r="B12" t="s">
        <v>213</v>
      </c>
      <c r="D12" t="s">
        <v>411</v>
      </c>
      <c r="E12" t="s">
        <v>487</v>
      </c>
      <c r="H12" s="3"/>
      <c r="I12" s="3"/>
      <c r="K12" s="3"/>
      <c r="L12" s="3"/>
      <c r="M12" s="368"/>
    </row>
    <row r="13" spans="1:23" x14ac:dyDescent="0.25">
      <c r="A13" s="176">
        <v>1</v>
      </c>
      <c r="B13" s="14"/>
      <c r="C13" s="422" t="str">
        <f ca="1">IFERROR(_xlfn.FORMULATEXT(B13)," ")</f>
        <v xml:space="preserve"> </v>
      </c>
      <c r="D13" s="189"/>
      <c r="E13" s="11">
        <f>D13*B13</f>
        <v>0</v>
      </c>
      <c r="H13" s="3"/>
      <c r="I13" s="3"/>
      <c r="K13" s="3"/>
      <c r="L13" s="3"/>
      <c r="M13" s="3"/>
    </row>
    <row r="14" spans="1:23" x14ac:dyDescent="0.25">
      <c r="A14" s="176">
        <v>2</v>
      </c>
      <c r="B14" s="14"/>
      <c r="C14" t="str">
        <f ca="1">IFERROR(_xlfn.FORMULATEXT(B14)," ")</f>
        <v xml:space="preserve"> </v>
      </c>
      <c r="D14" s="189"/>
      <c r="E14" s="11">
        <f>D14*B14</f>
        <v>0</v>
      </c>
      <c r="H14" s="3"/>
      <c r="I14" s="3"/>
      <c r="K14" s="3"/>
      <c r="L14" s="14"/>
      <c r="M14" s="14"/>
    </row>
    <row r="15" spans="1:23" x14ac:dyDescent="0.25">
      <c r="A15" s="176">
        <v>3</v>
      </c>
      <c r="B15" s="14"/>
      <c r="C15" t="str">
        <f ca="1">IFERROR(_xlfn.FORMULATEXT(B15)," ")</f>
        <v xml:space="preserve"> </v>
      </c>
      <c r="D15" s="189"/>
      <c r="E15" s="11">
        <f>D15*B15</f>
        <v>0</v>
      </c>
      <c r="H15" t="s">
        <v>1811</v>
      </c>
      <c r="K15" s="12"/>
      <c r="L15" s="12"/>
      <c r="M15" s="12"/>
      <c r="N15">
        <f>SUM(N12:N14)</f>
        <v>0</v>
      </c>
      <c r="O15">
        <f>SUM(O12:O14)</f>
        <v>0</v>
      </c>
    </row>
    <row r="16" spans="1:23" x14ac:dyDescent="0.25">
      <c r="E16" s="191">
        <f>SUM(E13:E15)</f>
        <v>0</v>
      </c>
    </row>
    <row r="17" spans="1:22" x14ac:dyDescent="0.25">
      <c r="D17" s="191"/>
      <c r="H17" t="s">
        <v>1812</v>
      </c>
      <c r="N17" s="3"/>
      <c r="O17" s="3"/>
    </row>
    <row r="18" spans="1:22" x14ac:dyDescent="0.25">
      <c r="A18" s="422" t="s">
        <v>980</v>
      </c>
      <c r="H18" t="s">
        <v>1813</v>
      </c>
      <c r="N18" s="3"/>
      <c r="O18" s="3"/>
    </row>
    <row r="19" spans="1:22" x14ac:dyDescent="0.25">
      <c r="A19" t="s">
        <v>488</v>
      </c>
      <c r="B19" s="11">
        <f>B8</f>
        <v>3500</v>
      </c>
      <c r="H19" t="s">
        <v>1814</v>
      </c>
      <c r="N19">
        <f>N17-N18</f>
        <v>0</v>
      </c>
      <c r="O19">
        <f>O17-O18</f>
        <v>0</v>
      </c>
    </row>
    <row r="20" spans="1:22" x14ac:dyDescent="0.25">
      <c r="A20" t="s">
        <v>485</v>
      </c>
      <c r="B20" s="190"/>
      <c r="H20" t="s">
        <v>1815</v>
      </c>
      <c r="N20">
        <f>N15-N19</f>
        <v>0</v>
      </c>
      <c r="O20">
        <f>O15-O19</f>
        <v>0</v>
      </c>
    </row>
    <row r="21" spans="1:22" x14ac:dyDescent="0.25">
      <c r="A21" t="s">
        <v>489</v>
      </c>
      <c r="B21" s="3"/>
      <c r="C21" t="s">
        <v>490</v>
      </c>
    </row>
    <row r="23" spans="1:22" x14ac:dyDescent="0.25">
      <c r="A23" t="s">
        <v>491</v>
      </c>
      <c r="B23" s="12">
        <f>B19/(1+B20)^B21</f>
        <v>3500</v>
      </c>
      <c r="C23" s="422" t="str">
        <f>"("&amp;B19&amp;"/(1 + "&amp;B20&amp;")^"&amp;B21&amp;")"</f>
        <v>(3500/(1 + )^)</v>
      </c>
      <c r="P23" s="823" t="s">
        <v>1414</v>
      </c>
      <c r="Q23" s="823"/>
      <c r="R23" s="823"/>
      <c r="S23" s="823"/>
      <c r="T23" s="823"/>
      <c r="U23" s="823"/>
      <c r="V23" s="823"/>
    </row>
    <row r="24" spans="1:22" x14ac:dyDescent="0.25">
      <c r="A24" t="s">
        <v>498</v>
      </c>
      <c r="B24" s="12">
        <f>B23*B20</f>
        <v>0</v>
      </c>
      <c r="P24" s="823"/>
      <c r="Q24" s="823"/>
      <c r="R24" s="823"/>
      <c r="S24" s="823"/>
      <c r="T24" s="823"/>
      <c r="U24" s="823"/>
      <c r="V24" s="823"/>
    </row>
    <row r="25" spans="1:22" x14ac:dyDescent="0.25">
      <c r="B25" s="12"/>
      <c r="P25" s="823"/>
      <c r="Q25" s="823"/>
      <c r="R25" s="823"/>
      <c r="S25" s="823"/>
      <c r="T25" s="823"/>
      <c r="U25" s="823"/>
      <c r="V25" s="823"/>
    </row>
    <row r="26" spans="1:22" x14ac:dyDescent="0.25">
      <c r="A26" s="422" t="s">
        <v>1409</v>
      </c>
      <c r="P26" s="823"/>
      <c r="Q26" s="823"/>
      <c r="R26" s="823"/>
      <c r="S26" s="823"/>
      <c r="T26" s="823"/>
      <c r="U26" s="823"/>
      <c r="V26" s="823"/>
    </row>
    <row r="27" spans="1:22" x14ac:dyDescent="0.25">
      <c r="A27" t="s">
        <v>492</v>
      </c>
      <c r="B27" s="12"/>
      <c r="P27" s="823"/>
      <c r="Q27" s="823"/>
      <c r="R27" s="823"/>
      <c r="S27" s="823"/>
      <c r="T27" s="823"/>
      <c r="U27" s="823"/>
      <c r="V27" s="823"/>
    </row>
    <row r="28" spans="1:22" x14ac:dyDescent="0.25">
      <c r="A28" t="s">
        <v>493</v>
      </c>
      <c r="B28" s="12">
        <f>B23</f>
        <v>3500</v>
      </c>
      <c r="P28" s="823"/>
      <c r="Q28" s="823"/>
      <c r="R28" s="823"/>
      <c r="S28" s="823"/>
      <c r="T28" s="823"/>
      <c r="U28" s="823"/>
      <c r="V28" s="823"/>
    </row>
    <row r="29" spans="1:22" x14ac:dyDescent="0.25">
      <c r="A29" t="s">
        <v>494</v>
      </c>
      <c r="C29" s="12">
        <f>B23</f>
        <v>3500</v>
      </c>
      <c r="P29" s="499" t="s">
        <v>1779</v>
      </c>
    </row>
    <row r="30" spans="1:22" x14ac:dyDescent="0.25">
      <c r="C30" s="12"/>
      <c r="P30" s="499" t="s">
        <v>1570</v>
      </c>
    </row>
    <row r="31" spans="1:22" x14ac:dyDescent="0.25">
      <c r="A31" s="422" t="s">
        <v>981</v>
      </c>
    </row>
    <row r="32" spans="1:22" x14ac:dyDescent="0.25">
      <c r="A32" t="s">
        <v>495</v>
      </c>
      <c r="P32" s="422" t="s">
        <v>1780</v>
      </c>
    </row>
    <row r="33" spans="1:3" x14ac:dyDescent="0.25">
      <c r="A33" t="s">
        <v>496</v>
      </c>
      <c r="B33" s="12">
        <f>B24</f>
        <v>0</v>
      </c>
    </row>
    <row r="34" spans="1:3" x14ac:dyDescent="0.25">
      <c r="A34" t="s">
        <v>497</v>
      </c>
      <c r="C34" s="12">
        <f>B33</f>
        <v>0</v>
      </c>
    </row>
    <row r="36" spans="1:3" x14ac:dyDescent="0.25">
      <c r="A36" s="422"/>
    </row>
    <row r="37" spans="1:3" ht="15.75" thickBot="1" x14ac:dyDescent="0.3">
      <c r="A37" s="422" t="s">
        <v>936</v>
      </c>
    </row>
    <row r="38" spans="1:3" x14ac:dyDescent="0.25">
      <c r="A38" s="633" t="s">
        <v>1411</v>
      </c>
      <c r="B38" s="63"/>
      <c r="C38" s="64"/>
    </row>
    <row r="39" spans="1:3" x14ac:dyDescent="0.25">
      <c r="A39" s="634" t="s">
        <v>1412</v>
      </c>
      <c r="B39" s="49"/>
      <c r="C39" s="68"/>
    </row>
    <row r="40" spans="1:3" x14ac:dyDescent="0.25">
      <c r="A40" s="634" t="s">
        <v>485</v>
      </c>
      <c r="B40" s="52"/>
      <c r="C40" s="68"/>
    </row>
    <row r="41" spans="1:3" x14ac:dyDescent="0.25">
      <c r="A41" s="500"/>
      <c r="B41" s="66">
        <f>B40*B39</f>
        <v>0</v>
      </c>
      <c r="C41" s="68"/>
    </row>
    <row r="42" spans="1:3" x14ac:dyDescent="0.25">
      <c r="A42" s="500"/>
      <c r="B42" s="101" t="s">
        <v>173</v>
      </c>
      <c r="C42" s="192" t="s">
        <v>165</v>
      </c>
    </row>
    <row r="43" spans="1:3" x14ac:dyDescent="0.25">
      <c r="A43" s="500"/>
      <c r="B43" s="101" t="s">
        <v>141</v>
      </c>
      <c r="C43" s="192" t="s">
        <v>141</v>
      </c>
    </row>
    <row r="44" spans="1:3" x14ac:dyDescent="0.25">
      <c r="A44" s="634" t="s">
        <v>1413</v>
      </c>
      <c r="B44" s="66">
        <f>B41</f>
        <v>0</v>
      </c>
      <c r="C44" s="68"/>
    </row>
    <row r="45" spans="1:3" ht="15.75" thickBot="1" x14ac:dyDescent="0.3">
      <c r="A45" s="635" t="s">
        <v>497</v>
      </c>
      <c r="B45" s="73"/>
      <c r="C45" s="82">
        <f>B41</f>
        <v>0</v>
      </c>
    </row>
    <row r="46" spans="1:3" x14ac:dyDescent="0.25">
      <c r="A46" s="422"/>
    </row>
    <row r="47" spans="1:3" x14ac:dyDescent="0.25">
      <c r="A47" s="422" t="s">
        <v>1776</v>
      </c>
    </row>
    <row r="48" spans="1:3" x14ac:dyDescent="0.25">
      <c r="A48" s="422" t="s">
        <v>1777</v>
      </c>
    </row>
    <row r="49" spans="1:3" ht="15.75" thickBot="1" x14ac:dyDescent="0.3">
      <c r="A49" s="422" t="s">
        <v>1778</v>
      </c>
    </row>
    <row r="50" spans="1:3" x14ac:dyDescent="0.25">
      <c r="A50" s="75" t="s">
        <v>499</v>
      </c>
      <c r="B50" s="63"/>
      <c r="C50" s="64"/>
    </row>
    <row r="51" spans="1:3" x14ac:dyDescent="0.25">
      <c r="A51" s="65" t="s">
        <v>500</v>
      </c>
      <c r="B51" s="66"/>
      <c r="C51" s="78">
        <f>B39+B44</f>
        <v>0</v>
      </c>
    </row>
    <row r="52" spans="1:3" x14ac:dyDescent="0.25">
      <c r="A52" s="65" t="s">
        <v>501</v>
      </c>
      <c r="B52" s="66"/>
      <c r="C52" s="71">
        <f>C29</f>
        <v>3500</v>
      </c>
    </row>
    <row r="53" spans="1:3" x14ac:dyDescent="0.25">
      <c r="A53" s="65"/>
      <c r="B53" s="66"/>
      <c r="C53" s="193">
        <f>C52-C51</f>
        <v>3500</v>
      </c>
    </row>
    <row r="54" spans="1:3" x14ac:dyDescent="0.25">
      <c r="A54" s="65"/>
      <c r="B54" s="66"/>
      <c r="C54" s="71"/>
    </row>
    <row r="55" spans="1:3" x14ac:dyDescent="0.25">
      <c r="A55" s="65"/>
      <c r="B55" s="101" t="s">
        <v>173</v>
      </c>
      <c r="C55" s="192" t="s">
        <v>165</v>
      </c>
    </row>
    <row r="56" spans="1:3" x14ac:dyDescent="0.25">
      <c r="A56" s="65"/>
      <c r="B56" s="101" t="s">
        <v>141</v>
      </c>
      <c r="C56" s="192" t="s">
        <v>141</v>
      </c>
    </row>
    <row r="57" spans="1:3" x14ac:dyDescent="0.25">
      <c r="A57" s="65" t="s">
        <v>535</v>
      </c>
      <c r="B57" s="17">
        <f>C53</f>
        <v>3500</v>
      </c>
      <c r="C57" s="68"/>
    </row>
    <row r="58" spans="1:3" ht="15.75" thickBot="1" x14ac:dyDescent="0.3">
      <c r="A58" s="72" t="s">
        <v>497</v>
      </c>
      <c r="B58" s="73"/>
      <c r="C58" s="110">
        <f>B57</f>
        <v>3500</v>
      </c>
    </row>
    <row r="61" spans="1:3" x14ac:dyDescent="0.25">
      <c r="A61" s="422" t="s">
        <v>935</v>
      </c>
    </row>
    <row r="63" spans="1:3" ht="15.75" thickBot="1" x14ac:dyDescent="0.3"/>
    <row r="64" spans="1:3" ht="15.75" thickBot="1" x14ac:dyDescent="0.3">
      <c r="A64" s="157" t="s">
        <v>390</v>
      </c>
      <c r="B64" s="154"/>
      <c r="C64" s="155"/>
    </row>
    <row r="65" spans="1:3" x14ac:dyDescent="0.25">
      <c r="A65" s="65"/>
      <c r="B65" s="142" t="s">
        <v>10</v>
      </c>
      <c r="C65" s="68"/>
    </row>
    <row r="66" spans="1:3" x14ac:dyDescent="0.25">
      <c r="A66" s="65" t="s">
        <v>345</v>
      </c>
      <c r="B66" s="121"/>
      <c r="C66" s="68"/>
    </row>
    <row r="67" spans="1:3" x14ac:dyDescent="0.25">
      <c r="A67" s="65" t="s">
        <v>359</v>
      </c>
      <c r="B67" s="169">
        <f>C3</f>
        <v>0</v>
      </c>
      <c r="C67" s="68"/>
    </row>
    <row r="68" spans="1:3" x14ac:dyDescent="0.25">
      <c r="A68" s="65" t="s">
        <v>360</v>
      </c>
      <c r="B68" s="158">
        <f>B66-B67</f>
        <v>0</v>
      </c>
      <c r="C68" s="68"/>
    </row>
    <row r="69" spans="1:3" x14ac:dyDescent="0.25">
      <c r="A69" s="65"/>
      <c r="B69" s="66"/>
      <c r="C69" s="68"/>
    </row>
    <row r="70" spans="1:3" x14ac:dyDescent="0.25">
      <c r="A70" s="65" t="s">
        <v>361</v>
      </c>
      <c r="B70" s="49"/>
      <c r="C70" s="68"/>
    </row>
    <row r="71" spans="1:3" ht="15.75" thickBot="1" x14ac:dyDescent="0.3">
      <c r="A71" s="65" t="s">
        <v>362</v>
      </c>
      <c r="B71" s="159">
        <f>IF(B68-B70&lt;0,B70-B68,0)</f>
        <v>0</v>
      </c>
      <c r="C71" s="68"/>
    </row>
    <row r="72" spans="1:3" ht="15.75" thickTop="1" x14ac:dyDescent="0.25">
      <c r="A72" s="65"/>
      <c r="B72" s="628"/>
      <c r="C72" s="68"/>
    </row>
    <row r="73" spans="1:3" x14ac:dyDescent="0.25">
      <c r="A73" s="500" t="s">
        <v>1415</v>
      </c>
      <c r="B73" s="628"/>
      <c r="C73" s="68"/>
    </row>
    <row r="74" spans="1:3" x14ac:dyDescent="0.25">
      <c r="A74" s="500" t="s">
        <v>1416</v>
      </c>
      <c r="B74" s="628"/>
      <c r="C74" s="68"/>
    </row>
    <row r="75" spans="1:3" x14ac:dyDescent="0.25">
      <c r="A75" s="500" t="s">
        <v>1816</v>
      </c>
      <c r="B75" s="628"/>
      <c r="C75" s="68"/>
    </row>
    <row r="76" spans="1:3" x14ac:dyDescent="0.25">
      <c r="A76" s="500" t="s">
        <v>1393</v>
      </c>
      <c r="B76" s="628"/>
      <c r="C76" s="68"/>
    </row>
    <row r="77" spans="1:3" x14ac:dyDescent="0.25">
      <c r="A77" s="500" t="s">
        <v>1417</v>
      </c>
      <c r="B77" s="628"/>
      <c r="C77" s="68"/>
    </row>
    <row r="78" spans="1:3" x14ac:dyDescent="0.25">
      <c r="A78" s="500" t="s">
        <v>1397</v>
      </c>
      <c r="B78" s="628"/>
      <c r="C78" s="68"/>
    </row>
    <row r="79" spans="1:3" x14ac:dyDescent="0.25">
      <c r="A79" s="65"/>
      <c r="B79" s="66"/>
      <c r="C79" s="68"/>
    </row>
    <row r="80" spans="1:3" x14ac:dyDescent="0.25">
      <c r="A80" s="65"/>
      <c r="B80" s="101" t="s">
        <v>173</v>
      </c>
      <c r="C80" s="102" t="s">
        <v>165</v>
      </c>
    </row>
    <row r="81" spans="1:3" x14ac:dyDescent="0.25">
      <c r="A81" s="65"/>
      <c r="B81" s="101" t="s">
        <v>141</v>
      </c>
      <c r="C81" s="102" t="s">
        <v>141</v>
      </c>
    </row>
    <row r="82" spans="1:3" x14ac:dyDescent="0.25">
      <c r="A82" s="65" t="s">
        <v>323</v>
      </c>
      <c r="B82" s="66">
        <f>IF(B71&lt;&gt;0,B71,0)</f>
        <v>0</v>
      </c>
      <c r="C82" s="68"/>
    </row>
    <row r="83" spans="1:3" x14ac:dyDescent="0.25">
      <c r="A83" s="65" t="s">
        <v>391</v>
      </c>
      <c r="B83" s="66"/>
      <c r="C83" s="68">
        <f>IF(B71&lt;&gt;0,B71,0)</f>
        <v>0</v>
      </c>
    </row>
    <row r="84" spans="1:3" x14ac:dyDescent="0.25">
      <c r="A84" s="65"/>
      <c r="B84" s="66"/>
      <c r="C84" s="68"/>
    </row>
    <row r="85" spans="1:3" x14ac:dyDescent="0.25">
      <c r="A85" s="65"/>
      <c r="B85" s="66"/>
      <c r="C85" s="68"/>
    </row>
    <row r="86" spans="1:3" ht="15.75" thickBot="1" x14ac:dyDescent="0.3">
      <c r="A86" s="72"/>
      <c r="B86" s="73"/>
      <c r="C86" s="82"/>
    </row>
    <row r="88" spans="1:3" ht="15.75" thickBot="1" x14ac:dyDescent="0.3"/>
    <row r="89" spans="1:3" ht="15.75" thickBot="1" x14ac:dyDescent="0.3">
      <c r="A89" s="157" t="s">
        <v>1564</v>
      </c>
      <c r="B89" s="154"/>
      <c r="C89" s="155"/>
    </row>
    <row r="90" spans="1:3" x14ac:dyDescent="0.25">
      <c r="A90" s="422" t="s">
        <v>1565</v>
      </c>
    </row>
    <row r="91" spans="1:3" x14ac:dyDescent="0.25">
      <c r="A91" s="422" t="s">
        <v>1566</v>
      </c>
    </row>
    <row r="92" spans="1:3" x14ac:dyDescent="0.25">
      <c r="A92" s="422" t="s">
        <v>1567</v>
      </c>
    </row>
    <row r="93" spans="1:3" x14ac:dyDescent="0.25">
      <c r="A93" s="422"/>
    </row>
  </sheetData>
  <mergeCells count="2">
    <mergeCell ref="P23:V28"/>
    <mergeCell ref="N2:W2"/>
  </mergeCell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D7E606B2-B249-4AAC-BC5F-332BE027F92D}">
          <x14:formula1>
            <xm:f>Inputs!$B$5:$B$6</xm:f>
          </x14:formula1>
          <xm:sqref>B2:B4</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69A845-CCAE-4245-A314-277E5F319D70}">
  <sheetPr codeName="Sheet25"/>
  <dimension ref="B1:J55"/>
  <sheetViews>
    <sheetView zoomScale="46" zoomScaleNormal="85" workbookViewId="0">
      <selection activeCell="C23" sqref="C22:C23"/>
    </sheetView>
  </sheetViews>
  <sheetFormatPr defaultRowHeight="15" x14ac:dyDescent="0.25"/>
  <cols>
    <col min="1" max="1" width="3" customWidth="1"/>
    <col min="2" max="2" width="28" customWidth="1"/>
    <col min="3" max="4" width="13.85546875" bestFit="1" customWidth="1"/>
    <col min="5" max="5" width="15.42578125" customWidth="1"/>
    <col min="6" max="6" width="24.140625" customWidth="1"/>
    <col min="7" max="7" width="21.140625" customWidth="1"/>
  </cols>
  <sheetData>
    <row r="1" spans="2:7" x14ac:dyDescent="0.25">
      <c r="B1" t="s">
        <v>369</v>
      </c>
      <c r="C1" s="14">
        <v>360000</v>
      </c>
    </row>
    <row r="2" spans="2:7" x14ac:dyDescent="0.25">
      <c r="B2" t="s">
        <v>531</v>
      </c>
      <c r="C2" s="189">
        <v>0.25</v>
      </c>
    </row>
    <row r="3" spans="2:7" x14ac:dyDescent="0.25">
      <c r="B3" t="s">
        <v>522</v>
      </c>
      <c r="C3" s="36" t="s">
        <v>523</v>
      </c>
    </row>
    <row r="5" spans="2:7" x14ac:dyDescent="0.25">
      <c r="D5" s="16" t="str">
        <f>C3</f>
        <v>USD</v>
      </c>
      <c r="E5" s="1" t="s">
        <v>506</v>
      </c>
    </row>
    <row r="6" spans="2:7" x14ac:dyDescent="0.25">
      <c r="B6" t="s">
        <v>521</v>
      </c>
      <c r="D6" s="196">
        <v>1.6</v>
      </c>
      <c r="E6" t="s">
        <v>505</v>
      </c>
    </row>
    <row r="7" spans="2:7" x14ac:dyDescent="0.25">
      <c r="B7" t="s">
        <v>502</v>
      </c>
      <c r="D7" s="3">
        <v>1.63</v>
      </c>
      <c r="E7" t="s">
        <v>505</v>
      </c>
    </row>
    <row r="8" spans="2:7" x14ac:dyDescent="0.25">
      <c r="B8" t="s">
        <v>503</v>
      </c>
      <c r="D8" s="3">
        <v>1.65</v>
      </c>
      <c r="E8" t="s">
        <v>505</v>
      </c>
    </row>
    <row r="9" spans="2:7" ht="15.75" thickBot="1" x14ac:dyDescent="0.3"/>
    <row r="10" spans="2:7" ht="15.75" thickBot="1" x14ac:dyDescent="0.3">
      <c r="B10" s="157" t="s">
        <v>534</v>
      </c>
      <c r="C10" s="154"/>
      <c r="D10" s="154"/>
      <c r="E10" s="154"/>
      <c r="F10" s="154"/>
      <c r="G10" s="155"/>
    </row>
    <row r="11" spans="2:7" ht="15.75" thickBot="1" x14ac:dyDescent="0.3"/>
    <row r="12" spans="2:7" ht="15.75" thickBot="1" x14ac:dyDescent="0.3">
      <c r="B12" s="157" t="s">
        <v>533</v>
      </c>
      <c r="C12" s="154"/>
      <c r="D12" s="154"/>
      <c r="E12" s="154"/>
      <c r="F12" s="154"/>
      <c r="G12" s="155"/>
    </row>
    <row r="13" spans="2:7" x14ac:dyDescent="0.25">
      <c r="B13" s="62" t="s">
        <v>507</v>
      </c>
      <c r="C13" s="63" t="s">
        <v>514</v>
      </c>
      <c r="D13" s="63" t="s">
        <v>508</v>
      </c>
      <c r="E13" s="63" t="s">
        <v>509</v>
      </c>
      <c r="F13" s="64" t="s">
        <v>510</v>
      </c>
      <c r="G13" s="198" t="str">
        <f>"NCI share = "&amp;C2&amp;"%"</f>
        <v>NCI share = 0.25%</v>
      </c>
    </row>
    <row r="14" spans="2:7" x14ac:dyDescent="0.25">
      <c r="B14" s="65"/>
      <c r="C14" s="66"/>
      <c r="D14" s="149" t="s">
        <v>10</v>
      </c>
      <c r="E14" s="149" t="s">
        <v>10</v>
      </c>
      <c r="F14" s="150" t="s">
        <v>10</v>
      </c>
      <c r="G14" s="199"/>
    </row>
    <row r="15" spans="2:7" x14ac:dyDescent="0.25">
      <c r="B15" s="65" t="s">
        <v>17</v>
      </c>
      <c r="C15" s="204"/>
      <c r="D15" s="17">
        <f>C15/$D$8</f>
        <v>0</v>
      </c>
      <c r="E15" s="17">
        <f>C15/$D$6</f>
        <v>0</v>
      </c>
      <c r="F15" s="71">
        <f>D15-E15</f>
        <v>0</v>
      </c>
      <c r="G15" s="200">
        <f>E15*$C$2</f>
        <v>0</v>
      </c>
    </row>
    <row r="16" spans="2:7" x14ac:dyDescent="0.25">
      <c r="B16" s="65" t="s">
        <v>515</v>
      </c>
      <c r="C16" s="204"/>
      <c r="D16" s="17">
        <f>C16/$D$8</f>
        <v>0</v>
      </c>
      <c r="E16" s="17">
        <f>C16/$D$6</f>
        <v>0</v>
      </c>
      <c r="F16" s="71">
        <f>D16-E16</f>
        <v>0</v>
      </c>
      <c r="G16" s="200">
        <f>E16*$C$2</f>
        <v>0</v>
      </c>
    </row>
    <row r="17" spans="2:10" x14ac:dyDescent="0.25">
      <c r="B17" s="65"/>
      <c r="C17" s="66"/>
      <c r="D17" s="66"/>
      <c r="E17" s="66"/>
      <c r="F17" s="205">
        <f>SUM(F15:F16)</f>
        <v>0</v>
      </c>
      <c r="G17" s="199"/>
    </row>
    <row r="18" spans="2:10" x14ac:dyDescent="0.25">
      <c r="B18" s="65"/>
      <c r="C18" s="66"/>
      <c r="D18" s="66"/>
      <c r="E18" s="66"/>
      <c r="F18" s="68"/>
      <c r="G18" s="199"/>
    </row>
    <row r="19" spans="2:10" x14ac:dyDescent="0.25">
      <c r="B19" s="65"/>
      <c r="C19" s="66"/>
      <c r="D19" s="66"/>
      <c r="E19" s="66"/>
      <c r="F19" s="68"/>
      <c r="G19" s="199"/>
    </row>
    <row r="20" spans="2:10" x14ac:dyDescent="0.25">
      <c r="B20" s="65" t="s">
        <v>511</v>
      </c>
      <c r="C20" s="66"/>
      <c r="D20" s="66" t="s">
        <v>512</v>
      </c>
      <c r="E20" s="66" t="s">
        <v>513</v>
      </c>
      <c r="F20" s="68" t="s">
        <v>510</v>
      </c>
      <c r="G20" s="199"/>
    </row>
    <row r="21" spans="2:10" x14ac:dyDescent="0.25">
      <c r="B21" s="65"/>
      <c r="C21" s="66"/>
      <c r="D21" s="149" t="s">
        <v>10</v>
      </c>
      <c r="E21" s="149" t="s">
        <v>10</v>
      </c>
      <c r="F21" s="150" t="s">
        <v>10</v>
      </c>
      <c r="G21" s="199"/>
    </row>
    <row r="22" spans="2:10" x14ac:dyDescent="0.25">
      <c r="B22" s="65" t="s">
        <v>516</v>
      </c>
      <c r="C22" s="204"/>
      <c r="D22" s="17">
        <f>C22/$D$8</f>
        <v>0</v>
      </c>
      <c r="E22" s="17">
        <f>C22/$D$7</f>
        <v>0</v>
      </c>
      <c r="F22" s="71">
        <f>D22-E22</f>
        <v>0</v>
      </c>
      <c r="G22" s="200">
        <f>E22*C2</f>
        <v>0</v>
      </c>
    </row>
    <row r="23" spans="2:10" x14ac:dyDescent="0.25">
      <c r="B23" s="65" t="s">
        <v>519</v>
      </c>
      <c r="C23" s="70"/>
      <c r="D23" s="17">
        <f>C23/$D$8</f>
        <v>0</v>
      </c>
      <c r="E23" s="17">
        <f>C23/$D$7</f>
        <v>0</v>
      </c>
      <c r="F23" s="71">
        <f>D23-E23</f>
        <v>0</v>
      </c>
      <c r="G23" s="199"/>
      <c r="J23" s="12" t="s">
        <v>520</v>
      </c>
    </row>
    <row r="24" spans="2:10" x14ac:dyDescent="0.25">
      <c r="B24" s="65"/>
      <c r="C24" s="195">
        <f>C22-C23</f>
        <v>0</v>
      </c>
      <c r="D24" s="195">
        <f>C24/$D$8</f>
        <v>0</v>
      </c>
      <c r="E24" s="195">
        <f>C24/$D$7</f>
        <v>0</v>
      </c>
      <c r="F24" s="205">
        <f>D24-E24</f>
        <v>0</v>
      </c>
      <c r="G24" s="199"/>
    </row>
    <row r="25" spans="2:10" x14ac:dyDescent="0.25">
      <c r="B25" s="65"/>
      <c r="C25" s="66"/>
      <c r="D25" s="66"/>
      <c r="E25" s="66"/>
      <c r="F25" s="68"/>
      <c r="G25" s="199"/>
    </row>
    <row r="26" spans="2:10" ht="15.75" thickBot="1" x14ac:dyDescent="0.3">
      <c r="B26" s="80" t="s">
        <v>517</v>
      </c>
      <c r="C26" s="66"/>
      <c r="D26" s="66"/>
      <c r="E26" s="66"/>
      <c r="F26" s="206">
        <f>F17+F24</f>
        <v>0</v>
      </c>
      <c r="G26" s="201">
        <f>F26*C2</f>
        <v>0</v>
      </c>
    </row>
    <row r="27" spans="2:10" ht="15.75" thickTop="1" x14ac:dyDescent="0.25">
      <c r="B27" s="80"/>
      <c r="C27" s="66"/>
      <c r="D27" s="66"/>
      <c r="E27" s="66"/>
      <c r="F27" s="193"/>
      <c r="G27" s="202"/>
    </row>
    <row r="28" spans="2:10" ht="15.75" thickBot="1" x14ac:dyDescent="0.3">
      <c r="B28" s="72" t="str">
        <f>IF(G26&lt;0,"NCI share of current year profit and exchange losses on translation","NCI share of current year profit and exchange gains on translation")</f>
        <v>NCI share of current year profit and exchange gains on translation</v>
      </c>
      <c r="C28" s="73"/>
      <c r="D28" s="73"/>
      <c r="E28" s="73"/>
      <c r="F28" s="82"/>
      <c r="G28" s="203">
        <f>SUM(G22:G26)</f>
        <v>0</v>
      </c>
    </row>
    <row r="29" spans="2:10" ht="15.75" thickBot="1" x14ac:dyDescent="0.3"/>
    <row r="30" spans="2:10" x14ac:dyDescent="0.25">
      <c r="B30" s="75" t="s">
        <v>532</v>
      </c>
      <c r="C30" s="63"/>
      <c r="D30" s="63"/>
      <c r="E30" s="63"/>
      <c r="F30" s="63"/>
      <c r="G30" s="64"/>
    </row>
    <row r="31" spans="2:10" x14ac:dyDescent="0.25">
      <c r="B31" s="65"/>
      <c r="C31" s="101" t="s">
        <v>173</v>
      </c>
      <c r="D31" s="101" t="s">
        <v>165</v>
      </c>
      <c r="E31" s="66"/>
      <c r="F31" s="66"/>
      <c r="G31" s="68"/>
    </row>
    <row r="32" spans="2:10" x14ac:dyDescent="0.25">
      <c r="B32" s="65"/>
      <c r="C32" s="149" t="s">
        <v>10</v>
      </c>
      <c r="D32" s="149" t="s">
        <v>10</v>
      </c>
      <c r="E32" s="66"/>
      <c r="F32" s="66"/>
      <c r="G32" s="68"/>
    </row>
    <row r="33" spans="2:7" x14ac:dyDescent="0.25">
      <c r="B33" s="65" t="str">
        <f>IF(F15&lt;0,"CR Share Capital","DR Share capital")</f>
        <v>DR Share capital</v>
      </c>
      <c r="C33" s="17">
        <f>IF($F$15&lt;0,0,$F$15)</f>
        <v>0</v>
      </c>
      <c r="D33" s="17">
        <f>IF($F$15&gt;0,0,$F$15)</f>
        <v>0</v>
      </c>
      <c r="E33" s="66"/>
      <c r="F33" s="66"/>
      <c r="G33" s="68"/>
    </row>
    <row r="34" spans="2:7" x14ac:dyDescent="0.25">
      <c r="B34" s="65" t="str">
        <f>IF(F16&lt;0,"CR Retained earnings","DR Retained earnings")</f>
        <v>DR Retained earnings</v>
      </c>
      <c r="C34" s="17">
        <f>IF($F$16&lt;0,0,$F$16)</f>
        <v>0</v>
      </c>
      <c r="D34" s="17">
        <f>IF($F$16&gt;0,0,$F$16)</f>
        <v>0</v>
      </c>
      <c r="E34" s="66"/>
      <c r="F34" s="66"/>
      <c r="G34" s="68"/>
    </row>
    <row r="35" spans="2:7" ht="15.75" thickBot="1" x14ac:dyDescent="0.3">
      <c r="B35" s="72" t="str">
        <f>IF(F26&lt;0,"DR translation reserve","CR Translation Reserve")</f>
        <v>CR Translation Reserve</v>
      </c>
      <c r="C35" s="107">
        <f>IF($F$26&gt;0,0,$F$26)</f>
        <v>0</v>
      </c>
      <c r="D35" s="107">
        <f>IF(SUM($F$26&lt;0),0,$F$26)</f>
        <v>0</v>
      </c>
      <c r="E35" s="73"/>
      <c r="F35" s="73"/>
      <c r="G35" s="82"/>
    </row>
    <row r="36" spans="2:7" x14ac:dyDescent="0.25">
      <c r="G36" s="12">
        <f>C15+C16</f>
        <v>0</v>
      </c>
    </row>
    <row r="37" spans="2:7" x14ac:dyDescent="0.25">
      <c r="G37" s="12">
        <f>G36*0.25</f>
        <v>0</v>
      </c>
    </row>
    <row r="38" spans="2:7" x14ac:dyDescent="0.25">
      <c r="B38" t="s">
        <v>518</v>
      </c>
      <c r="G38" s="12">
        <f>G37-G22</f>
        <v>0</v>
      </c>
    </row>
    <row r="40" spans="2:7" x14ac:dyDescent="0.25">
      <c r="B40" s="1" t="s">
        <v>526</v>
      </c>
    </row>
    <row r="42" spans="2:7" x14ac:dyDescent="0.25">
      <c r="C42" s="2" t="str">
        <f>C3</f>
        <v>USD</v>
      </c>
      <c r="D42" s="2" t="str">
        <f>C3&amp;":GBP"</f>
        <v>USD:GBP</v>
      </c>
      <c r="E42" s="2" t="s">
        <v>504</v>
      </c>
    </row>
    <row r="43" spans="2:7" x14ac:dyDescent="0.25">
      <c r="B43" s="183" t="s">
        <v>530</v>
      </c>
      <c r="C43" s="11">
        <f>E43*D43</f>
        <v>576000</v>
      </c>
      <c r="D43" s="197">
        <f>D6</f>
        <v>1.6</v>
      </c>
      <c r="E43" s="11">
        <f>C1</f>
        <v>360000</v>
      </c>
    </row>
    <row r="44" spans="2:7" x14ac:dyDescent="0.25">
      <c r="B44" s="183" t="s">
        <v>528</v>
      </c>
      <c r="C44" s="207">
        <f>(C15+C16)*C2</f>
        <v>0</v>
      </c>
      <c r="D44" s="197"/>
      <c r="E44" s="11"/>
      <c r="F44" s="12" t="s">
        <v>529</v>
      </c>
    </row>
    <row r="45" spans="2:7" x14ac:dyDescent="0.25">
      <c r="C45" s="11"/>
      <c r="E45" s="11"/>
      <c r="F45" s="12"/>
    </row>
    <row r="46" spans="2:7" x14ac:dyDescent="0.25">
      <c r="B46" s="3" t="str">
        <f>B15</f>
        <v>Share capital</v>
      </c>
      <c r="C46" s="11">
        <f>C15</f>
        <v>0</v>
      </c>
      <c r="D46" s="197">
        <f>$D$6</f>
        <v>1.6</v>
      </c>
      <c r="E46" s="11">
        <f>C46/D46</f>
        <v>0</v>
      </c>
    </row>
    <row r="47" spans="2:7" x14ac:dyDescent="0.25">
      <c r="B47" s="3" t="str">
        <f>B16</f>
        <v>Retained earnings</v>
      </c>
      <c r="C47" s="11">
        <f>C16-C24</f>
        <v>0</v>
      </c>
      <c r="D47" s="197">
        <f>$D$6</f>
        <v>1.6</v>
      </c>
      <c r="E47" s="11">
        <f>C47/D47</f>
        <v>0</v>
      </c>
    </row>
    <row r="48" spans="2:7" x14ac:dyDescent="0.25">
      <c r="B48" s="11"/>
      <c r="C48" s="11"/>
      <c r="D48" s="197"/>
      <c r="E48" s="11"/>
    </row>
    <row r="49" spans="2:5" x14ac:dyDescent="0.25">
      <c r="B49" t="s">
        <v>524</v>
      </c>
      <c r="C49" s="11">
        <v>81000</v>
      </c>
      <c r="D49" s="197">
        <f>D6</f>
        <v>1.6</v>
      </c>
      <c r="E49" s="11">
        <f>C49/D49</f>
        <v>50625</v>
      </c>
    </row>
    <row r="50" spans="2:5" x14ac:dyDescent="0.25">
      <c r="B50" t="s">
        <v>251</v>
      </c>
      <c r="C50" s="11">
        <v>-16</v>
      </c>
      <c r="D50">
        <f>D7</f>
        <v>1.63</v>
      </c>
      <c r="E50" s="11">
        <f>C50/D50</f>
        <v>-9.8159509202453989</v>
      </c>
    </row>
    <row r="51" spans="2:5" x14ac:dyDescent="0.25">
      <c r="B51" t="s">
        <v>525</v>
      </c>
      <c r="C51" s="11"/>
      <c r="E51" s="11"/>
    </row>
    <row r="52" spans="2:5" x14ac:dyDescent="0.25">
      <c r="B52" t="s">
        <v>527</v>
      </c>
      <c r="C52" s="11"/>
      <c r="E52" s="11"/>
    </row>
    <row r="55" spans="2:5" x14ac:dyDescent="0.25">
      <c r="E55" s="12"/>
    </row>
  </sheetData>
  <phoneticPr fontId="3" type="noConversion"/>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EEFA6D-2332-4B62-B638-E405B88F0082}">
  <sheetPr codeName="Sheet26"/>
  <dimension ref="B2:K71"/>
  <sheetViews>
    <sheetView zoomScale="76" workbookViewId="0"/>
  </sheetViews>
  <sheetFormatPr defaultRowHeight="15" x14ac:dyDescent="0.25"/>
  <cols>
    <col min="1" max="1" width="2.5703125" customWidth="1"/>
    <col min="2" max="2" width="46.7109375" customWidth="1"/>
    <col min="3" max="3" width="15.85546875" bestFit="1" customWidth="1"/>
    <col min="4" max="4" width="13.42578125" bestFit="1" customWidth="1"/>
    <col min="5" max="5" width="11.5703125" customWidth="1"/>
    <col min="6" max="6" width="20.5703125" bestFit="1" customWidth="1"/>
    <col min="7" max="7" width="14.5703125" bestFit="1" customWidth="1"/>
    <col min="8" max="8" width="17.85546875" customWidth="1"/>
    <col min="9" max="9" width="14.5703125" bestFit="1" customWidth="1"/>
    <col min="10" max="10" width="10.5703125" bestFit="1" customWidth="1"/>
  </cols>
  <sheetData>
    <row r="2" spans="2:11" ht="15" customHeight="1" x14ac:dyDescent="0.25">
      <c r="B2" s="796" t="s">
        <v>926</v>
      </c>
      <c r="C2" s="796"/>
      <c r="D2" s="796"/>
      <c r="E2" s="796"/>
      <c r="F2" s="796"/>
      <c r="G2" s="796"/>
      <c r="H2" s="796"/>
      <c r="I2" s="796"/>
      <c r="J2" s="796"/>
    </row>
    <row r="3" spans="2:11" x14ac:dyDescent="0.25">
      <c r="B3" s="796"/>
      <c r="C3" s="796"/>
      <c r="D3" s="796"/>
      <c r="E3" s="796"/>
      <c r="F3" s="796"/>
      <c r="G3" s="796"/>
      <c r="H3" s="796"/>
      <c r="I3" s="796"/>
      <c r="J3" s="796"/>
    </row>
    <row r="4" spans="2:11" x14ac:dyDescent="0.25">
      <c r="B4" s="796"/>
      <c r="C4" s="796"/>
      <c r="D4" s="796"/>
      <c r="E4" s="796"/>
      <c r="F4" s="796"/>
      <c r="G4" s="796"/>
      <c r="H4" s="796"/>
      <c r="I4" s="796"/>
      <c r="J4" s="796"/>
    </row>
    <row r="5" spans="2:11" x14ac:dyDescent="0.25">
      <c r="B5" s="796"/>
      <c r="C5" s="796"/>
      <c r="D5" s="796"/>
      <c r="E5" s="796"/>
      <c r="F5" s="796"/>
      <c r="G5" s="796"/>
      <c r="H5" s="796"/>
      <c r="I5" s="796"/>
      <c r="J5" s="796"/>
    </row>
    <row r="6" spans="2:11" x14ac:dyDescent="0.25">
      <c r="B6" s="796"/>
      <c r="C6" s="796"/>
      <c r="D6" s="796"/>
      <c r="E6" s="796"/>
      <c r="F6" s="796"/>
      <c r="G6" s="796"/>
      <c r="H6" s="796"/>
      <c r="I6" s="796"/>
      <c r="J6" s="796"/>
    </row>
    <row r="7" spans="2:11" x14ac:dyDescent="0.25">
      <c r="B7" s="796"/>
      <c r="C7" s="796"/>
      <c r="D7" s="796"/>
      <c r="E7" s="796"/>
      <c r="F7" s="796"/>
      <c r="G7" s="796"/>
      <c r="H7" s="796"/>
      <c r="I7" s="796"/>
      <c r="J7" s="796"/>
    </row>
    <row r="8" spans="2:11" x14ac:dyDescent="0.25">
      <c r="B8" s="796"/>
      <c r="C8" s="796"/>
      <c r="D8" s="796"/>
      <c r="E8" s="796"/>
      <c r="F8" s="796"/>
      <c r="G8" s="796"/>
      <c r="H8" s="796"/>
      <c r="I8" s="796"/>
      <c r="J8" s="796"/>
    </row>
    <row r="9" spans="2:11" x14ac:dyDescent="0.25">
      <c r="B9" s="796"/>
      <c r="C9" s="796"/>
      <c r="D9" s="796"/>
      <c r="E9" s="796"/>
      <c r="F9" s="796"/>
      <c r="G9" s="796"/>
      <c r="H9" s="796"/>
      <c r="I9" s="796"/>
      <c r="J9" s="796"/>
    </row>
    <row r="10" spans="2:11" x14ac:dyDescent="0.25">
      <c r="B10" s="796"/>
      <c r="C10" s="796"/>
      <c r="D10" s="796"/>
      <c r="E10" s="796"/>
      <c r="F10" s="796"/>
      <c r="G10" s="796"/>
      <c r="H10" s="796"/>
      <c r="I10" s="796"/>
      <c r="J10" s="796"/>
    </row>
    <row r="11" spans="2:11" x14ac:dyDescent="0.25">
      <c r="B11" s="796"/>
      <c r="C11" s="796"/>
      <c r="D11" s="796"/>
      <c r="E11" s="796"/>
      <c r="F11" s="796"/>
      <c r="G11" s="796"/>
      <c r="H11" s="796"/>
      <c r="I11" s="796"/>
      <c r="J11" s="796"/>
    </row>
    <row r="12" spans="2:11" x14ac:dyDescent="0.25">
      <c r="B12" s="796"/>
      <c r="C12" s="796"/>
      <c r="D12" s="796"/>
      <c r="E12" s="796"/>
      <c r="F12" s="796"/>
      <c r="G12" s="796"/>
      <c r="H12" s="796"/>
      <c r="I12" s="796"/>
      <c r="J12" s="796"/>
    </row>
    <row r="13" spans="2:11" x14ac:dyDescent="0.25">
      <c r="B13" s="39"/>
      <c r="C13" s="39"/>
      <c r="D13" s="39"/>
      <c r="E13" s="39"/>
      <c r="F13" s="39"/>
      <c r="G13" s="39"/>
      <c r="H13" s="39"/>
      <c r="I13" s="39"/>
      <c r="J13" s="39"/>
    </row>
    <row r="14" spans="2:11" ht="15.75" thickBot="1" x14ac:dyDescent="0.3"/>
    <row r="15" spans="2:11" ht="18" customHeight="1" x14ac:dyDescent="0.25">
      <c r="B15" s="62" t="s">
        <v>229</v>
      </c>
      <c r="C15" s="77"/>
      <c r="E15" s="75" t="s">
        <v>237</v>
      </c>
      <c r="F15" s="63"/>
      <c r="G15" s="63"/>
      <c r="H15" s="63"/>
      <c r="I15" s="64"/>
      <c r="K15" s="422" t="s">
        <v>927</v>
      </c>
    </row>
    <row r="16" spans="2:11" x14ac:dyDescent="0.25">
      <c r="B16" s="65" t="s">
        <v>230</v>
      </c>
      <c r="C16" s="78"/>
      <c r="E16" s="65"/>
      <c r="F16" s="66" t="s">
        <v>12</v>
      </c>
      <c r="G16" s="66"/>
      <c r="H16" s="67" t="s">
        <v>238</v>
      </c>
      <c r="I16" s="68" t="s">
        <v>239</v>
      </c>
      <c r="K16" s="422" t="s">
        <v>929</v>
      </c>
    </row>
    <row r="17" spans="2:11" x14ac:dyDescent="0.25">
      <c r="B17" s="65" t="s">
        <v>227</v>
      </c>
      <c r="C17" s="79">
        <f>C15-C16</f>
        <v>0</v>
      </c>
      <c r="E17" s="65">
        <v>1</v>
      </c>
      <c r="F17" s="69">
        <v>44957</v>
      </c>
      <c r="G17" s="70"/>
      <c r="H17" s="49"/>
      <c r="I17" s="71">
        <f>IF(H17&lt;&gt;0,H17*G17,G17/((1+$G$23)^E17))</f>
        <v>0</v>
      </c>
      <c r="K17" s="422" t="s">
        <v>928</v>
      </c>
    </row>
    <row r="18" spans="2:11" x14ac:dyDescent="0.25">
      <c r="B18" s="65"/>
      <c r="C18" s="79"/>
      <c r="E18" s="65">
        <v>2</v>
      </c>
      <c r="F18" s="69">
        <f>F17+365</f>
        <v>45322</v>
      </c>
      <c r="G18" s="70"/>
      <c r="H18" s="49"/>
      <c r="I18" s="71">
        <f>IF(H18&lt;&gt;0,H18*G18,G18/((1+$G$23)^E18))</f>
        <v>0</v>
      </c>
    </row>
    <row r="19" spans="2:11" x14ac:dyDescent="0.25">
      <c r="B19" s="65"/>
      <c r="C19" s="79"/>
      <c r="E19" s="65">
        <v>3</v>
      </c>
      <c r="F19" s="69">
        <f>F18+366</f>
        <v>45688</v>
      </c>
      <c r="G19" s="70"/>
      <c r="H19" s="49"/>
      <c r="I19" s="71">
        <f>IF(H19&lt;&gt;0,H19*G19,G19/((1+$G$23)^E19))</f>
        <v>0</v>
      </c>
    </row>
    <row r="20" spans="2:11" x14ac:dyDescent="0.25">
      <c r="B20" s="65" t="s">
        <v>231</v>
      </c>
      <c r="C20" s="83">
        <f>I21</f>
        <v>0</v>
      </c>
      <c r="E20" s="65">
        <v>4</v>
      </c>
      <c r="F20" s="69">
        <f>F19+365</f>
        <v>46053</v>
      </c>
      <c r="G20" s="70"/>
      <c r="H20" s="49"/>
      <c r="I20" s="71">
        <f>IF(H20&lt;&gt;0,H20*G20,G20/((1+$G$23)^E20))</f>
        <v>0</v>
      </c>
    </row>
    <row r="21" spans="2:11" ht="15.75" thickBot="1" x14ac:dyDescent="0.3">
      <c r="B21" s="65"/>
      <c r="C21" s="79"/>
      <c r="E21" s="72"/>
      <c r="F21" s="73"/>
      <c r="G21" s="73"/>
      <c r="H21" s="73"/>
      <c r="I21" s="74">
        <f>SUM(I17:I20)</f>
        <v>0</v>
      </c>
    </row>
    <row r="22" spans="2:11" ht="15.75" thickBot="1" x14ac:dyDescent="0.3">
      <c r="B22" s="80" t="s">
        <v>232</v>
      </c>
      <c r="C22" s="79">
        <f>IF(C17&gt;C20,C17,C20)</f>
        <v>0</v>
      </c>
    </row>
    <row r="23" spans="2:11" ht="15.75" thickBot="1" x14ac:dyDescent="0.3">
      <c r="B23" s="65"/>
      <c r="C23" s="79"/>
      <c r="E23" t="s">
        <v>240</v>
      </c>
      <c r="G23" s="76"/>
    </row>
    <row r="24" spans="2:11" x14ac:dyDescent="0.25">
      <c r="B24" s="65" t="s">
        <v>236</v>
      </c>
      <c r="C24" s="78"/>
    </row>
    <row r="25" spans="2:11" x14ac:dyDescent="0.25">
      <c r="B25" s="65" t="s">
        <v>36</v>
      </c>
      <c r="C25" s="78"/>
      <c r="D25" s="11"/>
    </row>
    <row r="26" spans="2:11" x14ac:dyDescent="0.25">
      <c r="B26" s="65" t="s">
        <v>196</v>
      </c>
      <c r="C26" s="78"/>
      <c r="D26" s="11"/>
      <c r="E26" s="12"/>
    </row>
    <row r="27" spans="2:11" x14ac:dyDescent="0.25">
      <c r="B27" s="65" t="s">
        <v>254</v>
      </c>
      <c r="C27" s="71">
        <f>SUM(C25:C26)</f>
        <v>0</v>
      </c>
    </row>
    <row r="28" spans="2:11" x14ac:dyDescent="0.25">
      <c r="B28" s="48"/>
      <c r="C28" s="78"/>
    </row>
    <row r="29" spans="2:11" x14ac:dyDescent="0.25">
      <c r="B29" s="48" t="s">
        <v>551</v>
      </c>
      <c r="C29" s="78"/>
      <c r="D29" s="11"/>
    </row>
    <row r="30" spans="2:11" x14ac:dyDescent="0.25">
      <c r="B30" s="80" t="s">
        <v>233</v>
      </c>
      <c r="C30" s="79">
        <f>SUM(C27,C24,C28:C29)</f>
        <v>0</v>
      </c>
      <c r="F30" s="12"/>
    </row>
    <row r="31" spans="2:11" x14ac:dyDescent="0.25">
      <c r="B31" s="65"/>
      <c r="C31" s="79"/>
      <c r="F31" s="12"/>
    </row>
    <row r="32" spans="2:11" x14ac:dyDescent="0.25">
      <c r="B32" s="80" t="s">
        <v>234</v>
      </c>
      <c r="C32" s="81">
        <f>IF(C22&lt;C30,C22-C30,0)</f>
        <v>0</v>
      </c>
    </row>
    <row r="33" spans="2:11" ht="15.75" thickBot="1" x14ac:dyDescent="0.3">
      <c r="B33" s="72" t="s">
        <v>1781</v>
      </c>
      <c r="C33" s="745" t="e">
        <f>-C32/C30</f>
        <v>#DIV/0!</v>
      </c>
      <c r="E33" s="422" t="e">
        <f>"Assets should be impaired by "&amp;C33*100&amp;"%, however no asset with a known fair value or VIU should be reduced below that figure"</f>
        <v>#DIV/0!</v>
      </c>
      <c r="F33" s="11"/>
    </row>
    <row r="34" spans="2:11" x14ac:dyDescent="0.25">
      <c r="B34" s="66"/>
      <c r="C34" s="66"/>
      <c r="F34" s="11"/>
    </row>
    <row r="35" spans="2:11" x14ac:dyDescent="0.25">
      <c r="F35" s="11"/>
    </row>
    <row r="36" spans="2:11" x14ac:dyDescent="0.25">
      <c r="B36" s="422" t="str">
        <f>"There is an impairment of £"&amp;-C32&amp;". The impairment should be allocated on a pro-rata basis across the tangible and intangible assets in the CGU, after being allocated to goodwill. Impairment to individual assets should be limited to individual recoverable amounts as can't be held below."</f>
        <v>There is an impairment of £0. The impairment should be allocated on a pro-rata basis across the tangible and intangible assets in the CGU, after being allocated to goodwill. Impairment to individual assets should be limited to individual recoverable amounts as can't be held below.</v>
      </c>
      <c r="F36" s="12"/>
    </row>
    <row r="37" spans="2:11" ht="15.75" thickBot="1" x14ac:dyDescent="0.3">
      <c r="B37" s="422" t="s">
        <v>1405</v>
      </c>
      <c r="F37" s="12"/>
    </row>
    <row r="38" spans="2:11" x14ac:dyDescent="0.25">
      <c r="B38" s="75" t="s">
        <v>241</v>
      </c>
      <c r="C38" s="63"/>
      <c r="D38" s="84" t="s">
        <v>255</v>
      </c>
      <c r="E38" s="84"/>
      <c r="F38" s="63"/>
      <c r="G38" s="63"/>
      <c r="H38" s="84" t="s">
        <v>1406</v>
      </c>
      <c r="I38" s="64"/>
    </row>
    <row r="39" spans="2:11" x14ac:dyDescent="0.25">
      <c r="B39" s="65"/>
      <c r="C39" s="66"/>
      <c r="D39" s="66"/>
      <c r="E39" s="66"/>
      <c r="F39" s="66"/>
      <c r="G39" s="66"/>
      <c r="H39" s="88"/>
      <c r="I39" s="68"/>
    </row>
    <row r="40" spans="2:11" x14ac:dyDescent="0.25">
      <c r="B40" s="65" t="s">
        <v>236</v>
      </c>
      <c r="C40" s="85">
        <f>IF(ABS(C32)&gt;=C24,C24,-C32)</f>
        <v>0</v>
      </c>
      <c r="D40" s="66"/>
      <c r="E40" s="66"/>
      <c r="F40" s="66"/>
      <c r="G40" s="66"/>
      <c r="H40" s="17">
        <f>C40</f>
        <v>0</v>
      </c>
      <c r="I40" s="68"/>
      <c r="K40" s="422" t="s">
        <v>262</v>
      </c>
    </row>
    <row r="41" spans="2:11" x14ac:dyDescent="0.25">
      <c r="B41" s="65"/>
      <c r="C41" s="85"/>
      <c r="D41" s="66"/>
      <c r="E41" s="66"/>
      <c r="F41" s="66"/>
      <c r="G41" s="66"/>
      <c r="H41" s="66"/>
      <c r="I41" s="68"/>
      <c r="K41" s="422"/>
    </row>
    <row r="42" spans="2:11" x14ac:dyDescent="0.25">
      <c r="B42" s="65" t="s">
        <v>242</v>
      </c>
      <c r="C42" s="85">
        <f>-C32-C40</f>
        <v>0</v>
      </c>
      <c r="D42" s="88" t="s">
        <v>261</v>
      </c>
      <c r="E42" s="87" t="s">
        <v>256</v>
      </c>
      <c r="F42" s="88" t="s">
        <v>257</v>
      </c>
      <c r="G42" s="88" t="s">
        <v>258</v>
      </c>
      <c r="H42" s="66"/>
      <c r="I42" s="68"/>
      <c r="K42" s="422"/>
    </row>
    <row r="43" spans="2:11" x14ac:dyDescent="0.25">
      <c r="B43" s="65" t="s">
        <v>243</v>
      </c>
      <c r="C43" s="85"/>
      <c r="D43" s="66"/>
      <c r="E43" s="49"/>
      <c r="F43" s="66"/>
      <c r="G43" s="66"/>
      <c r="H43" s="66"/>
      <c r="I43" s="68"/>
      <c r="K43" s="422"/>
    </row>
    <row r="44" spans="2:11" x14ac:dyDescent="0.25">
      <c r="B44" s="65" t="str">
        <f>B25</f>
        <v>PPE</v>
      </c>
      <c r="C44" s="17" t="e">
        <f>$C$42*C27/($C$30-$C$24)</f>
        <v>#DIV/0!</v>
      </c>
      <c r="D44" s="66" t="s">
        <v>148</v>
      </c>
      <c r="E44" s="70">
        <v>0</v>
      </c>
      <c r="F44" s="85">
        <f>IF(D44="Yes",C44-E44,0)</f>
        <v>0</v>
      </c>
      <c r="G44" s="85" t="e">
        <f>IF(AND(SUM($F$44:$F$46)&lt;&gt;0,D44="No"),SUM($F$44:$F$46)*C44/($C$42-SUMIF($D$44:$D$46,"Yes",$C$44:$C$46)),0)</f>
        <v>#DIV/0!</v>
      </c>
      <c r="H44" s="85" t="e">
        <f>IF(D44="Yes",E44,C44+G44)</f>
        <v>#DIV/0!</v>
      </c>
      <c r="I44" s="68"/>
      <c r="K44" s="422" t="s">
        <v>244</v>
      </c>
    </row>
    <row r="45" spans="2:11" x14ac:dyDescent="0.25">
      <c r="B45" s="86">
        <f>B28</f>
        <v>0</v>
      </c>
      <c r="C45" s="17" t="e">
        <f>$C$42*C28/($C$30-$C$24)</f>
        <v>#DIV/0!</v>
      </c>
      <c r="D45" s="66" t="s">
        <v>148</v>
      </c>
      <c r="E45" s="70"/>
      <c r="F45" s="85">
        <f>IF(D45="Yes",C45-E45,0)</f>
        <v>0</v>
      </c>
      <c r="G45" s="85" t="e">
        <f>IF(AND(SUM($F$44:$F$46)&lt;&gt;0,D45="No"),SUM($F$44:$F$46)*C45/($C$42-SUMIF($D$44:$D$46,"Yes",$C$44:$C$46)),0)</f>
        <v>#DIV/0!</v>
      </c>
      <c r="H45" s="85" t="e">
        <f>IF(D45="Yes",E45,C45+G45)</f>
        <v>#DIV/0!</v>
      </c>
      <c r="I45" s="68"/>
      <c r="K45" s="422" t="s">
        <v>245</v>
      </c>
    </row>
    <row r="46" spans="2:11" x14ac:dyDescent="0.25">
      <c r="B46" s="86" t="str">
        <f>B29</f>
        <v>Central PPE</v>
      </c>
      <c r="C46" s="17" t="e">
        <f>$C$42*C29/($C$30-$C$24)</f>
        <v>#DIV/0!</v>
      </c>
      <c r="D46" s="66" t="s">
        <v>147</v>
      </c>
      <c r="E46" s="70">
        <v>0</v>
      </c>
      <c r="F46" s="85" t="e">
        <f>IF(D46="Yes",C46-E46,0)</f>
        <v>#DIV/0!</v>
      </c>
      <c r="G46" s="85" t="e">
        <f>IF(AND(SUM($F$44:$F$46)&lt;&gt;0,D46="No"),SUM($F$44:$F$46)*C46/($C$42-SUMIF($D$44:$D$46,"Yes",$C$44:$C$46)),0)</f>
        <v>#DIV/0!</v>
      </c>
      <c r="H46" s="85">
        <f>IF(D46="Yes",E46,C46+G46)</f>
        <v>0</v>
      </c>
      <c r="I46" s="68"/>
    </row>
    <row r="47" spans="2:11" ht="15.75" thickBot="1" x14ac:dyDescent="0.3">
      <c r="B47" s="72"/>
      <c r="C47" s="73"/>
      <c r="D47" s="73"/>
      <c r="E47" s="73"/>
      <c r="F47" s="73"/>
      <c r="G47" s="73"/>
      <c r="H47" s="73"/>
      <c r="I47" s="82"/>
    </row>
    <row r="49" spans="2:8" ht="15.75" thickBot="1" x14ac:dyDescent="0.3"/>
    <row r="50" spans="2:8" x14ac:dyDescent="0.25">
      <c r="B50" s="62" t="s">
        <v>246</v>
      </c>
      <c r="C50" s="63"/>
      <c r="D50" s="63"/>
      <c r="E50" s="64"/>
    </row>
    <row r="51" spans="2:8" x14ac:dyDescent="0.25">
      <c r="B51" s="65" t="s">
        <v>247</v>
      </c>
      <c r="C51" s="66"/>
      <c r="D51" s="66"/>
      <c r="E51" s="68"/>
    </row>
    <row r="52" spans="2:8" x14ac:dyDescent="0.25">
      <c r="B52" s="65" t="s">
        <v>248</v>
      </c>
      <c r="C52" s="96"/>
      <c r="D52" s="66"/>
      <c r="E52" s="68"/>
      <c r="F52" s="422" t="s">
        <v>930</v>
      </c>
    </row>
    <row r="53" spans="2:8" x14ac:dyDescent="0.25">
      <c r="B53" s="65" t="s">
        <v>249</v>
      </c>
      <c r="C53" s="96"/>
      <c r="D53" s="66"/>
      <c r="E53" s="68"/>
      <c r="F53" s="422" t="s">
        <v>931</v>
      </c>
    </row>
    <row r="54" spans="2:8" x14ac:dyDescent="0.25">
      <c r="B54" s="65" t="s">
        <v>236</v>
      </c>
      <c r="C54" s="90"/>
      <c r="D54" s="66"/>
      <c r="E54" s="68"/>
    </row>
    <row r="55" spans="2:8" x14ac:dyDescent="0.25">
      <c r="B55" s="65" t="s">
        <v>252</v>
      </c>
      <c r="C55" s="148">
        <f>C52-C53+C54</f>
        <v>0</v>
      </c>
      <c r="D55" s="66"/>
      <c r="E55" s="68"/>
    </row>
    <row r="56" spans="2:8" x14ac:dyDescent="0.25">
      <c r="B56" s="65" t="s">
        <v>250</v>
      </c>
      <c r="C56" s="96"/>
      <c r="D56" s="66"/>
      <c r="E56" s="68"/>
    </row>
    <row r="57" spans="2:8" ht="15.75" thickBot="1" x14ac:dyDescent="0.3">
      <c r="B57" s="65" t="s">
        <v>251</v>
      </c>
      <c r="C57" s="25">
        <f>IF(C56&lt;C55,C56-C55,0)</f>
        <v>0</v>
      </c>
      <c r="D57" s="66"/>
      <c r="E57" s="68"/>
    </row>
    <row r="58" spans="2:8" ht="16.5" thickTop="1" thickBot="1" x14ac:dyDescent="0.3">
      <c r="B58" s="72"/>
      <c r="C58" s="73"/>
      <c r="D58" s="73"/>
      <c r="E58" s="82"/>
    </row>
    <row r="59" spans="2:8" ht="15.75" thickBot="1" x14ac:dyDescent="0.3"/>
    <row r="60" spans="2:8" x14ac:dyDescent="0.25">
      <c r="B60" s="75" t="s">
        <v>259</v>
      </c>
      <c r="C60" s="63"/>
      <c r="D60" s="63"/>
      <c r="E60" s="63"/>
      <c r="F60" s="64"/>
      <c r="H60" s="422" t="s">
        <v>1782</v>
      </c>
    </row>
    <row r="61" spans="2:8" x14ac:dyDescent="0.25">
      <c r="B61" s="65" t="s">
        <v>173</v>
      </c>
      <c r="C61" s="66" t="s">
        <v>260</v>
      </c>
      <c r="D61" s="66"/>
      <c r="E61" s="17">
        <f>-C32-C57</f>
        <v>0</v>
      </c>
      <c r="F61" s="68"/>
    </row>
    <row r="62" spans="2:8" x14ac:dyDescent="0.25">
      <c r="B62" s="65" t="s">
        <v>165</v>
      </c>
      <c r="C62" s="66" t="str">
        <f>B40</f>
        <v>Goodwill</v>
      </c>
      <c r="D62" s="66"/>
      <c r="E62" s="66"/>
      <c r="F62" s="71">
        <f>IF(C40&lt;&gt;0,C40,-C57)</f>
        <v>0</v>
      </c>
    </row>
    <row r="63" spans="2:8" x14ac:dyDescent="0.25">
      <c r="B63" s="65" t="s">
        <v>253</v>
      </c>
      <c r="C63" s="66" t="str">
        <f>B44&amp;" - Accumulated Depreciation"</f>
        <v>PPE - Accumulated Depreciation</v>
      </c>
      <c r="D63" s="66"/>
      <c r="E63" s="66"/>
      <c r="F63" s="71" t="e">
        <f>H44</f>
        <v>#DIV/0!</v>
      </c>
    </row>
    <row r="64" spans="2:8" x14ac:dyDescent="0.25">
      <c r="B64" s="65" t="s">
        <v>165</v>
      </c>
      <c r="C64" s="66" t="str">
        <f>B45&amp;" - Accumulated Depreciation"</f>
        <v>0 - Accumulated Depreciation</v>
      </c>
      <c r="D64" s="66"/>
      <c r="E64" s="66"/>
      <c r="F64" s="71" t="e">
        <f>H45</f>
        <v>#DIV/0!</v>
      </c>
    </row>
    <row r="65" spans="2:6" x14ac:dyDescent="0.25">
      <c r="B65" s="65" t="s">
        <v>165</v>
      </c>
      <c r="C65" s="66" t="str">
        <f>B46&amp;" - Accumulated Depreciation"</f>
        <v>Central PPE - Accumulated Depreciation</v>
      </c>
      <c r="D65" s="66"/>
      <c r="E65" s="66"/>
      <c r="F65" s="71">
        <f>H46</f>
        <v>0</v>
      </c>
    </row>
    <row r="66" spans="2:6" ht="15.75" thickBot="1" x14ac:dyDescent="0.3">
      <c r="B66" s="72"/>
      <c r="C66" s="73"/>
      <c r="D66" s="73"/>
      <c r="E66" s="73"/>
      <c r="F66" s="82"/>
    </row>
    <row r="68" spans="2:6" x14ac:dyDescent="0.25">
      <c r="B68" s="422" t="str">
        <f>"The impact on the financial statements is to record a £"&amp;E61&amp;" impairment expense in the statement of profit or loss, which will reduce the profit for the year and therefore retained earnings"</f>
        <v>The impact on the financial statements is to record a £0 impairment expense in the statement of profit or loss, which will reduce the profit for the year and therefore retained earnings</v>
      </c>
    </row>
    <row r="69" spans="2:6" x14ac:dyDescent="0.25">
      <c r="B69" s="422" t="e">
        <f>"Non current assets in the statement of financial position will also be reduced by the same amount, with a £"&amp;G44&amp;" reduction in PPE."</f>
        <v>#DIV/0!</v>
      </c>
    </row>
    <row r="70" spans="2:6" x14ac:dyDescent="0.25">
      <c r="B70" s="422" t="e">
        <f>"Intangible assets will be reduced by £"&amp;H45&amp;" in the SoFP"</f>
        <v>#DIV/0!</v>
      </c>
    </row>
    <row r="71" spans="2:6" x14ac:dyDescent="0.25">
      <c r="B71" s="422" t="str">
        <f>"Goodwill be reduced by £"&amp;C40&amp;" in the SoFP"</f>
        <v>Goodwill be reduced by £0 in the SoFP</v>
      </c>
    </row>
  </sheetData>
  <mergeCells count="1">
    <mergeCell ref="B2:J12"/>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2AFFE42B-610B-440F-9037-CEB197FC28CA}">
          <x14:formula1>
            <xm:f>Inputs!$B$5:$B$6</xm:f>
          </x14:formula1>
          <xm:sqref>D44:D46</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C43C20-F661-438F-ABD1-A0F3C265D874}">
  <sheetPr codeName="Sheet27"/>
  <dimension ref="B1:T104"/>
  <sheetViews>
    <sheetView zoomScale="70" zoomScaleNormal="70" workbookViewId="0">
      <selection activeCell="A28" sqref="A28"/>
    </sheetView>
  </sheetViews>
  <sheetFormatPr defaultRowHeight="15" x14ac:dyDescent="0.25"/>
  <cols>
    <col min="1" max="1" width="2.28515625" customWidth="1"/>
    <col min="2" max="2" width="59.5703125" customWidth="1"/>
    <col min="3" max="3" width="25" customWidth="1"/>
    <col min="4" max="4" width="32.5703125" customWidth="1"/>
    <col min="5" max="5" width="42.42578125" customWidth="1"/>
    <col min="6" max="6" width="31.85546875" customWidth="1"/>
    <col min="7" max="7" width="29.85546875" customWidth="1"/>
    <col min="8" max="8" width="36.85546875" customWidth="1"/>
    <col min="9" max="9" width="12.42578125" customWidth="1"/>
    <col min="10" max="10" width="26.42578125" customWidth="1"/>
    <col min="11" max="11" width="15.5703125" bestFit="1" customWidth="1"/>
    <col min="12" max="12" width="15" bestFit="1" customWidth="1"/>
  </cols>
  <sheetData>
    <row r="1" spans="2:20" ht="15.75" thickBot="1" x14ac:dyDescent="0.3"/>
    <row r="2" spans="2:20" ht="15.75" thickBot="1" x14ac:dyDescent="0.3">
      <c r="B2" s="214" t="s">
        <v>556</v>
      </c>
      <c r="D2" s="863" t="s">
        <v>577</v>
      </c>
      <c r="E2" s="864"/>
      <c r="K2" s="823" t="s">
        <v>620</v>
      </c>
      <c r="L2" s="823"/>
      <c r="M2" s="823"/>
      <c r="N2" s="823"/>
      <c r="O2" s="823"/>
      <c r="P2" s="823"/>
      <c r="Q2" s="823"/>
      <c r="R2" s="823"/>
      <c r="S2" s="823"/>
      <c r="T2" s="823"/>
    </row>
    <row r="3" spans="2:20" ht="72.95" customHeight="1" x14ac:dyDescent="0.25">
      <c r="B3" s="209" t="s">
        <v>555</v>
      </c>
      <c r="D3" s="62" t="s">
        <v>557</v>
      </c>
      <c r="E3" s="212" t="s">
        <v>559</v>
      </c>
      <c r="G3" t="s">
        <v>602</v>
      </c>
      <c r="K3" s="823"/>
      <c r="L3" s="823"/>
      <c r="M3" s="823"/>
      <c r="N3" s="823"/>
      <c r="O3" s="823"/>
      <c r="P3" s="823"/>
      <c r="Q3" s="823"/>
      <c r="R3" s="823"/>
      <c r="S3" s="823"/>
      <c r="T3" s="823"/>
    </row>
    <row r="4" spans="2:20" ht="32.450000000000003" customHeight="1" thickBot="1" x14ac:dyDescent="0.3">
      <c r="B4" s="210" t="s">
        <v>147</v>
      </c>
      <c r="C4" s="224" t="s">
        <v>604</v>
      </c>
      <c r="D4" s="72" t="s">
        <v>552</v>
      </c>
      <c r="E4" s="213" t="str" cm="1">
        <f t="array" ref="E4">_xlfn.IFS(E3="Intention to sell in the short term (held for trading)","FVTPL",E3="Intention to hold and then sell before maturity","FVTOCI",E3="Intention to hold to maturity","AC")</f>
        <v>AC</v>
      </c>
      <c r="G4" t="s">
        <v>603</v>
      </c>
      <c r="K4" s="823"/>
      <c r="L4" s="823"/>
      <c r="M4" s="823"/>
      <c r="N4" s="823"/>
      <c r="O4" s="823"/>
      <c r="P4" s="823"/>
      <c r="Q4" s="823"/>
      <c r="R4" s="823"/>
      <c r="S4" s="823"/>
      <c r="T4" s="823"/>
    </row>
    <row r="5" spans="2:20" ht="68.45" customHeight="1" x14ac:dyDescent="0.25">
      <c r="B5" s="211" t="str" cm="1">
        <f t="array" ref="B5">_xlfn.IFS(B4="No","Measure at FVTPL",B4="YES","The asset is held in a business model with the joint objective of collecting contractual cash flows and selling financial assets?",B4=0," ")</f>
        <v>The asset is held in a business model with the joint objective of collecting contractual cash flows and selling financial assets?</v>
      </c>
      <c r="C5" s="177" t="s">
        <v>576</v>
      </c>
      <c r="K5" s="823"/>
      <c r="L5" s="823"/>
      <c r="M5" s="823"/>
      <c r="N5" s="823"/>
      <c r="O5" s="823"/>
      <c r="P5" s="823"/>
      <c r="Q5" s="823"/>
      <c r="R5" s="823"/>
      <c r="S5" s="823"/>
      <c r="T5" s="823"/>
    </row>
    <row r="6" spans="2:20" x14ac:dyDescent="0.25">
      <c r="B6" s="210"/>
    </row>
    <row r="7" spans="2:20" ht="45.95" customHeight="1" x14ac:dyDescent="0.25">
      <c r="B7" s="211" t="str" cm="1">
        <f t="array" ref="B7">_xlfn.IFS(B6="Yes","Measure at FVTOCI",B6="No","The asset is held in a business model to collect contractual cash flows?",B6=0," ")</f>
        <v xml:space="preserve"> </v>
      </c>
      <c r="D7" s="422" t="s">
        <v>918</v>
      </c>
    </row>
    <row r="8" spans="2:20" x14ac:dyDescent="0.25">
      <c r="B8" s="210"/>
      <c r="D8" s="422" t="s">
        <v>1818</v>
      </c>
    </row>
    <row r="9" spans="2:20" ht="15.75" thickBot="1" x14ac:dyDescent="0.3">
      <c r="B9" s="215" t="str" cm="1">
        <f t="array" ref="B9">_xlfn.IFS(B8="No","Measure at FVTPL",B8="Yes","Measure at AC",B8=0,"  ")</f>
        <v xml:space="preserve">  </v>
      </c>
      <c r="D9" s="422"/>
    </row>
    <row r="10" spans="2:20" x14ac:dyDescent="0.25">
      <c r="D10" s="422"/>
    </row>
    <row r="11" spans="2:20" x14ac:dyDescent="0.25">
      <c r="D11" s="422"/>
    </row>
    <row r="12" spans="2:20" x14ac:dyDescent="0.25">
      <c r="B12" s="1" t="s">
        <v>584</v>
      </c>
    </row>
    <row r="13" spans="2:20" x14ac:dyDescent="0.25">
      <c r="B13" t="s">
        <v>568</v>
      </c>
    </row>
    <row r="14" spans="2:20" x14ac:dyDescent="0.25">
      <c r="B14" t="s">
        <v>569</v>
      </c>
      <c r="C14" s="218">
        <v>6000000</v>
      </c>
      <c r="D14" s="585" t="s">
        <v>1215</v>
      </c>
      <c r="F14" s="11"/>
    </row>
    <row r="15" spans="2:20" x14ac:dyDescent="0.25">
      <c r="B15" t="s">
        <v>1453</v>
      </c>
      <c r="C15" s="218">
        <f>6000000*0.8</f>
        <v>4800000</v>
      </c>
      <c r="D15" s="585" t="s">
        <v>1216</v>
      </c>
      <c r="F15" s="11"/>
    </row>
    <row r="16" spans="2:20" x14ac:dyDescent="0.25">
      <c r="B16" t="s">
        <v>572</v>
      </c>
      <c r="C16" s="218"/>
      <c r="D16" s="422" t="s">
        <v>920</v>
      </c>
      <c r="F16" s="11"/>
    </row>
    <row r="17" spans="2:20" x14ac:dyDescent="0.25">
      <c r="B17" t="s">
        <v>570</v>
      </c>
      <c r="C17" s="225">
        <v>0.04</v>
      </c>
      <c r="D17" s="422" t="s">
        <v>921</v>
      </c>
      <c r="F17" s="12"/>
    </row>
    <row r="18" spans="2:20" x14ac:dyDescent="0.25">
      <c r="B18" t="s">
        <v>349</v>
      </c>
      <c r="C18" s="219">
        <v>8.3799999999999999E-2</v>
      </c>
      <c r="D18" s="422" t="s">
        <v>922</v>
      </c>
    </row>
    <row r="19" spans="2:20" x14ac:dyDescent="0.25">
      <c r="B19" t="s">
        <v>571</v>
      </c>
      <c r="C19" s="36" t="s">
        <v>136</v>
      </c>
    </row>
    <row r="20" spans="2:20" ht="15.75" thickBot="1" x14ac:dyDescent="0.3">
      <c r="K20" s="823" t="s">
        <v>619</v>
      </c>
      <c r="L20" s="823"/>
      <c r="M20" s="823"/>
      <c r="N20" s="823"/>
      <c r="O20" s="823"/>
      <c r="P20" s="823"/>
      <c r="Q20" s="823"/>
      <c r="R20" s="823"/>
      <c r="S20" s="823"/>
      <c r="T20" s="823"/>
    </row>
    <row r="21" spans="2:20" ht="15.75" thickBot="1" x14ac:dyDescent="0.3">
      <c r="B21" s="145" t="s">
        <v>12</v>
      </c>
      <c r="C21" s="146" t="s">
        <v>573</v>
      </c>
      <c r="D21" s="146" t="s">
        <v>349</v>
      </c>
      <c r="E21" s="146" t="s">
        <v>586</v>
      </c>
      <c r="F21" s="147" t="s">
        <v>841</v>
      </c>
      <c r="K21" s="823"/>
      <c r="L21" s="823"/>
      <c r="M21" s="823"/>
      <c r="N21" s="823"/>
      <c r="O21" s="823"/>
      <c r="P21" s="823"/>
      <c r="Q21" s="823"/>
      <c r="R21" s="823"/>
      <c r="S21" s="823"/>
      <c r="T21" s="823"/>
    </row>
    <row r="22" spans="2:20" x14ac:dyDescent="0.25">
      <c r="B22" s="136"/>
      <c r="C22" s="137" t="s">
        <v>141</v>
      </c>
      <c r="D22" s="137" t="s">
        <v>141</v>
      </c>
      <c r="E22" s="137" t="s">
        <v>141</v>
      </c>
      <c r="F22" s="138" t="s">
        <v>141</v>
      </c>
      <c r="K22" s="823"/>
      <c r="L22" s="823"/>
      <c r="M22" s="823"/>
      <c r="N22" s="823"/>
      <c r="O22" s="823"/>
      <c r="P22" s="823"/>
      <c r="Q22" s="823"/>
      <c r="R22" s="823"/>
      <c r="S22" s="823"/>
      <c r="T22" s="823"/>
    </row>
    <row r="23" spans="2:20" x14ac:dyDescent="0.25">
      <c r="B23" s="139">
        <v>41274</v>
      </c>
      <c r="C23" s="85">
        <f>C15+C16</f>
        <v>4800000</v>
      </c>
      <c r="D23" s="85">
        <f t="shared" ref="D23:D28" si="0">IF($C$19="arrears",C23*$C$18,(C23+E23)*$C$18)</f>
        <v>402240</v>
      </c>
      <c r="E23" s="106">
        <f>IF($C$19="ADVANCE",0,-$C$14*$C$17)</f>
        <v>-240000</v>
      </c>
      <c r="F23" s="71">
        <f t="shared" ref="F23:F28" si="1">C23+D23+E23</f>
        <v>4962240</v>
      </c>
      <c r="K23" s="823"/>
      <c r="L23" s="823"/>
      <c r="M23" s="823"/>
      <c r="N23" s="823"/>
      <c r="O23" s="823"/>
      <c r="P23" s="823"/>
      <c r="Q23" s="823"/>
      <c r="R23" s="823"/>
      <c r="S23" s="823"/>
      <c r="T23" s="823"/>
    </row>
    <row r="24" spans="2:20" x14ac:dyDescent="0.25">
      <c r="B24" s="139">
        <f>B23+365</f>
        <v>41639</v>
      </c>
      <c r="C24" s="85">
        <f>F23</f>
        <v>4962240</v>
      </c>
      <c r="D24" s="85">
        <f t="shared" si="0"/>
        <v>415835.712</v>
      </c>
      <c r="E24" s="106">
        <f>(-$C$14*$C$17)</f>
        <v>-240000</v>
      </c>
      <c r="F24" s="71">
        <f t="shared" si="1"/>
        <v>5138075.7120000003</v>
      </c>
      <c r="K24" s="823"/>
      <c r="L24" s="823"/>
      <c r="M24" s="823"/>
      <c r="N24" s="823"/>
      <c r="O24" s="823"/>
      <c r="P24" s="823"/>
      <c r="Q24" s="823"/>
      <c r="R24" s="823"/>
      <c r="S24" s="823"/>
      <c r="T24" s="823"/>
    </row>
    <row r="25" spans="2:20" x14ac:dyDescent="0.25">
      <c r="B25" s="139">
        <f>B24+365</f>
        <v>42004</v>
      </c>
      <c r="C25" s="85">
        <f>F24</f>
        <v>5138075.7120000003</v>
      </c>
      <c r="D25" s="85">
        <f t="shared" si="0"/>
        <v>430570.74466560001</v>
      </c>
      <c r="E25" s="106">
        <f>(-$C$14*$C$17)</f>
        <v>-240000</v>
      </c>
      <c r="F25" s="71">
        <f t="shared" si="1"/>
        <v>5328646.4566656007</v>
      </c>
      <c r="K25" s="823"/>
      <c r="L25" s="823"/>
      <c r="M25" s="823"/>
      <c r="N25" s="823"/>
      <c r="O25" s="823"/>
      <c r="P25" s="823"/>
      <c r="Q25" s="823"/>
      <c r="R25" s="823"/>
      <c r="S25" s="823"/>
      <c r="T25" s="823"/>
    </row>
    <row r="26" spans="2:20" x14ac:dyDescent="0.25">
      <c r="B26" s="139">
        <f>B25+365</f>
        <v>42369</v>
      </c>
      <c r="C26" s="17">
        <f>F25</f>
        <v>5328646.4566656007</v>
      </c>
      <c r="D26" s="85">
        <f t="shared" si="0"/>
        <v>446540.57306857733</v>
      </c>
      <c r="E26" s="106">
        <f>(-$C$14*$C$17)</f>
        <v>-240000</v>
      </c>
      <c r="F26" s="140">
        <f t="shared" si="1"/>
        <v>5535187.0297341775</v>
      </c>
      <c r="K26" s="823"/>
      <c r="L26" s="823"/>
      <c r="M26" s="823"/>
      <c r="N26" s="823"/>
      <c r="O26" s="823"/>
      <c r="P26" s="823"/>
      <c r="Q26" s="823"/>
      <c r="R26" s="823"/>
      <c r="S26" s="823"/>
      <c r="T26" s="823"/>
    </row>
    <row r="27" spans="2:20" x14ac:dyDescent="0.25">
      <c r="B27" s="139">
        <f>B26+365</f>
        <v>42734</v>
      </c>
      <c r="C27" s="17">
        <f>F26</f>
        <v>5535187.0297341775</v>
      </c>
      <c r="D27" s="85">
        <f t="shared" si="0"/>
        <v>463848.67309172405</v>
      </c>
      <c r="E27" s="106">
        <f>(-$C$14*$C$17)</f>
        <v>-240000</v>
      </c>
      <c r="F27" s="71">
        <f t="shared" si="1"/>
        <v>5759035.702825902</v>
      </c>
      <c r="K27" s="823"/>
      <c r="L27" s="823"/>
      <c r="M27" s="823"/>
      <c r="N27" s="823"/>
      <c r="O27" s="823"/>
      <c r="P27" s="823"/>
      <c r="Q27" s="823"/>
      <c r="R27" s="823"/>
      <c r="S27" s="823"/>
      <c r="T27" s="823"/>
    </row>
    <row r="28" spans="2:20" x14ac:dyDescent="0.25">
      <c r="B28" s="139">
        <f>B27+365</f>
        <v>43099</v>
      </c>
      <c r="C28" s="17">
        <f>F27</f>
        <v>5759035.702825902</v>
      </c>
      <c r="D28" s="85">
        <f t="shared" si="0"/>
        <v>482607.1918968106</v>
      </c>
      <c r="E28" s="106">
        <f>(-$C$14*$C$17)</f>
        <v>-240000</v>
      </c>
      <c r="F28" s="71">
        <f t="shared" si="1"/>
        <v>6001642.8947227122</v>
      </c>
      <c r="K28" s="823"/>
      <c r="L28" s="823"/>
      <c r="M28" s="823"/>
      <c r="N28" s="823"/>
      <c r="O28" s="823"/>
      <c r="P28" s="823"/>
      <c r="Q28" s="823"/>
      <c r="R28" s="823"/>
      <c r="S28" s="823"/>
      <c r="T28" s="823"/>
    </row>
    <row r="29" spans="2:20" x14ac:dyDescent="0.25">
      <c r="B29" s="65"/>
      <c r="C29" s="66"/>
      <c r="D29" s="66"/>
      <c r="E29" s="66"/>
      <c r="F29" s="68"/>
    </row>
    <row r="30" spans="2:20" x14ac:dyDescent="0.25">
      <c r="B30" s="65"/>
      <c r="C30" s="66"/>
      <c r="D30" s="66"/>
      <c r="E30" s="66"/>
      <c r="F30" s="68"/>
    </row>
    <row r="31" spans="2:20" x14ac:dyDescent="0.25">
      <c r="B31" s="65" t="s">
        <v>574</v>
      </c>
      <c r="C31" s="17">
        <f>F24</f>
        <v>5138075.7120000003</v>
      </c>
      <c r="D31" s="66"/>
      <c r="E31" s="66"/>
      <c r="F31" s="68"/>
    </row>
    <row r="32" spans="2:20" x14ac:dyDescent="0.25">
      <c r="B32" s="65" t="s">
        <v>575</v>
      </c>
      <c r="C32" s="17">
        <f>F23-F24</f>
        <v>-175835.71200000029</v>
      </c>
      <c r="D32" s="49" t="s">
        <v>314</v>
      </c>
      <c r="E32" s="17"/>
      <c r="F32" s="68"/>
    </row>
    <row r="33" spans="2:12" ht="18.600000000000001" customHeight="1" thickBot="1" x14ac:dyDescent="0.3">
      <c r="B33" s="80" t="str">
        <f>"Lease payable at year end"</f>
        <v>Lease payable at year end</v>
      </c>
      <c r="C33" s="33">
        <f>C31+C32</f>
        <v>4962240</v>
      </c>
      <c r="D33" s="66"/>
      <c r="E33" s="66"/>
      <c r="F33" s="68"/>
    </row>
    <row r="34" spans="2:12" ht="15.75" thickBot="1" x14ac:dyDescent="0.3">
      <c r="B34" s="72"/>
      <c r="C34" s="73"/>
      <c r="D34" s="73"/>
      <c r="E34" s="73"/>
      <c r="F34" s="82"/>
    </row>
    <row r="35" spans="2:12" x14ac:dyDescent="0.25">
      <c r="B35" s="666" t="s">
        <v>1748</v>
      </c>
      <c r="C35" s="66"/>
      <c r="D35" s="66"/>
      <c r="E35" s="66"/>
      <c r="F35" s="66"/>
    </row>
    <row r="36" spans="2:12" x14ac:dyDescent="0.25">
      <c r="B36" t="s">
        <v>613</v>
      </c>
      <c r="C36" s="223">
        <f>D23</f>
        <v>402240</v>
      </c>
      <c r="L36" s="11"/>
    </row>
    <row r="37" spans="2:12" x14ac:dyDescent="0.25">
      <c r="B37" t="s">
        <v>554</v>
      </c>
      <c r="D37" s="10">
        <f>D23</f>
        <v>402240</v>
      </c>
      <c r="F37" s="422" t="s">
        <v>1603</v>
      </c>
      <c r="K37" s="11"/>
      <c r="L37" s="11"/>
    </row>
    <row r="38" spans="2:12" x14ac:dyDescent="0.25">
      <c r="D38" s="10"/>
      <c r="F38" s="422" t="s">
        <v>1604</v>
      </c>
      <c r="K38" s="11"/>
      <c r="L38" s="11"/>
    </row>
    <row r="39" spans="2:12" x14ac:dyDescent="0.25">
      <c r="B39" t="s">
        <v>614</v>
      </c>
      <c r="C39" s="32">
        <f>-E23</f>
        <v>240000</v>
      </c>
      <c r="D39" s="10"/>
      <c r="F39" s="422" t="s">
        <v>1605</v>
      </c>
      <c r="K39" s="11"/>
      <c r="L39" s="11"/>
    </row>
    <row r="40" spans="2:12" x14ac:dyDescent="0.25">
      <c r="B40" t="s">
        <v>615</v>
      </c>
      <c r="D40" s="10">
        <f>-E23</f>
        <v>240000</v>
      </c>
      <c r="F40" s="422" t="s">
        <v>1606</v>
      </c>
      <c r="K40" s="11"/>
      <c r="L40" s="11"/>
    </row>
    <row r="41" spans="2:12" x14ac:dyDescent="0.25">
      <c r="D41" s="10"/>
      <c r="K41" s="11"/>
      <c r="L41" s="11"/>
    </row>
    <row r="42" spans="2:12" x14ac:dyDescent="0.25">
      <c r="B42" t="s">
        <v>599</v>
      </c>
      <c r="C42">
        <v>3860</v>
      </c>
      <c r="F42" s="422" t="s">
        <v>1607</v>
      </c>
      <c r="K42" s="11"/>
      <c r="L42" s="11"/>
    </row>
    <row r="43" spans="2:12" x14ac:dyDescent="0.25">
      <c r="B43" t="s">
        <v>553</v>
      </c>
      <c r="D43">
        <v>3645</v>
      </c>
      <c r="K43" s="11"/>
      <c r="L43" s="11"/>
    </row>
    <row r="44" spans="2:12" x14ac:dyDescent="0.25">
      <c r="B44" t="s">
        <v>598</v>
      </c>
      <c r="D44">
        <v>215</v>
      </c>
      <c r="F44" s="422" t="s">
        <v>1608</v>
      </c>
      <c r="K44" s="11"/>
      <c r="L44" s="11"/>
    </row>
    <row r="45" spans="2:12" x14ac:dyDescent="0.25">
      <c r="K45" s="11"/>
      <c r="L45" s="11"/>
    </row>
    <row r="46" spans="2:12" x14ac:dyDescent="0.25">
      <c r="C46" s="12"/>
      <c r="G46" s="11"/>
      <c r="H46" s="11"/>
      <c r="K46" s="11"/>
      <c r="L46" s="11"/>
    </row>
    <row r="47" spans="2:12" x14ac:dyDescent="0.25">
      <c r="G47" s="11"/>
      <c r="H47" s="11"/>
      <c r="K47" s="11"/>
      <c r="L47" s="11"/>
    </row>
    <row r="48" spans="2:12" x14ac:dyDescent="0.25">
      <c r="G48" s="11"/>
      <c r="H48" s="11"/>
    </row>
    <row r="49" spans="2:11" x14ac:dyDescent="0.25">
      <c r="B49" s="1" t="s">
        <v>851</v>
      </c>
    </row>
    <row r="50" spans="2:11" x14ac:dyDescent="0.25">
      <c r="B50" s="422" t="s">
        <v>852</v>
      </c>
      <c r="G50" s="1" t="s">
        <v>1745</v>
      </c>
    </row>
    <row r="51" spans="2:11" x14ac:dyDescent="0.25">
      <c r="B51" s="422" t="s">
        <v>923</v>
      </c>
      <c r="G51" s="422" t="s">
        <v>1757</v>
      </c>
    </row>
    <row r="52" spans="2:11" x14ac:dyDescent="0.25">
      <c r="B52" s="422" t="s">
        <v>912</v>
      </c>
      <c r="G52" s="422" t="s">
        <v>1758</v>
      </c>
    </row>
    <row r="53" spans="2:11" x14ac:dyDescent="0.25">
      <c r="B53" s="422" t="s">
        <v>853</v>
      </c>
    </row>
    <row r="54" spans="2:11" x14ac:dyDescent="0.25">
      <c r="B54" s="422" t="s">
        <v>1202</v>
      </c>
    </row>
    <row r="56" spans="2:11" x14ac:dyDescent="0.25">
      <c r="B56" t="s">
        <v>843</v>
      </c>
      <c r="D56" s="14"/>
      <c r="E56" t="str">
        <f ca="1">IFERROR(_xlfn.FORMULATEXT(D56)," ")</f>
        <v xml:space="preserve"> </v>
      </c>
      <c r="G56" t="s">
        <v>843</v>
      </c>
      <c r="I56" s="14">
        <f>3*300000</f>
        <v>900000</v>
      </c>
      <c r="J56" t="str">
        <f ca="1">IFERROR(_xlfn.FORMULATEXT(I56)," ")</f>
        <v>=3*300000</v>
      </c>
    </row>
    <row r="57" spans="2:11" x14ac:dyDescent="0.25">
      <c r="B57" t="s">
        <v>844</v>
      </c>
      <c r="D57" s="14">
        <f>300000*3</f>
        <v>900000</v>
      </c>
      <c r="G57" t="s">
        <v>1746</v>
      </c>
      <c r="I57" s="14">
        <f>3.36*300000</f>
        <v>1008000</v>
      </c>
      <c r="J57" t="str">
        <f ca="1">IFERROR(_xlfn.FORMULATEXT(I57)," ")</f>
        <v>=3.36*300000</v>
      </c>
    </row>
    <row r="58" spans="2:11" x14ac:dyDescent="0.25">
      <c r="B58" t="s">
        <v>842</v>
      </c>
      <c r="D58" s="11">
        <f>D57-D56</f>
        <v>900000</v>
      </c>
      <c r="G58" t="s">
        <v>1747</v>
      </c>
      <c r="I58" s="11">
        <f>I57-I56</f>
        <v>108000</v>
      </c>
    </row>
    <row r="59" spans="2:11" x14ac:dyDescent="0.25">
      <c r="D59" s="11"/>
      <c r="I59" s="11"/>
    </row>
    <row r="60" spans="2:11" x14ac:dyDescent="0.25">
      <c r="B60" t="s">
        <v>854</v>
      </c>
      <c r="D60" s="27">
        <v>980000</v>
      </c>
    </row>
    <row r="61" spans="2:11" x14ac:dyDescent="0.25">
      <c r="B61" t="s">
        <v>195</v>
      </c>
      <c r="D61" s="20">
        <f>D60-D57</f>
        <v>80000</v>
      </c>
      <c r="G61" s="3" t="s">
        <v>1819</v>
      </c>
      <c r="H61" s="32">
        <f>IF($I$58&lt;0,-$I$58,0)</f>
        <v>0</v>
      </c>
      <c r="I61" s="32">
        <f>IF($I$58&gt;0,$I$58,0)</f>
        <v>108000</v>
      </c>
      <c r="K61" s="422" t="s">
        <v>1820</v>
      </c>
    </row>
    <row r="62" spans="2:11" x14ac:dyDescent="0.25">
      <c r="G62" t="str">
        <f>IF(I58&gt;0,"DR Investment","CR Investment")</f>
        <v>DR Investment</v>
      </c>
      <c r="H62" s="32">
        <f>IF($I$58&gt;0,$I$58,0)</f>
        <v>108000</v>
      </c>
      <c r="I62" s="32">
        <f>IF($I$58&lt;0,-$I$58,0)</f>
        <v>0</v>
      </c>
    </row>
    <row r="63" spans="2:11" x14ac:dyDescent="0.25">
      <c r="B63" s="3" t="s">
        <v>910</v>
      </c>
      <c r="C63" s="32">
        <f>IF($D$61&lt;0,-$D$61,0)</f>
        <v>0</v>
      </c>
      <c r="D63" s="10">
        <f>IF($D$61&gt;0,$D$61,0)</f>
        <v>80000</v>
      </c>
      <c r="E63" s="422" t="s">
        <v>1160</v>
      </c>
      <c r="K63" s="422" t="s">
        <v>1160</v>
      </c>
    </row>
    <row r="64" spans="2:11" x14ac:dyDescent="0.25">
      <c r="B64" t="s">
        <v>372</v>
      </c>
      <c r="C64" s="10">
        <f>IF($D$61&gt;0,$D$61,0)</f>
        <v>80000</v>
      </c>
      <c r="D64" s="32">
        <f>IF($D$61&lt;0,-$D$61,0)</f>
        <v>0</v>
      </c>
    </row>
    <row r="65" spans="2:10" x14ac:dyDescent="0.25">
      <c r="C65" s="10"/>
      <c r="J65" s="11"/>
    </row>
    <row r="67" spans="2:10" x14ac:dyDescent="0.25">
      <c r="B67" t="s">
        <v>855</v>
      </c>
      <c r="C67" s="10">
        <f>D60</f>
        <v>980000</v>
      </c>
    </row>
    <row r="68" spans="2:10" x14ac:dyDescent="0.25">
      <c r="B68" t="s">
        <v>856</v>
      </c>
      <c r="D68" s="10">
        <f>D60</f>
        <v>980000</v>
      </c>
    </row>
    <row r="69" spans="2:10" x14ac:dyDescent="0.25">
      <c r="E69" s="93"/>
    </row>
    <row r="70" spans="2:10" x14ac:dyDescent="0.25">
      <c r="B70" s="3" t="s">
        <v>911</v>
      </c>
      <c r="C70" s="12">
        <f>D58+D61</f>
        <v>980000</v>
      </c>
    </row>
    <row r="71" spans="2:10" x14ac:dyDescent="0.25">
      <c r="B71" t="s">
        <v>609</v>
      </c>
      <c r="D71" s="12">
        <f>D58+D61</f>
        <v>980000</v>
      </c>
    </row>
    <row r="73" spans="2:10" x14ac:dyDescent="0.25">
      <c r="C73" s="11"/>
      <c r="D73" s="11"/>
    </row>
    <row r="74" spans="2:10" x14ac:dyDescent="0.25">
      <c r="B74" t="s">
        <v>1161</v>
      </c>
    </row>
    <row r="75" spans="2:10" x14ac:dyDescent="0.25">
      <c r="B75" t="s">
        <v>1162</v>
      </c>
      <c r="C75" s="3">
        <v>74000</v>
      </c>
    </row>
    <row r="76" spans="2:10" x14ac:dyDescent="0.25">
      <c r="B76" t="s">
        <v>989</v>
      </c>
      <c r="D76" s="3">
        <v>74000</v>
      </c>
    </row>
    <row r="77" spans="2:10" x14ac:dyDescent="0.25">
      <c r="C77" s="223"/>
    </row>
    <row r="78" spans="2:10" x14ac:dyDescent="0.25">
      <c r="D78" s="10"/>
    </row>
    <row r="79" spans="2:10" x14ac:dyDescent="0.25">
      <c r="D79" s="10"/>
    </row>
    <row r="80" spans="2:10" x14ac:dyDescent="0.25">
      <c r="C80" s="32"/>
      <c r="D80" s="10"/>
    </row>
    <row r="81" spans="2:5" x14ac:dyDescent="0.25">
      <c r="D81" s="10"/>
    </row>
    <row r="82" spans="2:5" x14ac:dyDescent="0.25">
      <c r="B82" s="1" t="s">
        <v>1821</v>
      </c>
    </row>
    <row r="83" spans="2:5" x14ac:dyDescent="0.25">
      <c r="B83" s="422" t="s">
        <v>852</v>
      </c>
    </row>
    <row r="84" spans="2:5" x14ac:dyDescent="0.25">
      <c r="B84" s="422" t="s">
        <v>923</v>
      </c>
    </row>
    <row r="85" spans="2:5" x14ac:dyDescent="0.25">
      <c r="B85" s="422" t="s">
        <v>1822</v>
      </c>
    </row>
    <row r="86" spans="2:5" x14ac:dyDescent="0.25">
      <c r="B86" s="422" t="s">
        <v>853</v>
      </c>
    </row>
    <row r="87" spans="2:5" x14ac:dyDescent="0.25">
      <c r="B87" s="422"/>
    </row>
    <row r="89" spans="2:5" x14ac:dyDescent="0.25">
      <c r="B89" t="s">
        <v>843</v>
      </c>
      <c r="D89" s="14"/>
      <c r="E89" t="str">
        <f ca="1">IFERROR(_xlfn.FORMULATEXT(D89)," ")</f>
        <v xml:space="preserve"> </v>
      </c>
    </row>
    <row r="90" spans="2:5" x14ac:dyDescent="0.25">
      <c r="B90" t="s">
        <v>844</v>
      </c>
      <c r="D90" s="14"/>
    </row>
    <row r="91" spans="2:5" hidden="1" x14ac:dyDescent="0.25">
      <c r="B91" t="s">
        <v>842</v>
      </c>
      <c r="D91" s="11">
        <f>D90-D89</f>
        <v>0</v>
      </c>
    </row>
    <row r="92" spans="2:5" x14ac:dyDescent="0.25">
      <c r="D92" s="11"/>
    </row>
    <row r="93" spans="2:5" x14ac:dyDescent="0.25">
      <c r="B93" t="s">
        <v>854</v>
      </c>
      <c r="D93" s="27"/>
    </row>
    <row r="94" spans="2:5" x14ac:dyDescent="0.25">
      <c r="B94" t="s">
        <v>195</v>
      </c>
      <c r="D94" s="20">
        <f>D93-D90</f>
        <v>0</v>
      </c>
    </row>
    <row r="96" spans="2:5" x14ac:dyDescent="0.25">
      <c r="B96" s="3" t="s">
        <v>1825</v>
      </c>
      <c r="C96" s="32">
        <f>IF($D$94&lt;0,-$D$94,0)</f>
        <v>0</v>
      </c>
      <c r="D96" s="10">
        <f>IF($D$94&gt;0,$D$94,0)</f>
        <v>0</v>
      </c>
      <c r="E96" s="422"/>
    </row>
    <row r="97" spans="2:5" x14ac:dyDescent="0.25">
      <c r="B97" t="s">
        <v>884</v>
      </c>
      <c r="C97" s="10">
        <f>IF($D$94&gt;0,$D$94,0)</f>
        <v>0</v>
      </c>
      <c r="D97" s="32">
        <f>IF($D$94&lt;0,-$D$94,0)</f>
        <v>0</v>
      </c>
    </row>
    <row r="98" spans="2:5" x14ac:dyDescent="0.25">
      <c r="C98" s="10"/>
    </row>
    <row r="100" spans="2:5" x14ac:dyDescent="0.25">
      <c r="B100" s="3" t="s">
        <v>855</v>
      </c>
      <c r="C100" s="10">
        <f>D93-3000</f>
        <v>-3000</v>
      </c>
    </row>
    <row r="101" spans="2:5" x14ac:dyDescent="0.25">
      <c r="B101" t="s">
        <v>1824</v>
      </c>
      <c r="C101" s="10">
        <v>3000</v>
      </c>
    </row>
    <row r="102" spans="2:5" x14ac:dyDescent="0.25">
      <c r="B102" t="s">
        <v>856</v>
      </c>
      <c r="D102" s="10">
        <f>D93</f>
        <v>0</v>
      </c>
    </row>
    <row r="103" spans="2:5" x14ac:dyDescent="0.25">
      <c r="E103" s="93"/>
    </row>
    <row r="104" spans="2:5" x14ac:dyDescent="0.25">
      <c r="C104" s="223"/>
    </row>
  </sheetData>
  <mergeCells count="3">
    <mergeCell ref="D2:E2"/>
    <mergeCell ref="K2:T5"/>
    <mergeCell ref="K20:T28"/>
  </mergeCell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8540C7AB-07BD-4CB1-963F-5CD9EB9A023D}">
          <x14:formula1>
            <xm:f>Inputs!$B$5:$B$6</xm:f>
          </x14:formula1>
          <xm:sqref>B4 B6 B8</xm:sqref>
        </x14:dataValidation>
        <x14:dataValidation type="list" allowBlank="1" showInputMessage="1" showErrorMessage="1" xr:uid="{1FB9296A-2F21-4450-90DC-9A6FB8875E0D}">
          <x14:formula1>
            <xm:f>Inputs!$B$19:$B$21</xm:f>
          </x14:formula1>
          <xm:sqref>E3</xm:sqref>
        </x14:dataValidation>
        <x14:dataValidation type="list" allowBlank="1" showInputMessage="1" showErrorMessage="1" xr:uid="{35D76A1F-B8A7-4D89-B2A0-2949965A27C2}">
          <x14:formula1>
            <xm:f>Inputs!$B$2:$B$3</xm:f>
          </x14:formula1>
          <xm:sqref>C19</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58C75-0638-4EE2-A2E9-495F4AF94581}">
  <dimension ref="A1:L95"/>
  <sheetViews>
    <sheetView topLeftCell="A66" zoomScale="70" zoomScaleNormal="70" workbookViewId="0">
      <selection activeCell="F118" sqref="F118"/>
    </sheetView>
  </sheetViews>
  <sheetFormatPr defaultRowHeight="15" x14ac:dyDescent="0.25"/>
  <cols>
    <col min="1" max="1" width="2.28515625" customWidth="1"/>
    <col min="2" max="2" width="59.5703125" customWidth="1"/>
    <col min="3" max="3" width="25" customWidth="1"/>
    <col min="4" max="4" width="32.5703125" customWidth="1"/>
    <col min="5" max="5" width="42.42578125" customWidth="1"/>
    <col min="6" max="6" width="31.85546875" customWidth="1"/>
    <col min="7" max="7" width="22.7109375" customWidth="1"/>
    <col min="8" max="8" width="36.85546875" customWidth="1"/>
    <col min="9" max="9" width="12.42578125" customWidth="1"/>
    <col min="10" max="10" width="26.42578125" customWidth="1"/>
    <col min="11" max="11" width="15.5703125" bestFit="1" customWidth="1"/>
    <col min="12" max="12" width="15" bestFit="1" customWidth="1"/>
  </cols>
  <sheetData>
    <row r="1" spans="2:6" ht="15.75" thickBot="1" x14ac:dyDescent="0.3"/>
    <row r="2" spans="2:6" ht="15.75" thickBot="1" x14ac:dyDescent="0.3">
      <c r="B2" s="863" t="s">
        <v>578</v>
      </c>
      <c r="C2" s="864"/>
      <c r="F2" t="s">
        <v>602</v>
      </c>
    </row>
    <row r="3" spans="2:6" ht="72.95" customHeight="1" x14ac:dyDescent="0.25">
      <c r="B3" s="62" t="s">
        <v>582</v>
      </c>
      <c r="C3" s="212" t="s">
        <v>447</v>
      </c>
      <c r="D3" s="177" t="s">
        <v>583</v>
      </c>
      <c r="F3" t="s">
        <v>603</v>
      </c>
    </row>
    <row r="4" spans="2:6" ht="32.450000000000003" customHeight="1" thickBot="1" x14ac:dyDescent="0.3">
      <c r="B4" s="153" t="s">
        <v>552</v>
      </c>
      <c r="C4" s="82" t="str">
        <f>IF(C3="Other","Amortised cost","FVTPL")</f>
        <v>Amortised cost</v>
      </c>
    </row>
    <row r="5" spans="2:6" ht="68.45" customHeight="1" thickBot="1" x14ac:dyDescent="0.3"/>
    <row r="6" spans="2:6" ht="15.75" thickBot="1" x14ac:dyDescent="0.3">
      <c r="B6" s="865" t="s">
        <v>80</v>
      </c>
      <c r="C6" s="866"/>
      <c r="D6" s="867"/>
    </row>
    <row r="7" spans="2:6" ht="69.599999999999994" customHeight="1" x14ac:dyDescent="0.25">
      <c r="B7" s="62" t="s">
        <v>561</v>
      </c>
      <c r="C7" s="216"/>
      <c r="D7" s="64" t="str" cm="1">
        <f t="array" ref="D7">_xlfn.IFS(C7="Irredeemable","Equity",C7="Redeemable","Compund",C7=0," ")</f>
        <v xml:space="preserve"> </v>
      </c>
      <c r="F7" s="177" t="s">
        <v>585</v>
      </c>
    </row>
    <row r="8" spans="2:6" ht="15.75" thickBot="1" x14ac:dyDescent="0.3">
      <c r="B8" s="72" t="s">
        <v>562</v>
      </c>
      <c r="C8" s="217" t="s">
        <v>565</v>
      </c>
      <c r="D8" s="82" t="str" cm="1">
        <f t="array" ref="D8">_xlfn.IFS(C8="Mandatory dividend","Liability (Preference shares - non current liabilities)",C8="Irredeemable or redeemable at issuers option with discretionary dividend","Equity",C8="Redeemable at holders option or on fixed date with discretionary dividend","Compound",C8=0," ")</f>
        <v>Liability (Preference shares - non current liabilities)</v>
      </c>
      <c r="E8" s="220"/>
    </row>
    <row r="10" spans="2:6" x14ac:dyDescent="0.25">
      <c r="B10" s="422" t="s">
        <v>917</v>
      </c>
    </row>
    <row r="12" spans="2:6" x14ac:dyDescent="0.25">
      <c r="B12" s="1" t="s">
        <v>584</v>
      </c>
    </row>
    <row r="13" spans="2:6" x14ac:dyDescent="0.25">
      <c r="B13" t="s">
        <v>568</v>
      </c>
    </row>
    <row r="14" spans="2:6" x14ac:dyDescent="0.25">
      <c r="B14" t="s">
        <v>569</v>
      </c>
      <c r="C14" s="218">
        <v>10000000</v>
      </c>
      <c r="D14" s="12"/>
      <c r="F14" s="11"/>
    </row>
    <row r="15" spans="2:6" x14ac:dyDescent="0.25">
      <c r="B15" t="s">
        <v>1453</v>
      </c>
      <c r="C15" s="218">
        <f>10000000*0.95</f>
        <v>9500000</v>
      </c>
      <c r="D15" s="12"/>
      <c r="F15" s="11"/>
    </row>
    <row r="16" spans="2:6" x14ac:dyDescent="0.25">
      <c r="B16" t="s">
        <v>572</v>
      </c>
      <c r="C16" s="218"/>
      <c r="D16" s="12"/>
      <c r="F16" s="11"/>
    </row>
    <row r="17" spans="2:6" x14ac:dyDescent="0.25">
      <c r="B17" t="s">
        <v>570</v>
      </c>
      <c r="C17" s="225">
        <v>3.5000000000000003E-2</v>
      </c>
      <c r="D17" s="422" t="s">
        <v>919</v>
      </c>
      <c r="F17" s="12"/>
    </row>
    <row r="18" spans="2:6" x14ac:dyDescent="0.25">
      <c r="B18" t="s">
        <v>349</v>
      </c>
      <c r="C18" s="225">
        <v>6.2799999999999995E-2</v>
      </c>
      <c r="D18" s="422" t="s">
        <v>1454</v>
      </c>
    </row>
    <row r="19" spans="2:6" x14ac:dyDescent="0.25">
      <c r="B19" t="s">
        <v>571</v>
      </c>
      <c r="C19" s="36" t="s">
        <v>136</v>
      </c>
      <c r="D19" s="422" t="s">
        <v>922</v>
      </c>
    </row>
    <row r="20" spans="2:6" ht="15.75" thickBot="1" x14ac:dyDescent="0.3"/>
    <row r="21" spans="2:6" ht="15.75" thickBot="1" x14ac:dyDescent="0.3">
      <c r="B21" s="145" t="s">
        <v>12</v>
      </c>
      <c r="C21" s="146" t="s">
        <v>573</v>
      </c>
      <c r="D21" s="146" t="s">
        <v>349</v>
      </c>
      <c r="E21" s="146" t="s">
        <v>586</v>
      </c>
      <c r="F21" s="147" t="s">
        <v>841</v>
      </c>
    </row>
    <row r="22" spans="2:6" x14ac:dyDescent="0.25">
      <c r="B22" s="136"/>
      <c r="C22" s="137" t="s">
        <v>141</v>
      </c>
      <c r="D22" s="137" t="s">
        <v>141</v>
      </c>
      <c r="E22" s="137" t="s">
        <v>141</v>
      </c>
      <c r="F22" s="138" t="s">
        <v>141</v>
      </c>
    </row>
    <row r="23" spans="2:6" x14ac:dyDescent="0.25">
      <c r="B23" s="139">
        <v>44196</v>
      </c>
      <c r="C23" s="85">
        <f>C15-C16</f>
        <v>9500000</v>
      </c>
      <c r="D23" s="85">
        <f t="shared" ref="D23:D28" si="0">IF($C$19="arrears",C23*$C$18,(C23+E23)*$C$18)</f>
        <v>596600</v>
      </c>
      <c r="E23" s="106">
        <f>IF($C$19="ADVANCE",0,-$C$14*$C$17)</f>
        <v>-350000.00000000006</v>
      </c>
      <c r="F23" s="71">
        <f t="shared" ref="F23:F28" si="1">C23+D23+E23</f>
        <v>9746600</v>
      </c>
    </row>
    <row r="24" spans="2:6" x14ac:dyDescent="0.25">
      <c r="B24" s="139">
        <f>B23+365</f>
        <v>44561</v>
      </c>
      <c r="C24" s="85">
        <f>F23</f>
        <v>9746600</v>
      </c>
      <c r="D24" s="85">
        <f t="shared" si="0"/>
        <v>612086.48</v>
      </c>
      <c r="E24" s="106">
        <f>(-$C$14*$C$17)</f>
        <v>-350000.00000000006</v>
      </c>
      <c r="F24" s="71">
        <f t="shared" si="1"/>
        <v>10008686.48</v>
      </c>
    </row>
    <row r="25" spans="2:6" x14ac:dyDescent="0.25">
      <c r="B25" s="139">
        <f>B24+365</f>
        <v>44926</v>
      </c>
      <c r="C25" s="85">
        <f>F24</f>
        <v>10008686.48</v>
      </c>
      <c r="D25" s="85">
        <f t="shared" si="0"/>
        <v>628545.51094399998</v>
      </c>
      <c r="E25" s="106">
        <f>(-$C$14*$C$17)</f>
        <v>-350000.00000000006</v>
      </c>
      <c r="F25" s="71">
        <f t="shared" si="1"/>
        <v>10287231.990944</v>
      </c>
    </row>
    <row r="26" spans="2:6" x14ac:dyDescent="0.25">
      <c r="B26" s="139">
        <f>B25+365</f>
        <v>45291</v>
      </c>
      <c r="C26" s="17">
        <f>F25</f>
        <v>10287231.990944</v>
      </c>
      <c r="D26" s="85">
        <f t="shared" si="0"/>
        <v>646038.16903128312</v>
      </c>
      <c r="E26" s="106">
        <f>(-$C$14*$C$17)</f>
        <v>-350000.00000000006</v>
      </c>
      <c r="F26" s="140">
        <f t="shared" si="1"/>
        <v>10583270.159975283</v>
      </c>
    </row>
    <row r="27" spans="2:6" x14ac:dyDescent="0.25">
      <c r="B27" s="139">
        <f>B26+365</f>
        <v>45656</v>
      </c>
      <c r="C27" s="17">
        <f>F26</f>
        <v>10583270.159975283</v>
      </c>
      <c r="D27" s="85">
        <f t="shared" si="0"/>
        <v>664629.36604644766</v>
      </c>
      <c r="E27" s="106">
        <f>(-$C$14*$C$17)</f>
        <v>-350000.00000000006</v>
      </c>
      <c r="F27" s="71">
        <f t="shared" si="1"/>
        <v>10897899.52602173</v>
      </c>
    </row>
    <row r="28" spans="2:6" x14ac:dyDescent="0.25">
      <c r="B28" s="139">
        <f>B27+365</f>
        <v>46021</v>
      </c>
      <c r="C28" s="17">
        <f>F27</f>
        <v>10897899.52602173</v>
      </c>
      <c r="D28" s="85">
        <f t="shared" si="0"/>
        <v>684388.09023416461</v>
      </c>
      <c r="E28" s="106">
        <f>(-$C$14*$C$17)</f>
        <v>-350000.00000000006</v>
      </c>
      <c r="F28" s="71">
        <f t="shared" si="1"/>
        <v>11232287.616255894</v>
      </c>
    </row>
    <row r="29" spans="2:6" x14ac:dyDescent="0.25">
      <c r="B29" s="65"/>
      <c r="C29" s="66"/>
      <c r="D29" s="66"/>
      <c r="E29" s="66"/>
      <c r="F29" s="68"/>
    </row>
    <row r="30" spans="2:6" x14ac:dyDescent="0.25">
      <c r="B30" s="65"/>
      <c r="C30" s="66"/>
      <c r="D30" s="66"/>
      <c r="E30" s="66"/>
      <c r="F30" s="68"/>
    </row>
    <row r="31" spans="2:6" x14ac:dyDescent="0.25">
      <c r="B31" s="65" t="s">
        <v>574</v>
      </c>
      <c r="C31" s="17">
        <f>F24</f>
        <v>10008686.48</v>
      </c>
      <c r="D31" s="66"/>
      <c r="E31" s="66"/>
      <c r="F31" s="68"/>
    </row>
    <row r="32" spans="2:6" x14ac:dyDescent="0.25">
      <c r="B32" s="65" t="s">
        <v>575</v>
      </c>
      <c r="C32" s="17">
        <f>F23-F24</f>
        <v>-262086.48000000045</v>
      </c>
      <c r="D32" s="49" t="s">
        <v>314</v>
      </c>
      <c r="E32" s="17"/>
      <c r="F32" s="68"/>
    </row>
    <row r="33" spans="2:12" ht="18.600000000000001" customHeight="1" thickBot="1" x14ac:dyDescent="0.3">
      <c r="B33" s="80" t="str">
        <f>"Lease payable at year end"</f>
        <v>Lease payable at year end</v>
      </c>
      <c r="C33" s="33">
        <f>C31+C32</f>
        <v>9746600</v>
      </c>
      <c r="D33" s="66"/>
      <c r="E33" s="66"/>
      <c r="F33" s="68"/>
    </row>
    <row r="34" spans="2:12" ht="15.75" thickBot="1" x14ac:dyDescent="0.3">
      <c r="B34" s="72"/>
      <c r="C34" s="73"/>
      <c r="D34" s="73"/>
      <c r="E34" s="73"/>
      <c r="F34" s="82"/>
    </row>
    <row r="35" spans="2:12" x14ac:dyDescent="0.25">
      <c r="B35" s="66"/>
      <c r="C35" s="66"/>
      <c r="D35" s="66"/>
      <c r="E35" s="66"/>
      <c r="F35" s="66"/>
    </row>
    <row r="36" spans="2:12" x14ac:dyDescent="0.25">
      <c r="B36" s="666" t="s">
        <v>1528</v>
      </c>
      <c r="C36" s="667" t="str">
        <f>D23&amp;E23&amp;" = £"&amp;(D23+E23)</f>
        <v>596600-350000 = £246600</v>
      </c>
      <c r="D36" s="66"/>
      <c r="E36" s="66"/>
      <c r="F36" s="66"/>
    </row>
    <row r="37" spans="2:12" x14ac:dyDescent="0.25">
      <c r="B37" s="66"/>
      <c r="C37" s="66"/>
      <c r="D37" s="66"/>
      <c r="E37" s="66"/>
      <c r="F37" s="66"/>
    </row>
    <row r="38" spans="2:12" x14ac:dyDescent="0.25">
      <c r="C38" s="66"/>
      <c r="D38" s="66"/>
      <c r="E38" s="66"/>
      <c r="F38" s="66"/>
    </row>
    <row r="39" spans="2:12" x14ac:dyDescent="0.25">
      <c r="B39" s="3" t="s">
        <v>553</v>
      </c>
      <c r="D39" s="223">
        <f>D23</f>
        <v>596600</v>
      </c>
      <c r="L39" s="11"/>
    </row>
    <row r="40" spans="2:12" x14ac:dyDescent="0.25">
      <c r="B40" t="s">
        <v>616</v>
      </c>
      <c r="C40" s="10">
        <f>D23</f>
        <v>596600</v>
      </c>
      <c r="K40" s="11"/>
      <c r="L40" s="11"/>
    </row>
    <row r="41" spans="2:12" x14ac:dyDescent="0.25">
      <c r="D41" s="10"/>
      <c r="F41" s="666" t="s">
        <v>1529</v>
      </c>
      <c r="K41" s="11"/>
      <c r="L41" s="11"/>
    </row>
    <row r="42" spans="2:12" x14ac:dyDescent="0.25">
      <c r="B42" s="3" t="s">
        <v>373</v>
      </c>
      <c r="C42" s="32">
        <f>-E23</f>
        <v>350000.00000000006</v>
      </c>
      <c r="D42" s="10"/>
      <c r="K42" s="11"/>
      <c r="L42" s="11"/>
    </row>
    <row r="43" spans="2:12" x14ac:dyDescent="0.25">
      <c r="B43" t="s">
        <v>613</v>
      </c>
      <c r="D43" s="10">
        <f>-E23</f>
        <v>350000.00000000006</v>
      </c>
      <c r="K43" s="11"/>
      <c r="L43" s="11"/>
    </row>
    <row r="44" spans="2:12" x14ac:dyDescent="0.25">
      <c r="D44" s="10"/>
      <c r="K44" s="11"/>
      <c r="L44" s="11"/>
    </row>
    <row r="45" spans="2:12" x14ac:dyDescent="0.25">
      <c r="B45" t="s">
        <v>845</v>
      </c>
      <c r="C45" s="12"/>
      <c r="F45" s="422"/>
      <c r="G45" s="11"/>
      <c r="H45" s="11"/>
      <c r="K45" s="11"/>
      <c r="L45" s="11"/>
    </row>
    <row r="46" spans="2:12" x14ac:dyDescent="0.25">
      <c r="B46" t="s">
        <v>373</v>
      </c>
      <c r="C46" s="11"/>
      <c r="D46" s="11">
        <f>1.05*4000000</f>
        <v>4200000</v>
      </c>
    </row>
    <row r="47" spans="2:12" x14ac:dyDescent="0.25">
      <c r="B47" t="s">
        <v>846</v>
      </c>
      <c r="C47" s="11">
        <v>4249184</v>
      </c>
    </row>
    <row r="48" spans="2:12" x14ac:dyDescent="0.25">
      <c r="B48" t="s">
        <v>847</v>
      </c>
      <c r="D48" s="12">
        <f>C47-D46</f>
        <v>49184</v>
      </c>
    </row>
    <row r="50" spans="2:4" x14ac:dyDescent="0.25">
      <c r="B50" s="422" t="s">
        <v>1197</v>
      </c>
      <c r="C50" s="223"/>
    </row>
    <row r="51" spans="2:4" x14ac:dyDescent="0.25">
      <c r="B51" s="422" t="s">
        <v>1198</v>
      </c>
      <c r="D51" s="10"/>
    </row>
    <row r="52" spans="2:4" x14ac:dyDescent="0.25">
      <c r="D52" s="10"/>
    </row>
    <row r="53" spans="2:4" x14ac:dyDescent="0.25">
      <c r="C53" s="32"/>
      <c r="D53" s="10"/>
    </row>
    <row r="54" spans="2:4" x14ac:dyDescent="0.25">
      <c r="B54" s="1" t="s">
        <v>621</v>
      </c>
      <c r="D54" s="10"/>
    </row>
    <row r="55" spans="2:4" x14ac:dyDescent="0.25">
      <c r="B55" s="422" t="s">
        <v>1585</v>
      </c>
      <c r="D55" s="10"/>
    </row>
    <row r="56" spans="2:4" x14ac:dyDescent="0.25">
      <c r="B56" s="422" t="s">
        <v>1200</v>
      </c>
    </row>
    <row r="57" spans="2:4" x14ac:dyDescent="0.25">
      <c r="B57" s="422" t="s">
        <v>1589</v>
      </c>
    </row>
    <row r="58" spans="2:4" x14ac:dyDescent="0.25">
      <c r="B58" s="422" t="s">
        <v>848</v>
      </c>
    </row>
    <row r="59" spans="2:4" x14ac:dyDescent="0.25">
      <c r="B59" s="422" t="s">
        <v>1199</v>
      </c>
    </row>
    <row r="60" spans="2:4" x14ac:dyDescent="0.25">
      <c r="B60" s="422" t="s">
        <v>1201</v>
      </c>
    </row>
    <row r="61" spans="2:4" x14ac:dyDescent="0.25">
      <c r="B61" s="422" t="s">
        <v>1601</v>
      </c>
    </row>
    <row r="62" spans="2:4" x14ac:dyDescent="0.25">
      <c r="C62" s="2" t="s">
        <v>141</v>
      </c>
    </row>
    <row r="63" spans="2:4" x14ac:dyDescent="0.25">
      <c r="B63" t="s">
        <v>622</v>
      </c>
      <c r="C63" s="14"/>
    </row>
    <row r="64" spans="2:4" x14ac:dyDescent="0.25">
      <c r="B64" t="s">
        <v>623</v>
      </c>
      <c r="C64" s="14"/>
    </row>
    <row r="65" spans="1:10" ht="15.75" thickBot="1" x14ac:dyDescent="0.3">
      <c r="A65" s="11"/>
      <c r="B65" s="11"/>
      <c r="C65" s="18">
        <f>C63-C64</f>
        <v>0</v>
      </c>
    </row>
    <row r="66" spans="1:10" ht="15.75" thickTop="1" x14ac:dyDescent="0.25"/>
    <row r="69" spans="1:10" ht="12.95" customHeight="1" x14ac:dyDescent="0.25"/>
    <row r="72" spans="1:10" x14ac:dyDescent="0.25">
      <c r="B72" s="1" t="s">
        <v>607</v>
      </c>
      <c r="C72" s="12"/>
    </row>
    <row r="73" spans="1:10" x14ac:dyDescent="0.25">
      <c r="J73" s="1" t="s">
        <v>754</v>
      </c>
    </row>
    <row r="74" spans="1:10" x14ac:dyDescent="0.25">
      <c r="B74" s="422" t="s">
        <v>849</v>
      </c>
      <c r="J74" t="s">
        <v>755</v>
      </c>
    </row>
    <row r="75" spans="1:10" x14ac:dyDescent="0.25">
      <c r="B75" s="422" t="s">
        <v>850</v>
      </c>
      <c r="J75" t="s">
        <v>756</v>
      </c>
    </row>
    <row r="76" spans="1:10" x14ac:dyDescent="0.25">
      <c r="J76" t="s">
        <v>757</v>
      </c>
    </row>
    <row r="77" spans="1:10" x14ac:dyDescent="0.25">
      <c r="B77" t="s">
        <v>600</v>
      </c>
      <c r="C77" s="14"/>
      <c r="D77" s="422" t="s">
        <v>1456</v>
      </c>
    </row>
    <row r="78" spans="1:10" x14ac:dyDescent="0.25">
      <c r="B78" t="s">
        <v>608</v>
      </c>
      <c r="C78" s="14"/>
      <c r="D78" s="422" t="s">
        <v>1455</v>
      </c>
    </row>
    <row r="79" spans="1:10" x14ac:dyDescent="0.25">
      <c r="B79" t="s">
        <v>610</v>
      </c>
      <c r="C79" s="189"/>
      <c r="D79" s="422" t="s">
        <v>1602</v>
      </c>
    </row>
    <row r="80" spans="1:10" x14ac:dyDescent="0.25">
      <c r="B80" t="str">
        <f ca="1">"Shares redeemed "&amp;IFERROR(_xlfn.FORMULATEXT(C80)," ")</f>
        <v xml:space="preserve">Shares redeemed  </v>
      </c>
      <c r="C80" s="14"/>
      <c r="D80" s="422" t="s">
        <v>617</v>
      </c>
    </row>
    <row r="81" spans="2:4" x14ac:dyDescent="0.25">
      <c r="B81" t="s">
        <v>366</v>
      </c>
      <c r="C81" s="3"/>
      <c r="D81" s="422" t="s">
        <v>618</v>
      </c>
    </row>
    <row r="82" spans="2:4" x14ac:dyDescent="0.25">
      <c r="C82" s="12"/>
    </row>
    <row r="84" spans="2:4" x14ac:dyDescent="0.25">
      <c r="B84" s="682" t="s">
        <v>1964</v>
      </c>
      <c r="C84" s="11"/>
      <c r="D84" s="11"/>
    </row>
    <row r="85" spans="2:4" x14ac:dyDescent="0.25">
      <c r="B85" s="682" t="s">
        <v>1965</v>
      </c>
      <c r="C85" s="11"/>
      <c r="D85" s="11"/>
    </row>
    <row r="86" spans="2:4" x14ac:dyDescent="0.25">
      <c r="B86" s="11" t="s">
        <v>611</v>
      </c>
      <c r="C86" s="11">
        <f>C78*(1-C79)</f>
        <v>0</v>
      </c>
      <c r="D86" s="11"/>
    </row>
    <row r="87" spans="2:4" x14ac:dyDescent="0.25">
      <c r="B87" s="783" t="s">
        <v>989</v>
      </c>
      <c r="C87" s="11"/>
      <c r="D87" s="11">
        <f>C86</f>
        <v>0</v>
      </c>
    </row>
    <row r="88" spans="2:4" x14ac:dyDescent="0.25">
      <c r="B88" s="682"/>
      <c r="C88" s="11"/>
      <c r="D88" s="11"/>
    </row>
    <row r="89" spans="2:4" x14ac:dyDescent="0.25">
      <c r="B89" s="11" t="s">
        <v>611</v>
      </c>
      <c r="C89" s="11">
        <f>C78*C79</f>
        <v>0</v>
      </c>
    </row>
    <row r="90" spans="2:4" x14ac:dyDescent="0.25">
      <c r="B90" t="s">
        <v>612</v>
      </c>
      <c r="C90" s="11"/>
      <c r="D90" s="11">
        <f>C80*C81</f>
        <v>0</v>
      </c>
    </row>
    <row r="91" spans="2:4" x14ac:dyDescent="0.25">
      <c r="B91" t="s">
        <v>601</v>
      </c>
      <c r="C91" s="11"/>
      <c r="D91" s="11">
        <f>C89-D90</f>
        <v>0</v>
      </c>
    </row>
    <row r="93" spans="2:4" x14ac:dyDescent="0.25">
      <c r="B93" s="422" t="s">
        <v>1963</v>
      </c>
    </row>
    <row r="94" spans="2:4" x14ac:dyDescent="0.25">
      <c r="B94" t="s">
        <v>753</v>
      </c>
      <c r="C94" s="11">
        <f>C77</f>
        <v>0</v>
      </c>
      <c r="D94" s="11"/>
    </row>
    <row r="95" spans="2:4" x14ac:dyDescent="0.25">
      <c r="B95" t="s">
        <v>609</v>
      </c>
      <c r="C95" s="11"/>
      <c r="D95" s="11">
        <f>C77</f>
        <v>0</v>
      </c>
    </row>
  </sheetData>
  <mergeCells count="2">
    <mergeCell ref="B2:C2"/>
    <mergeCell ref="B6:D6"/>
  </mergeCell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4">
        <x14:dataValidation type="list" allowBlank="1" showInputMessage="1" showErrorMessage="1" xr:uid="{757E2A74-D500-4180-B496-729CC735217F}">
          <x14:formula1>
            <xm:f>Inputs!$B$26:$B$27</xm:f>
          </x14:formula1>
          <xm:sqref>C7</xm:sqref>
        </x14:dataValidation>
        <x14:dataValidation type="list" allowBlank="1" showInputMessage="1" showErrorMessage="1" xr:uid="{98F16391-4B35-4BB6-9109-2CF732C1B76A}">
          <x14:formula1>
            <xm:f>Inputs!$B$29:$B$31</xm:f>
          </x14:formula1>
          <xm:sqref>C8</xm:sqref>
        </x14:dataValidation>
        <x14:dataValidation type="list" allowBlank="1" showInputMessage="1" showErrorMessage="1" xr:uid="{1511F59B-CD1C-4F14-ABA0-182B36DB430D}">
          <x14:formula1>
            <xm:f>Inputs!$B$2:$B$3</xm:f>
          </x14:formula1>
          <xm:sqref>C19</xm:sqref>
        </x14:dataValidation>
        <x14:dataValidation type="list" allowBlank="1" showInputMessage="1" showErrorMessage="1" xr:uid="{2D351651-3AD3-486E-9BBF-1BFA48D8AEF4}">
          <x14:formula1>
            <xm:f>Inputs!$B$33:$B$36</xm:f>
          </x14:formula1>
          <xm:sqref>C3</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48A822-808A-41F1-8014-6EE3B4686472}">
  <sheetPr codeName="Sheet31"/>
  <dimension ref="B1:R36"/>
  <sheetViews>
    <sheetView zoomScaleNormal="100" workbookViewId="0">
      <selection activeCell="E26" sqref="E26"/>
    </sheetView>
  </sheetViews>
  <sheetFormatPr defaultRowHeight="15" x14ac:dyDescent="0.25"/>
  <cols>
    <col min="1" max="1" width="2.42578125" customWidth="1"/>
    <col min="2" max="2" width="20.7109375" customWidth="1"/>
    <col min="3" max="3" width="13.85546875" bestFit="1" customWidth="1"/>
    <col min="4" max="4" width="6.85546875" customWidth="1"/>
    <col min="5" max="6" width="13.85546875" bestFit="1" customWidth="1"/>
    <col min="7" max="7" width="29" customWidth="1"/>
    <col min="8" max="8" width="16.85546875" bestFit="1" customWidth="1"/>
    <col min="9" max="9" width="12.140625" bestFit="1" customWidth="1"/>
    <col min="10" max="10" width="11.140625" bestFit="1" customWidth="1"/>
    <col min="11" max="11" width="13.85546875" bestFit="1" customWidth="1"/>
  </cols>
  <sheetData>
    <row r="1" spans="2:18" x14ac:dyDescent="0.25">
      <c r="B1" s="422" t="s">
        <v>1203</v>
      </c>
    </row>
    <row r="2" spans="2:18" x14ac:dyDescent="0.25">
      <c r="B2" s="422" t="s">
        <v>1204</v>
      </c>
    </row>
    <row r="4" spans="2:18" x14ac:dyDescent="0.25">
      <c r="B4" t="s">
        <v>597</v>
      </c>
      <c r="C4" s="14">
        <v>3000</v>
      </c>
      <c r="G4" s="11"/>
      <c r="H4" s="11"/>
      <c r="I4" s="11"/>
      <c r="J4" s="11"/>
      <c r="K4" s="11"/>
    </row>
    <row r="5" spans="2:18" x14ac:dyDescent="0.25">
      <c r="B5" t="s">
        <v>594</v>
      </c>
      <c r="C5" s="3">
        <v>3</v>
      </c>
      <c r="D5" s="674" t="str">
        <f>IF(C5=1,"12 month ECL","Lifetime ECL ")</f>
        <v xml:space="preserve">Lifetime ECL </v>
      </c>
      <c r="G5" s="11"/>
      <c r="H5" s="11"/>
      <c r="I5" s="11"/>
      <c r="J5" s="11"/>
      <c r="K5" s="11"/>
    </row>
    <row r="6" spans="2:18" x14ac:dyDescent="0.25">
      <c r="B6" t="s">
        <v>1749</v>
      </c>
      <c r="C6" s="190">
        <v>6.8000000000000005E-2</v>
      </c>
      <c r="G6" s="11"/>
      <c r="H6" s="11"/>
      <c r="I6" s="11"/>
      <c r="J6" s="11"/>
      <c r="K6" s="11"/>
    </row>
    <row r="7" spans="2:18" x14ac:dyDescent="0.25">
      <c r="B7" t="s">
        <v>591</v>
      </c>
      <c r="C7" s="14">
        <v>210</v>
      </c>
      <c r="G7" s="11"/>
      <c r="H7" s="11"/>
      <c r="I7" s="11"/>
      <c r="J7" s="11"/>
      <c r="K7" s="11"/>
    </row>
    <row r="8" spans="2:18" x14ac:dyDescent="0.25">
      <c r="B8" s="422" t="str" cm="1">
        <f t="array" ref="B8">_xlfn.IFS(C5=1,"As there has been no significant increase in credit risk since initial recognition, the 12 month expected credit losses should be calculated by using the weighted average of estimated credit losses with respective risks of default",C5=2,"As there has been a significant increase in credit risk since initial recognition, the lifetime expected credit losses should be calculated by using the weighted average of estimated credit losses with respective risks of default",C5=3,"There is objective evidence of impairment as ..., therefore the asset is credit impaired and so lifetime expected credit losses should be recognised")</f>
        <v>There is objective evidence of impairment as ..., therefore the asset is credit impaired and so lifetime expected credit losses should be recognised</v>
      </c>
    </row>
    <row r="9" spans="2:18" x14ac:dyDescent="0.25">
      <c r="B9" s="422" t="s">
        <v>1761</v>
      </c>
    </row>
    <row r="10" spans="2:18" x14ac:dyDescent="0.25">
      <c r="C10" t="s">
        <v>590</v>
      </c>
      <c r="D10" s="2" t="s">
        <v>489</v>
      </c>
      <c r="E10" t="s">
        <v>238</v>
      </c>
      <c r="F10" t="s">
        <v>587</v>
      </c>
      <c r="G10" t="s">
        <v>411</v>
      </c>
      <c r="H10" t="s">
        <v>588</v>
      </c>
    </row>
    <row r="11" spans="2:18" x14ac:dyDescent="0.25">
      <c r="B11" s="3"/>
      <c r="C11" s="14">
        <v>2707</v>
      </c>
      <c r="D11" s="14">
        <v>3</v>
      </c>
      <c r="E11" s="14">
        <f>1/((1+C6)^D11)</f>
        <v>0.82089241328867457</v>
      </c>
      <c r="F11" s="11">
        <f>E11*C11</f>
        <v>2222.1557627724419</v>
      </c>
      <c r="G11" s="190">
        <v>0.9</v>
      </c>
      <c r="H11" s="11">
        <f>F11*G11</f>
        <v>1999.9401864951978</v>
      </c>
    </row>
    <row r="12" spans="2:18" x14ac:dyDescent="0.25">
      <c r="B12" s="3"/>
      <c r="C12" s="14"/>
      <c r="D12" s="14"/>
      <c r="E12" s="14"/>
      <c r="F12" s="11">
        <f>E12*C12</f>
        <v>0</v>
      </c>
      <c r="G12" s="190"/>
      <c r="H12" s="11">
        <f>F12*G12</f>
        <v>0</v>
      </c>
      <c r="R12" t="s">
        <v>1759</v>
      </c>
    </row>
    <row r="13" spans="2:18" x14ac:dyDescent="0.25">
      <c r="B13" s="3"/>
      <c r="C13" s="14"/>
      <c r="D13" s="14"/>
      <c r="E13" s="14"/>
      <c r="F13" s="11">
        <f>E13*C13</f>
        <v>0</v>
      </c>
      <c r="G13" s="190"/>
      <c r="H13" s="11">
        <f>F13*G13</f>
        <v>0</v>
      </c>
    </row>
    <row r="14" spans="2:18" x14ac:dyDescent="0.25">
      <c r="B14" s="3"/>
      <c r="C14" s="14"/>
      <c r="D14" s="14"/>
      <c r="E14" s="14"/>
      <c r="F14" s="11">
        <f>E14*C14</f>
        <v>0</v>
      </c>
      <c r="G14" s="190"/>
      <c r="H14" s="11">
        <f>F14*G14</f>
        <v>0</v>
      </c>
    </row>
    <row r="15" spans="2:18" x14ac:dyDescent="0.25">
      <c r="H15" s="11">
        <f>SUM(H11:H14)</f>
        <v>1999.9401864951978</v>
      </c>
    </row>
    <row r="16" spans="2:18" x14ac:dyDescent="0.25">
      <c r="B16" s="497" t="s">
        <v>1760</v>
      </c>
      <c r="H16" s="11"/>
    </row>
    <row r="17" spans="2:11" x14ac:dyDescent="0.25">
      <c r="B17" t="s">
        <v>592</v>
      </c>
      <c r="E17" s="222">
        <f>C7</f>
        <v>210</v>
      </c>
      <c r="H17" s="11"/>
    </row>
    <row r="18" spans="2:11" x14ac:dyDescent="0.25">
      <c r="B18" t="s">
        <v>593</v>
      </c>
      <c r="E18" s="12">
        <f>H15</f>
        <v>1999.9401864951978</v>
      </c>
    </row>
    <row r="19" spans="2:11" x14ac:dyDescent="0.25">
      <c r="E19" s="221">
        <f>E18-E17</f>
        <v>1789.9401864951978</v>
      </c>
    </row>
    <row r="21" spans="2:11" x14ac:dyDescent="0.25">
      <c r="B21" t="str">
        <f>IF(E19&gt;0,"DR SPL - impairment loss","CR SPL - gain")</f>
        <v>DR SPL - impairment loss</v>
      </c>
      <c r="E21" s="12">
        <f>IF($E$19&gt;0,$E$19,0)</f>
        <v>1789.9401864951978</v>
      </c>
      <c r="F21" s="12">
        <f>IF($E$19&lt;0,-$E$19,0)</f>
        <v>0</v>
      </c>
    </row>
    <row r="22" spans="2:11" x14ac:dyDescent="0.25">
      <c r="B22" t="s">
        <v>589</v>
      </c>
      <c r="E22" s="12">
        <f>IF($E$19&lt;0,-$E$19,0)</f>
        <v>0</v>
      </c>
      <c r="F22" s="12">
        <f>IF($E$19&gt;0,$E$19,0)</f>
        <v>1789.9401864951978</v>
      </c>
      <c r="H22" s="12"/>
    </row>
    <row r="24" spans="2:11" x14ac:dyDescent="0.25">
      <c r="B24" t="s">
        <v>94</v>
      </c>
      <c r="G24" s="422" t="s">
        <v>1205</v>
      </c>
      <c r="K24" s="422" t="s">
        <v>1593</v>
      </c>
    </row>
    <row r="25" spans="2:11" x14ac:dyDescent="0.25">
      <c r="B25" t="s">
        <v>595</v>
      </c>
      <c r="E25" s="11">
        <f>IF(C5=3,(C4-E18)*C6,C4*C6)</f>
        <v>68.004067318326548</v>
      </c>
      <c r="K25" s="422" t="s">
        <v>857</v>
      </c>
    </row>
    <row r="26" spans="2:11" x14ac:dyDescent="0.25">
      <c r="B26" t="s">
        <v>596</v>
      </c>
      <c r="F26" s="12">
        <f>E25</f>
        <v>68.004067318326548</v>
      </c>
      <c r="K26" s="422" t="s">
        <v>858</v>
      </c>
    </row>
    <row r="29" spans="2:11" x14ac:dyDescent="0.25">
      <c r="B29" s="422" t="s">
        <v>1530</v>
      </c>
      <c r="K29" s="499" t="s">
        <v>1597</v>
      </c>
    </row>
    <row r="30" spans="2:11" x14ac:dyDescent="0.25">
      <c r="K30" s="422" t="s">
        <v>1594</v>
      </c>
    </row>
    <row r="31" spans="2:11" x14ac:dyDescent="0.25">
      <c r="K31" s="422" t="s">
        <v>1595</v>
      </c>
    </row>
    <row r="33" spans="11:11" x14ac:dyDescent="0.25">
      <c r="K33" s="499" t="s">
        <v>1596</v>
      </c>
    </row>
    <row r="34" spans="11:11" x14ac:dyDescent="0.25">
      <c r="K34" s="422" t="s">
        <v>1598</v>
      </c>
    </row>
    <row r="35" spans="11:11" x14ac:dyDescent="0.25">
      <c r="K35" s="422" t="s">
        <v>1599</v>
      </c>
    </row>
    <row r="36" spans="11:11" x14ac:dyDescent="0.25">
      <c r="K36" s="422" t="s">
        <v>1600</v>
      </c>
    </row>
  </sheetData>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978FC1CC-EA89-41E8-BAAB-EACEB97D890F}">
          <x14:formula1>
            <xm:f>Inputs!$B$38:$B$40</xm:f>
          </x14:formula1>
          <xm:sqref>C5</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3E36AA-28A5-4CF0-A2BD-D896031832F5}">
  <sheetPr codeName="Sheet29"/>
  <dimension ref="A1:A21"/>
  <sheetViews>
    <sheetView workbookViewId="0"/>
  </sheetViews>
  <sheetFormatPr defaultRowHeight="15" x14ac:dyDescent="0.25"/>
  <cols>
    <col min="1" max="1" width="77.42578125" customWidth="1"/>
  </cols>
  <sheetData>
    <row r="1" spans="1:1" ht="15.75" thickBot="1" x14ac:dyDescent="0.3">
      <c r="A1" s="214" t="s">
        <v>954</v>
      </c>
    </row>
    <row r="2" spans="1:1" ht="60.95" customHeight="1" x14ac:dyDescent="0.25">
      <c r="A2" s="209" t="s">
        <v>950</v>
      </c>
    </row>
    <row r="3" spans="1:1" x14ac:dyDescent="0.25">
      <c r="A3" s="210" t="s">
        <v>147</v>
      </c>
    </row>
    <row r="4" spans="1:1" ht="30" x14ac:dyDescent="0.25">
      <c r="A4" s="211" t="s">
        <v>951</v>
      </c>
    </row>
    <row r="5" spans="1:1" x14ac:dyDescent="0.25">
      <c r="A5" s="210" t="s">
        <v>147</v>
      </c>
    </row>
    <row r="6" spans="1:1" ht="30" x14ac:dyDescent="0.25">
      <c r="A6" s="211" t="s">
        <v>952</v>
      </c>
    </row>
    <row r="7" spans="1:1" x14ac:dyDescent="0.25">
      <c r="A7" s="210" t="s">
        <v>148</v>
      </c>
    </row>
    <row r="8" spans="1:1" x14ac:dyDescent="0.25">
      <c r="A8" s="199" t="s">
        <v>953</v>
      </c>
    </row>
    <row r="9" spans="1:1" ht="15.75" thickBot="1" x14ac:dyDescent="0.3">
      <c r="A9" s="498" t="s">
        <v>148</v>
      </c>
    </row>
    <row r="11" spans="1:1" x14ac:dyDescent="0.25">
      <c r="A11" s="1" t="str">
        <f>IF(AND(A3="Yes",A5="Yes",A7="No",A9="No"),"Entity is exempt from preparing consolidated financial stataements under the CA 2006","Entity must prepare consolidated financial statements")</f>
        <v>Entity is exempt from preparing consolidated financial stataements under the CA 2006</v>
      </c>
    </row>
    <row r="12" spans="1:1" ht="15.75" thickBot="1" x14ac:dyDescent="0.3"/>
    <row r="13" spans="1:1" ht="15.75" thickBot="1" x14ac:dyDescent="0.3">
      <c r="A13" s="214" t="s">
        <v>955</v>
      </c>
    </row>
    <row r="14" spans="1:1" ht="30" x14ac:dyDescent="0.25">
      <c r="A14" s="209" t="s">
        <v>956</v>
      </c>
    </row>
    <row r="15" spans="1:1" x14ac:dyDescent="0.25">
      <c r="A15" s="210" t="s">
        <v>147</v>
      </c>
    </row>
    <row r="16" spans="1:1" x14ac:dyDescent="0.25">
      <c r="A16" s="211" t="s">
        <v>957</v>
      </c>
    </row>
    <row r="17" spans="1:1" x14ac:dyDescent="0.25">
      <c r="A17" s="210" t="s">
        <v>147</v>
      </c>
    </row>
    <row r="18" spans="1:1" ht="30" x14ac:dyDescent="0.25">
      <c r="A18" s="211" t="s">
        <v>958</v>
      </c>
    </row>
    <row r="19" spans="1:1" x14ac:dyDescent="0.25">
      <c r="A19" s="210" t="s">
        <v>148</v>
      </c>
    </row>
    <row r="20" spans="1:1" x14ac:dyDescent="0.25">
      <c r="A20" s="199" t="s">
        <v>953</v>
      </c>
    </row>
    <row r="21" spans="1:1" ht="15.75" thickBot="1" x14ac:dyDescent="0.3">
      <c r="A21" s="498" t="s">
        <v>148</v>
      </c>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14A38DB4-8EB9-4672-B0CA-E5C8828CF486}">
          <x14:formula1>
            <xm:f>Inputs!$B$5:$B$6</xm:f>
          </x14:formula1>
          <xm:sqref>A3 A5 A7 A9 A15 A17 A19 A21</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1B215-B203-452F-B81F-A5D2E65C2C8B}">
  <sheetPr codeName="Sheet30"/>
  <dimension ref="A1:J29"/>
  <sheetViews>
    <sheetView workbookViewId="0"/>
  </sheetViews>
  <sheetFormatPr defaultRowHeight="15" x14ac:dyDescent="0.25"/>
  <sheetData>
    <row r="1" spans="1:10" ht="15.75" thickBot="1" x14ac:dyDescent="0.3"/>
    <row r="2" spans="1:10" x14ac:dyDescent="0.25">
      <c r="A2" s="501" t="s">
        <v>963</v>
      </c>
      <c r="B2" s="63"/>
      <c r="C2" s="63"/>
      <c r="D2" s="63"/>
      <c r="E2" s="63"/>
      <c r="F2" s="63"/>
      <c r="G2" s="63"/>
      <c r="H2" s="64"/>
      <c r="J2" s="422" t="s">
        <v>975</v>
      </c>
    </row>
    <row r="3" spans="1:10" x14ac:dyDescent="0.25">
      <c r="A3" s="500" t="s">
        <v>962</v>
      </c>
      <c r="B3" s="66"/>
      <c r="C3" s="66"/>
      <c r="D3" s="66"/>
      <c r="E3" s="66"/>
      <c r="F3" s="66"/>
      <c r="G3" s="66"/>
      <c r="H3" s="68"/>
      <c r="J3" s="422" t="s">
        <v>976</v>
      </c>
    </row>
    <row r="4" spans="1:10" x14ac:dyDescent="0.25">
      <c r="A4" s="500" t="s">
        <v>960</v>
      </c>
      <c r="B4" s="66"/>
      <c r="C4" s="66"/>
      <c r="D4" s="66"/>
      <c r="E4" s="66"/>
      <c r="F4" s="66"/>
      <c r="G4" s="66"/>
      <c r="H4" s="68"/>
    </row>
    <row r="5" spans="1:10" x14ac:dyDescent="0.25">
      <c r="A5" s="500" t="s">
        <v>961</v>
      </c>
      <c r="B5" s="66"/>
      <c r="C5" s="66"/>
      <c r="D5" s="66"/>
      <c r="E5" s="66"/>
      <c r="F5" s="66"/>
      <c r="G5" s="66"/>
      <c r="H5" s="68"/>
      <c r="J5" t="s">
        <v>977</v>
      </c>
    </row>
    <row r="6" spans="1:10" ht="15.75" thickBot="1" x14ac:dyDescent="0.3">
      <c r="A6" s="72"/>
      <c r="B6" s="73"/>
      <c r="C6" s="73"/>
      <c r="D6" s="73"/>
      <c r="E6" s="73"/>
      <c r="F6" s="73"/>
      <c r="G6" s="73"/>
      <c r="H6" s="82"/>
    </row>
    <row r="7" spans="1:10" ht="15.75" thickBot="1" x14ac:dyDescent="0.3">
      <c r="A7" s="66"/>
      <c r="B7" s="66"/>
      <c r="C7" s="66"/>
      <c r="D7" s="66"/>
      <c r="E7" s="66"/>
      <c r="F7" s="66"/>
      <c r="G7" s="66"/>
      <c r="H7" s="66"/>
    </row>
    <row r="8" spans="1:10" x14ac:dyDescent="0.25">
      <c r="A8" s="501" t="s">
        <v>959</v>
      </c>
      <c r="B8" s="63"/>
      <c r="C8" s="63"/>
      <c r="D8" s="63"/>
      <c r="E8" s="63"/>
      <c r="F8" s="63"/>
      <c r="G8" s="63"/>
      <c r="H8" s="64"/>
    </row>
    <row r="9" spans="1:10" x14ac:dyDescent="0.25">
      <c r="A9" s="847" t="s">
        <v>964</v>
      </c>
      <c r="B9" s="868"/>
      <c r="C9" s="868"/>
      <c r="D9" s="868"/>
      <c r="E9" s="868"/>
      <c r="F9" s="868"/>
      <c r="G9" s="868"/>
      <c r="H9" s="869"/>
    </row>
    <row r="10" spans="1:10" x14ac:dyDescent="0.25">
      <c r="A10" s="847"/>
      <c r="B10" s="868"/>
      <c r="C10" s="868"/>
      <c r="D10" s="868"/>
      <c r="E10" s="868"/>
      <c r="F10" s="868"/>
      <c r="G10" s="868"/>
      <c r="H10" s="869"/>
    </row>
    <row r="11" spans="1:10" x14ac:dyDescent="0.25">
      <c r="A11" s="502"/>
      <c r="B11" s="503"/>
      <c r="C11" s="503"/>
      <c r="D11" s="503"/>
      <c r="E11" s="503"/>
      <c r="F11" s="503"/>
      <c r="G11" s="503"/>
      <c r="H11" s="504"/>
    </row>
    <row r="12" spans="1:10" x14ac:dyDescent="0.25">
      <c r="A12" s="505" t="s">
        <v>965</v>
      </c>
      <c r="B12" s="66"/>
      <c r="C12" s="66"/>
      <c r="D12" s="66"/>
      <c r="E12" s="66"/>
      <c r="F12" s="66"/>
      <c r="G12" s="66"/>
      <c r="H12" s="68"/>
    </row>
    <row r="13" spans="1:10" x14ac:dyDescent="0.25">
      <c r="A13" s="500" t="s">
        <v>966</v>
      </c>
      <c r="B13" s="66"/>
      <c r="C13" s="66"/>
      <c r="D13" s="66"/>
      <c r="E13" s="66"/>
      <c r="F13" s="66"/>
      <c r="G13" s="66"/>
      <c r="H13" s="68"/>
    </row>
    <row r="14" spans="1:10" x14ac:dyDescent="0.25">
      <c r="A14" s="65"/>
      <c r="B14" s="66"/>
      <c r="C14" s="66"/>
      <c r="D14" s="66"/>
      <c r="E14" s="66"/>
      <c r="F14" s="66"/>
      <c r="G14" s="66"/>
      <c r="H14" s="68"/>
    </row>
    <row r="15" spans="1:10" x14ac:dyDescent="0.25">
      <c r="A15" s="505" t="s">
        <v>967</v>
      </c>
      <c r="B15" s="66"/>
      <c r="C15" s="66"/>
      <c r="D15" s="66"/>
      <c r="E15" s="66"/>
      <c r="F15" s="66"/>
      <c r="G15" s="66"/>
      <c r="H15" s="68"/>
    </row>
    <row r="16" spans="1:10" ht="35.450000000000003" customHeight="1" x14ac:dyDescent="0.25">
      <c r="A16" s="817" t="s">
        <v>973</v>
      </c>
      <c r="B16" s="818"/>
      <c r="C16" s="818"/>
      <c r="D16" s="818"/>
      <c r="E16" s="818"/>
      <c r="F16" s="818"/>
      <c r="G16" s="818"/>
      <c r="H16" s="819"/>
    </row>
    <row r="17" spans="1:8" ht="35.450000000000003" customHeight="1" thickBot="1" x14ac:dyDescent="0.3">
      <c r="A17" s="820"/>
      <c r="B17" s="821"/>
      <c r="C17" s="821"/>
      <c r="D17" s="821"/>
      <c r="E17" s="821"/>
      <c r="F17" s="821"/>
      <c r="G17" s="821"/>
      <c r="H17" s="822"/>
    </row>
    <row r="18" spans="1:8" ht="15.75" thickBot="1" x14ac:dyDescent="0.3">
      <c r="A18" s="422"/>
    </row>
    <row r="19" spans="1:8" x14ac:dyDescent="0.25">
      <c r="A19" s="501" t="s">
        <v>968</v>
      </c>
      <c r="B19" s="63"/>
      <c r="C19" s="63"/>
      <c r="D19" s="63"/>
      <c r="E19" s="63"/>
      <c r="F19" s="63"/>
      <c r="G19" s="63"/>
      <c r="H19" s="64"/>
    </row>
    <row r="20" spans="1:8" x14ac:dyDescent="0.25">
      <c r="A20" s="500" t="s">
        <v>969</v>
      </c>
      <c r="B20" s="66"/>
      <c r="C20" s="66"/>
      <c r="D20" s="66"/>
      <c r="E20" s="66"/>
      <c r="F20" s="66"/>
      <c r="G20" s="66"/>
      <c r="H20" s="68"/>
    </row>
    <row r="21" spans="1:8" x14ac:dyDescent="0.25">
      <c r="A21" s="65"/>
      <c r="B21" s="66"/>
      <c r="C21" s="66"/>
      <c r="D21" s="66"/>
      <c r="E21" s="66"/>
      <c r="F21" s="66"/>
      <c r="G21" s="66"/>
      <c r="H21" s="68"/>
    </row>
    <row r="22" spans="1:8" x14ac:dyDescent="0.25">
      <c r="A22" s="505" t="s">
        <v>967</v>
      </c>
      <c r="B22" s="66"/>
      <c r="C22" s="66"/>
      <c r="D22" s="66"/>
      <c r="E22" s="66"/>
      <c r="F22" s="66"/>
      <c r="G22" s="66"/>
      <c r="H22" s="68"/>
    </row>
    <row r="23" spans="1:8" s="422" customFormat="1" ht="30.95" customHeight="1" x14ac:dyDescent="0.25">
      <c r="A23" s="847" t="s">
        <v>970</v>
      </c>
      <c r="B23" s="868"/>
      <c r="C23" s="868"/>
      <c r="D23" s="868"/>
      <c r="E23" s="868"/>
      <c r="F23" s="868"/>
      <c r="G23" s="868"/>
      <c r="H23" s="869"/>
    </row>
    <row r="24" spans="1:8" x14ac:dyDescent="0.25">
      <c r="A24" s="65"/>
      <c r="B24" s="66"/>
      <c r="C24" s="66"/>
      <c r="D24" s="66"/>
      <c r="E24" s="66"/>
      <c r="F24" s="66"/>
      <c r="G24" s="66"/>
      <c r="H24" s="68"/>
    </row>
    <row r="25" spans="1:8" x14ac:dyDescent="0.25">
      <c r="A25" s="506" t="s">
        <v>971</v>
      </c>
      <c r="B25" s="66"/>
      <c r="C25" s="66"/>
      <c r="D25" s="66"/>
      <c r="E25" s="66"/>
      <c r="F25" s="66"/>
      <c r="G25" s="66"/>
      <c r="H25" s="68"/>
    </row>
    <row r="26" spans="1:8" ht="26.45" customHeight="1" thickBot="1" x14ac:dyDescent="0.3">
      <c r="A26" s="870" t="s">
        <v>972</v>
      </c>
      <c r="B26" s="871"/>
      <c r="C26" s="871"/>
      <c r="D26" s="871"/>
      <c r="E26" s="871"/>
      <c r="F26" s="871"/>
      <c r="G26" s="871"/>
      <c r="H26" s="872"/>
    </row>
    <row r="28" spans="1:8" x14ac:dyDescent="0.25">
      <c r="A28" s="499" t="s">
        <v>434</v>
      </c>
    </row>
    <row r="29" spans="1:8" x14ac:dyDescent="0.25">
      <c r="A29" s="422" t="s">
        <v>974</v>
      </c>
    </row>
  </sheetData>
  <mergeCells count="4">
    <mergeCell ref="A9:H10"/>
    <mergeCell ref="A16:H17"/>
    <mergeCell ref="A23:H23"/>
    <mergeCell ref="A26:H26"/>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C796CE-8101-456A-B3C0-2A1E41B7EF4B}">
  <sheetPr codeName="Sheet32"/>
  <dimension ref="B2:I22"/>
  <sheetViews>
    <sheetView workbookViewId="0"/>
  </sheetViews>
  <sheetFormatPr defaultRowHeight="15" x14ac:dyDescent="0.25"/>
  <cols>
    <col min="4" max="5" width="13.28515625" bestFit="1" customWidth="1"/>
  </cols>
  <sheetData>
    <row r="2" spans="2:5" x14ac:dyDescent="0.25">
      <c r="B2" s="1" t="s">
        <v>378</v>
      </c>
    </row>
    <row r="3" spans="2:5" x14ac:dyDescent="0.25">
      <c r="B3" t="s">
        <v>364</v>
      </c>
      <c r="E3" s="14"/>
    </row>
    <row r="4" spans="2:5" x14ac:dyDescent="0.25">
      <c r="B4" t="s">
        <v>365</v>
      </c>
    </row>
    <row r="5" spans="2:5" x14ac:dyDescent="0.25">
      <c r="B5" t="s">
        <v>368</v>
      </c>
      <c r="E5" s="14"/>
    </row>
    <row r="6" spans="2:5" x14ac:dyDescent="0.25">
      <c r="B6" t="s">
        <v>366</v>
      </c>
      <c r="E6" s="3"/>
    </row>
    <row r="7" spans="2:5" x14ac:dyDescent="0.25">
      <c r="B7" t="s">
        <v>367</v>
      </c>
      <c r="E7" s="3"/>
    </row>
    <row r="9" spans="2:5" x14ac:dyDescent="0.25">
      <c r="B9" t="s">
        <v>369</v>
      </c>
      <c r="E9" s="11">
        <f>E3+E5*E7</f>
        <v>0</v>
      </c>
    </row>
    <row r="11" spans="2:5" x14ac:dyDescent="0.25">
      <c r="B11" t="s">
        <v>373</v>
      </c>
      <c r="E11" s="12">
        <f>E3</f>
        <v>0</v>
      </c>
    </row>
    <row r="12" spans="2:5" x14ac:dyDescent="0.25">
      <c r="B12" t="s">
        <v>370</v>
      </c>
      <c r="E12" s="12">
        <f>E6*E5</f>
        <v>0</v>
      </c>
    </row>
    <row r="13" spans="2:5" x14ac:dyDescent="0.25">
      <c r="B13" t="s">
        <v>371</v>
      </c>
      <c r="E13" s="12">
        <f>(E7-E6)*E5</f>
        <v>0</v>
      </c>
    </row>
    <row r="14" spans="2:5" x14ac:dyDescent="0.25">
      <c r="B14" t="s">
        <v>372</v>
      </c>
      <c r="D14" s="11">
        <f>E9</f>
        <v>0</v>
      </c>
    </row>
    <row r="16" spans="2:5" x14ac:dyDescent="0.25">
      <c r="B16" s="1" t="s">
        <v>374</v>
      </c>
    </row>
    <row r="17" spans="2:9" x14ac:dyDescent="0.25">
      <c r="B17" t="s">
        <v>375</v>
      </c>
      <c r="E17" s="14"/>
    </row>
    <row r="18" spans="2:9" x14ac:dyDescent="0.25">
      <c r="B18" t="s">
        <v>376</v>
      </c>
      <c r="E18" s="14"/>
    </row>
    <row r="20" spans="2:9" x14ac:dyDescent="0.25">
      <c r="B20" t="s">
        <v>355</v>
      </c>
      <c r="D20" s="12">
        <f>E17</f>
        <v>0</v>
      </c>
    </row>
    <row r="21" spans="2:9" x14ac:dyDescent="0.25">
      <c r="B21" t="s">
        <v>377</v>
      </c>
      <c r="D21" s="12">
        <f>E18</f>
        <v>0</v>
      </c>
    </row>
    <row r="22" spans="2:9" x14ac:dyDescent="0.25">
      <c r="B22" t="s">
        <v>354</v>
      </c>
      <c r="E22" s="12">
        <f>E17+E18</f>
        <v>0</v>
      </c>
      <c r="I22" t="s">
        <v>1890</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E03177-C54D-42AB-A29D-08AC30C09027}">
  <dimension ref="B1:N125"/>
  <sheetViews>
    <sheetView zoomScale="72" zoomScaleNormal="80" workbookViewId="0"/>
  </sheetViews>
  <sheetFormatPr defaultRowHeight="15" x14ac:dyDescent="0.25"/>
  <cols>
    <col min="1" max="1" width="2.85546875" customWidth="1"/>
    <col min="2" max="2" width="36.140625" customWidth="1"/>
    <col min="3" max="3" width="16.7109375" customWidth="1"/>
    <col min="4" max="4" width="16.42578125" customWidth="1"/>
    <col min="5" max="5" width="23.85546875" customWidth="1"/>
    <col min="6" max="6" width="12.85546875" customWidth="1"/>
    <col min="7" max="7" width="24.5703125" bestFit="1" customWidth="1"/>
    <col min="8" max="8" width="27" bestFit="1" customWidth="1"/>
    <col min="9" max="9" width="20" customWidth="1"/>
    <col min="10" max="10" width="27.42578125" bestFit="1" customWidth="1"/>
    <col min="11" max="11" width="31.42578125" customWidth="1"/>
    <col min="12" max="12" width="12.28515625" customWidth="1"/>
  </cols>
  <sheetData>
    <row r="1" spans="2:12" ht="15.75" thickBot="1" x14ac:dyDescent="0.3"/>
    <row r="2" spans="2:12" x14ac:dyDescent="0.25">
      <c r="B2" s="62" t="s">
        <v>263</v>
      </c>
      <c r="C2" s="77"/>
      <c r="G2" s="422" t="s">
        <v>932</v>
      </c>
    </row>
    <row r="3" spans="2:12" x14ac:dyDescent="0.25">
      <c r="B3" s="65" t="s">
        <v>265</v>
      </c>
      <c r="C3" s="78"/>
      <c r="G3" s="422" t="s">
        <v>1775</v>
      </c>
    </row>
    <row r="4" spans="2:12" x14ac:dyDescent="0.25">
      <c r="B4" s="65" t="s">
        <v>279</v>
      </c>
      <c r="C4" s="71">
        <f>SUM(C2:C3)</f>
        <v>0</v>
      </c>
      <c r="G4" s="422" t="s">
        <v>1774</v>
      </c>
    </row>
    <row r="5" spans="2:12" x14ac:dyDescent="0.25">
      <c r="B5" s="65"/>
      <c r="C5" s="79"/>
      <c r="G5" s="422" t="s">
        <v>1773</v>
      </c>
    </row>
    <row r="6" spans="2:12" x14ac:dyDescent="0.25">
      <c r="B6" s="65" t="s">
        <v>266</v>
      </c>
      <c r="C6" s="78"/>
      <c r="D6" s="66" t="str">
        <f ca="1">IFERROR(_xlfn.FORMULATEXT(C6)," ")</f>
        <v xml:space="preserve"> </v>
      </c>
    </row>
    <row r="7" spans="2:12" x14ac:dyDescent="0.25">
      <c r="B7" s="65" t="s">
        <v>267</v>
      </c>
      <c r="C7" s="78"/>
      <c r="D7" s="66" t="str">
        <f ca="1">IFERROR(_xlfn.FORMULATEXT(C7)," ")</f>
        <v xml:space="preserve"> </v>
      </c>
    </row>
    <row r="8" spans="2:12" ht="15.75" thickBot="1" x14ac:dyDescent="0.3">
      <c r="B8" s="65" t="s">
        <v>269</v>
      </c>
      <c r="C8" s="78"/>
      <c r="D8" s="66" t="str">
        <f ca="1">IFERROR(_xlfn.FORMULATEXT(C8)," ")</f>
        <v xml:space="preserve"> </v>
      </c>
    </row>
    <row r="9" spans="2:12" x14ac:dyDescent="0.25">
      <c r="B9" s="65"/>
      <c r="C9" s="68"/>
      <c r="G9" s="75" t="s">
        <v>263</v>
      </c>
      <c r="H9" s="63" t="s">
        <v>141</v>
      </c>
      <c r="I9" s="63"/>
      <c r="J9" s="84" t="s">
        <v>1767</v>
      </c>
      <c r="K9" s="63" t="s">
        <v>141</v>
      </c>
      <c r="L9" s="64"/>
    </row>
    <row r="10" spans="2:12" x14ac:dyDescent="0.25">
      <c r="B10" s="65" t="s">
        <v>1443</v>
      </c>
      <c r="C10" s="71" t="e">
        <f>(C6/C7)*C3</f>
        <v>#DIV/0!</v>
      </c>
      <c r="D10" s="422" t="s">
        <v>1772</v>
      </c>
      <c r="G10" s="65" t="s">
        <v>1626</v>
      </c>
      <c r="H10" s="66">
        <v>2420</v>
      </c>
      <c r="I10" s="66" t="str">
        <f ca="1">IFERROR(_xlfn.FORMULATEXT(H10)," ")</f>
        <v xml:space="preserve"> </v>
      </c>
      <c r="J10" s="66" t="s">
        <v>1562</v>
      </c>
      <c r="K10" s="66">
        <f>830*0.4</f>
        <v>332</v>
      </c>
      <c r="L10" s="68" t="str">
        <f ca="1">IFERROR(_xlfn.FORMULATEXT(K10)," ")</f>
        <v>=830*0.4</v>
      </c>
    </row>
    <row r="11" spans="2:12" x14ac:dyDescent="0.25">
      <c r="B11" s="65" t="s">
        <v>1444</v>
      </c>
      <c r="C11" s="71" t="e">
        <f>C10+C2</f>
        <v>#DIV/0!</v>
      </c>
      <c r="G11" s="65" t="s">
        <v>1562</v>
      </c>
      <c r="H11" s="66">
        <f>830*0.6</f>
        <v>498</v>
      </c>
      <c r="I11" s="66" t="str">
        <f ca="1">IFERROR(_xlfn.FORMULATEXT(H11)," ")</f>
        <v>=830*0.6</v>
      </c>
      <c r="J11" s="66" t="s">
        <v>1768</v>
      </c>
      <c r="K11" s="66">
        <v>110</v>
      </c>
      <c r="L11" s="68" t="str">
        <f t="shared" ref="L11:L20" ca="1" si="0">IFERROR(_xlfn.FORMULATEXT(K11)," ")</f>
        <v xml:space="preserve"> </v>
      </c>
    </row>
    <row r="12" spans="2:12" x14ac:dyDescent="0.25">
      <c r="B12" s="65" t="s">
        <v>1445</v>
      </c>
      <c r="C12" s="638" t="e">
        <f>C11/C6</f>
        <v>#DIV/0!</v>
      </c>
      <c r="E12" s="12"/>
      <c r="G12" s="65"/>
      <c r="H12" s="66"/>
      <c r="I12" s="66" t="str">
        <f t="shared" ref="I12:I21" ca="1" si="1">IFERROR(_xlfn.FORMULATEXT(H12)," ")</f>
        <v xml:space="preserve"> </v>
      </c>
      <c r="J12" s="151" t="s">
        <v>1769</v>
      </c>
      <c r="K12" s="66">
        <v>280</v>
      </c>
      <c r="L12" s="68" t="str">
        <f t="shared" ca="1" si="0"/>
        <v xml:space="preserve"> </v>
      </c>
    </row>
    <row r="13" spans="2:12" x14ac:dyDescent="0.25">
      <c r="B13" s="65"/>
      <c r="C13" s="71"/>
      <c r="G13" s="65"/>
      <c r="H13" s="66"/>
      <c r="I13" s="66" t="str">
        <f t="shared" ca="1" si="1"/>
        <v xml:space="preserve"> </v>
      </c>
      <c r="J13" s="151" t="s">
        <v>1770</v>
      </c>
      <c r="K13" s="66">
        <v>275</v>
      </c>
      <c r="L13" s="68" t="str">
        <f t="shared" ca="1" si="0"/>
        <v xml:space="preserve"> </v>
      </c>
    </row>
    <row r="14" spans="2:12" x14ac:dyDescent="0.25">
      <c r="B14" s="65"/>
      <c r="C14" s="126" t="s">
        <v>270</v>
      </c>
      <c r="G14" s="65"/>
      <c r="H14" s="66"/>
      <c r="I14" s="66" t="str">
        <f t="shared" ca="1" si="1"/>
        <v xml:space="preserve"> </v>
      </c>
      <c r="J14" s="151" t="s">
        <v>1771</v>
      </c>
      <c r="K14" s="151">
        <v>420</v>
      </c>
      <c r="L14" s="68" t="str">
        <f t="shared" ca="1" si="0"/>
        <v xml:space="preserve"> </v>
      </c>
    </row>
    <row r="15" spans="2:12" x14ac:dyDescent="0.25">
      <c r="B15" s="65" t="s">
        <v>271</v>
      </c>
      <c r="C15" s="156" t="e">
        <f>C2/C6</f>
        <v>#DIV/0!</v>
      </c>
      <c r="D15" s="422" t="s">
        <v>316</v>
      </c>
      <c r="G15" s="65"/>
      <c r="H15" s="66"/>
      <c r="I15" s="66" t="str">
        <f t="shared" ca="1" si="1"/>
        <v xml:space="preserve"> </v>
      </c>
      <c r="J15" s="66"/>
      <c r="K15" s="66"/>
      <c r="L15" s="68" t="str">
        <f t="shared" ca="1" si="0"/>
        <v xml:space="preserve"> </v>
      </c>
    </row>
    <row r="16" spans="2:12" x14ac:dyDescent="0.25">
      <c r="B16" s="65" t="s">
        <v>265</v>
      </c>
      <c r="C16" s="156" t="e">
        <f>IF(C7&lt;=C6,C3/C6,C3/C7)</f>
        <v>#DIV/0!</v>
      </c>
      <c r="G16" s="65"/>
      <c r="H16" s="66"/>
      <c r="I16" s="66" t="str">
        <f t="shared" ca="1" si="1"/>
        <v xml:space="preserve"> </v>
      </c>
      <c r="J16" s="66"/>
      <c r="K16" s="66"/>
      <c r="L16" s="68" t="str">
        <f t="shared" ca="1" si="0"/>
        <v xml:space="preserve"> </v>
      </c>
    </row>
    <row r="17" spans="2:14" x14ac:dyDescent="0.25">
      <c r="B17" s="65" t="s">
        <v>280</v>
      </c>
      <c r="C17" s="639" t="e">
        <f>SUM(C15:C16)</f>
        <v>#DIV/0!</v>
      </c>
      <c r="G17" s="65"/>
      <c r="H17" s="66"/>
      <c r="I17" s="66" t="str">
        <f t="shared" ca="1" si="1"/>
        <v xml:space="preserve"> </v>
      </c>
      <c r="J17" s="66"/>
      <c r="K17" s="66"/>
      <c r="L17" s="68" t="str">
        <f t="shared" ca="1" si="0"/>
        <v xml:space="preserve"> </v>
      </c>
    </row>
    <row r="18" spans="2:14" x14ac:dyDescent="0.25">
      <c r="B18" s="65"/>
      <c r="C18" s="68"/>
      <c r="G18" s="65"/>
      <c r="H18" s="66"/>
      <c r="I18" s="66" t="str">
        <f t="shared" ca="1" si="1"/>
        <v xml:space="preserve"> </v>
      </c>
      <c r="J18" s="66"/>
      <c r="K18" s="66"/>
      <c r="L18" s="68" t="str">
        <f t="shared" ca="1" si="0"/>
        <v xml:space="preserve"> </v>
      </c>
    </row>
    <row r="19" spans="2:14" ht="15.75" thickBot="1" x14ac:dyDescent="0.3">
      <c r="B19" s="72" t="s">
        <v>272</v>
      </c>
      <c r="C19" s="125" t="e">
        <f>C8*C17</f>
        <v>#DIV/0!</v>
      </c>
      <c r="G19" s="65"/>
      <c r="H19" s="66"/>
      <c r="I19" s="66" t="str">
        <f t="shared" ca="1" si="1"/>
        <v xml:space="preserve"> </v>
      </c>
      <c r="J19" s="66"/>
      <c r="K19" s="66"/>
      <c r="L19" s="68" t="str">
        <f t="shared" ca="1" si="0"/>
        <v xml:space="preserve"> </v>
      </c>
    </row>
    <row r="20" spans="2:14" x14ac:dyDescent="0.25">
      <c r="B20" s="66"/>
      <c r="C20" s="105"/>
      <c r="G20" s="65"/>
      <c r="H20" s="66"/>
      <c r="I20" s="66" t="str">
        <f t="shared" ca="1" si="1"/>
        <v xml:space="preserve"> </v>
      </c>
      <c r="J20" s="66"/>
      <c r="K20" s="66"/>
      <c r="L20" s="68" t="str">
        <f t="shared" ca="1" si="0"/>
        <v xml:space="preserve"> </v>
      </c>
    </row>
    <row r="21" spans="2:14" ht="15.75" thickBot="1" x14ac:dyDescent="0.3">
      <c r="B21" s="66"/>
      <c r="C21" s="105"/>
      <c r="G21" s="72"/>
      <c r="H21" s="73"/>
      <c r="I21" s="73" t="str">
        <f t="shared" ca="1" si="1"/>
        <v xml:space="preserve"> </v>
      </c>
      <c r="J21" s="73"/>
      <c r="K21" s="73"/>
      <c r="L21" s="82"/>
    </row>
    <row r="23" spans="2:14" x14ac:dyDescent="0.25">
      <c r="B23" s="584" t="s">
        <v>1208</v>
      </c>
    </row>
    <row r="24" spans="2:14" x14ac:dyDescent="0.25">
      <c r="B24" s="422" t="s">
        <v>274</v>
      </c>
    </row>
    <row r="25" spans="2:14" x14ac:dyDescent="0.25">
      <c r="B25" s="422" t="s">
        <v>933</v>
      </c>
    </row>
    <row r="26" spans="2:14" x14ac:dyDescent="0.25">
      <c r="B26" s="584" t="s">
        <v>1214</v>
      </c>
    </row>
    <row r="27" spans="2:14" ht="15.75" thickBot="1" x14ac:dyDescent="0.3">
      <c r="B27" s="422" t="s">
        <v>934</v>
      </c>
    </row>
    <row r="28" spans="2:14" x14ac:dyDescent="0.25">
      <c r="B28" s="62" t="s">
        <v>273</v>
      </c>
      <c r="C28" s="63"/>
      <c r="D28" s="63"/>
      <c r="E28" s="63"/>
      <c r="F28" s="63"/>
      <c r="G28" s="63"/>
      <c r="H28" s="63"/>
      <c r="I28" s="63"/>
      <c r="J28" s="63"/>
      <c r="K28" s="63"/>
      <c r="L28" s="64"/>
    </row>
    <row r="29" spans="2:14" x14ac:dyDescent="0.25">
      <c r="B29" s="65" t="s">
        <v>275</v>
      </c>
      <c r="C29" s="66" t="s">
        <v>264</v>
      </c>
      <c r="D29" s="66" t="s">
        <v>193</v>
      </c>
      <c r="E29" s="151" t="s">
        <v>287</v>
      </c>
      <c r="F29" s="151" t="s">
        <v>1440</v>
      </c>
      <c r="G29" s="151" t="s">
        <v>1441</v>
      </c>
      <c r="H29" s="66" t="s">
        <v>1442</v>
      </c>
      <c r="I29" s="151" t="s">
        <v>273</v>
      </c>
      <c r="J29" s="66" t="s">
        <v>276</v>
      </c>
      <c r="K29" s="66" t="s">
        <v>278</v>
      </c>
      <c r="L29" s="68"/>
      <c r="N29" s="584"/>
    </row>
    <row r="30" spans="2:14" x14ac:dyDescent="0.25">
      <c r="B30" s="65"/>
      <c r="C30" s="66"/>
      <c r="D30" s="66" t="s">
        <v>277</v>
      </c>
      <c r="E30" s="66"/>
      <c r="F30" s="66" t="s">
        <v>277</v>
      </c>
      <c r="G30" s="66" t="s">
        <v>277</v>
      </c>
      <c r="H30" s="66" t="s">
        <v>277</v>
      </c>
      <c r="I30" s="66" t="s">
        <v>20</v>
      </c>
      <c r="J30" s="66" t="s">
        <v>277</v>
      </c>
      <c r="K30" s="66" t="s">
        <v>10</v>
      </c>
      <c r="L30" s="68"/>
      <c r="N30" s="422"/>
    </row>
    <row r="31" spans="2:14" x14ac:dyDescent="0.25">
      <c r="B31" s="48"/>
      <c r="C31" s="70"/>
      <c r="D31" s="70">
        <f>1.5*100000+10000</f>
        <v>160000</v>
      </c>
      <c r="E31" s="111">
        <f t="shared" ref="E31:E36" si="2">D31*C31</f>
        <v>0</v>
      </c>
      <c r="F31" s="70">
        <f>1.9*100000</f>
        <v>190000</v>
      </c>
      <c r="G31" s="640"/>
      <c r="H31" s="70"/>
      <c r="I31" s="111">
        <f t="shared" ref="I31:I36" si="3">H31*C31</f>
        <v>0</v>
      </c>
      <c r="J31" s="66">
        <f>IF(E31&lt;I31,D31,H31)</f>
        <v>0</v>
      </c>
      <c r="K31" s="17">
        <f t="shared" ref="K31:K36" si="4">J31*C31</f>
        <v>0</v>
      </c>
      <c r="L31" s="68"/>
      <c r="N31" s="422"/>
    </row>
    <row r="32" spans="2:14" x14ac:dyDescent="0.25">
      <c r="B32" s="48"/>
      <c r="C32" s="70">
        <v>75000</v>
      </c>
      <c r="D32" s="70">
        <f>E69</f>
        <v>0</v>
      </c>
      <c r="E32" s="111">
        <f t="shared" si="2"/>
        <v>0</v>
      </c>
      <c r="F32" s="49">
        <f>1.08</f>
        <v>1.08</v>
      </c>
      <c r="G32" s="640">
        <v>0.22</v>
      </c>
      <c r="H32" s="70">
        <f>F32-G32</f>
        <v>0.8600000000000001</v>
      </c>
      <c r="I32" s="111">
        <f t="shared" si="3"/>
        <v>64500.000000000007</v>
      </c>
      <c r="J32" s="66">
        <f>IF(E32&lt;I32,D32,H32)</f>
        <v>0</v>
      </c>
      <c r="K32" s="17">
        <f t="shared" si="4"/>
        <v>0</v>
      </c>
      <c r="L32" s="68"/>
      <c r="N32" s="584"/>
    </row>
    <row r="33" spans="2:14" x14ac:dyDescent="0.25">
      <c r="B33" s="48"/>
      <c r="C33" s="70"/>
      <c r="D33" s="70"/>
      <c r="E33" s="111">
        <f t="shared" si="2"/>
        <v>0</v>
      </c>
      <c r="F33" s="49"/>
      <c r="G33" s="49"/>
      <c r="H33" s="70"/>
      <c r="I33" s="111">
        <f t="shared" si="3"/>
        <v>0</v>
      </c>
      <c r="J33" s="66">
        <f>IF(D33&lt;H33,D33,H33)</f>
        <v>0</v>
      </c>
      <c r="K33" s="17">
        <f t="shared" si="4"/>
        <v>0</v>
      </c>
      <c r="L33" s="68"/>
      <c r="N33" s="422"/>
    </row>
    <row r="34" spans="2:14" x14ac:dyDescent="0.25">
      <c r="B34" s="48"/>
      <c r="C34" s="70"/>
      <c r="D34" s="70"/>
      <c r="E34" s="111">
        <f t="shared" si="2"/>
        <v>0</v>
      </c>
      <c r="F34" s="49"/>
      <c r="G34" s="49"/>
      <c r="H34" s="70"/>
      <c r="I34" s="111">
        <f t="shared" si="3"/>
        <v>0</v>
      </c>
      <c r="J34" s="66">
        <f>IF(D34&lt;H34,D34,H34)</f>
        <v>0</v>
      </c>
      <c r="K34" s="17">
        <f t="shared" si="4"/>
        <v>0</v>
      </c>
      <c r="L34" s="68"/>
    </row>
    <row r="35" spans="2:14" x14ac:dyDescent="0.25">
      <c r="B35" s="48"/>
      <c r="C35" s="70"/>
      <c r="D35" s="70"/>
      <c r="E35" s="111">
        <f t="shared" si="2"/>
        <v>0</v>
      </c>
      <c r="F35" s="49"/>
      <c r="G35" s="49"/>
      <c r="H35" s="70"/>
      <c r="I35" s="111">
        <f t="shared" si="3"/>
        <v>0</v>
      </c>
      <c r="J35" s="66">
        <f>IF(D35&lt;H35,D35,H35)</f>
        <v>0</v>
      </c>
      <c r="K35" s="17">
        <f t="shared" si="4"/>
        <v>0</v>
      </c>
      <c r="L35" s="68"/>
    </row>
    <row r="36" spans="2:14" x14ac:dyDescent="0.25">
      <c r="B36" s="48"/>
      <c r="C36" s="70"/>
      <c r="D36" s="70"/>
      <c r="E36" s="111">
        <f t="shared" si="2"/>
        <v>0</v>
      </c>
      <c r="F36" s="49"/>
      <c r="G36" s="49"/>
      <c r="H36" s="70"/>
      <c r="I36" s="111">
        <f t="shared" si="3"/>
        <v>0</v>
      </c>
      <c r="J36" s="66">
        <f>IF(D36&lt;H36,D36,H36)</f>
        <v>0</v>
      </c>
      <c r="K36" s="17">
        <f t="shared" si="4"/>
        <v>0</v>
      </c>
      <c r="L36" s="68"/>
      <c r="N36" s="632"/>
    </row>
    <row r="37" spans="2:14" ht="15.75" thickBot="1" x14ac:dyDescent="0.3">
      <c r="B37" s="65"/>
      <c r="C37" s="66"/>
      <c r="D37" s="66"/>
      <c r="E37" s="17">
        <f>SUM(E31:E36)</f>
        <v>0</v>
      </c>
      <c r="F37" s="66"/>
      <c r="G37" s="66"/>
      <c r="H37" s="66"/>
      <c r="I37" s="17"/>
      <c r="J37" s="66"/>
      <c r="K37" s="94">
        <f>SUM(K31:K36)</f>
        <v>0</v>
      </c>
      <c r="L37" s="68"/>
      <c r="N37" s="632"/>
    </row>
    <row r="38" spans="2:14" ht="16.5" thickTop="1" thickBot="1" x14ac:dyDescent="0.3">
      <c r="B38" s="72"/>
      <c r="C38" s="73"/>
      <c r="D38" s="73"/>
      <c r="E38" s="73"/>
      <c r="F38" s="73"/>
      <c r="G38" s="73"/>
      <c r="H38" s="73"/>
      <c r="I38" s="73"/>
      <c r="J38" s="73"/>
      <c r="K38" s="73"/>
      <c r="L38" s="82"/>
    </row>
    <row r="39" spans="2:14" x14ac:dyDescent="0.25">
      <c r="B39" s="66"/>
      <c r="C39" s="66"/>
      <c r="D39" s="66"/>
      <c r="E39" s="66"/>
      <c r="F39" s="66"/>
      <c r="G39" s="66"/>
    </row>
    <row r="40" spans="2:14" ht="15.75" thickBot="1" x14ac:dyDescent="0.3"/>
    <row r="41" spans="2:14" x14ac:dyDescent="0.25">
      <c r="B41" s="75" t="s">
        <v>318</v>
      </c>
      <c r="C41" s="63"/>
      <c r="D41" s="64"/>
      <c r="G41" s="12"/>
    </row>
    <row r="42" spans="2:14" x14ac:dyDescent="0.25">
      <c r="B42" s="65"/>
      <c r="C42" s="66"/>
      <c r="D42" s="68"/>
    </row>
    <row r="43" spans="2:14" x14ac:dyDescent="0.25">
      <c r="B43" s="65" t="s">
        <v>287</v>
      </c>
      <c r="C43" s="104"/>
      <c r="D43" s="68"/>
    </row>
    <row r="44" spans="2:14" x14ac:dyDescent="0.25">
      <c r="B44" s="65" t="s">
        <v>319</v>
      </c>
      <c r="C44" s="17">
        <f>K37</f>
        <v>0</v>
      </c>
      <c r="D44" s="68"/>
    </row>
    <row r="45" spans="2:14" x14ac:dyDescent="0.25">
      <c r="B45" s="65" t="s">
        <v>320</v>
      </c>
      <c r="C45" s="17">
        <f>C44-C43</f>
        <v>0</v>
      </c>
      <c r="D45" s="68"/>
      <c r="G45" s="12"/>
    </row>
    <row r="46" spans="2:14" x14ac:dyDescent="0.25">
      <c r="B46" s="65"/>
      <c r="C46" s="66"/>
      <c r="D46" s="68"/>
      <c r="H46" s="12">
        <f>31000/H48</f>
        <v>0.22187231606069283</v>
      </c>
    </row>
    <row r="47" spans="2:14" x14ac:dyDescent="0.25">
      <c r="B47" s="65"/>
      <c r="C47" s="101" t="s">
        <v>173</v>
      </c>
      <c r="D47" s="102" t="s">
        <v>165</v>
      </c>
    </row>
    <row r="48" spans="2:14" x14ac:dyDescent="0.25">
      <c r="B48" s="65"/>
      <c r="C48" s="101" t="s">
        <v>141</v>
      </c>
      <c r="D48" s="102" t="s">
        <v>141</v>
      </c>
      <c r="G48" t="s">
        <v>1974</v>
      </c>
      <c r="H48" s="11">
        <f>214720-75000</f>
        <v>139720</v>
      </c>
    </row>
    <row r="49" spans="2:11" x14ac:dyDescent="0.25">
      <c r="B49" s="65" t="s">
        <v>322</v>
      </c>
      <c r="C49" s="17">
        <f>-C45</f>
        <v>0</v>
      </c>
      <c r="D49" s="68"/>
    </row>
    <row r="50" spans="2:11" x14ac:dyDescent="0.25">
      <c r="B50" s="65" t="s">
        <v>321</v>
      </c>
      <c r="C50" s="66"/>
      <c r="D50" s="71">
        <f>-C45</f>
        <v>0</v>
      </c>
    </row>
    <row r="51" spans="2:11" x14ac:dyDescent="0.25">
      <c r="B51" s="65"/>
      <c r="C51" s="66"/>
      <c r="D51" s="68"/>
    </row>
    <row r="52" spans="2:11" ht="15.75" thickBot="1" x14ac:dyDescent="0.3">
      <c r="B52" s="72"/>
      <c r="C52" s="73"/>
      <c r="D52" s="82"/>
    </row>
    <row r="55" spans="2:11" ht="15.75" thickBot="1" x14ac:dyDescent="0.3"/>
    <row r="56" spans="2:11" x14ac:dyDescent="0.25">
      <c r="B56" s="75" t="s">
        <v>325</v>
      </c>
      <c r="C56" s="63"/>
      <c r="D56" s="84"/>
      <c r="E56" s="64"/>
      <c r="F56" s="422" t="s">
        <v>1212</v>
      </c>
    </row>
    <row r="57" spans="2:11" x14ac:dyDescent="0.25">
      <c r="B57" s="65"/>
      <c r="C57" s="66"/>
      <c r="D57" s="66"/>
      <c r="E57" s="126" t="s">
        <v>324</v>
      </c>
      <c r="F57" s="422" t="s">
        <v>1207</v>
      </c>
    </row>
    <row r="58" spans="2:11" x14ac:dyDescent="0.25">
      <c r="B58" s="65" t="s">
        <v>326</v>
      </c>
      <c r="C58" s="66"/>
      <c r="D58" s="66"/>
      <c r="E58" s="78"/>
      <c r="F58" s="422" t="s">
        <v>1211</v>
      </c>
    </row>
    <row r="59" spans="2:11" x14ac:dyDescent="0.25">
      <c r="B59" s="65"/>
      <c r="C59" s="66"/>
      <c r="D59" s="66"/>
      <c r="E59" s="68"/>
      <c r="F59" s="422" t="s">
        <v>1213</v>
      </c>
      <c r="K59" s="161"/>
    </row>
    <row r="60" spans="2:11" x14ac:dyDescent="0.25">
      <c r="B60" s="65" t="s">
        <v>317</v>
      </c>
      <c r="C60" s="66"/>
      <c r="D60" s="66"/>
      <c r="E60" s="78"/>
      <c r="F60" s="422" t="s">
        <v>1206</v>
      </c>
    </row>
    <row r="61" spans="2:11" x14ac:dyDescent="0.25">
      <c r="B61" s="65" t="s">
        <v>327</v>
      </c>
      <c r="C61" s="66"/>
      <c r="D61" s="66"/>
      <c r="E61" s="78"/>
    </row>
    <row r="62" spans="2:11" x14ac:dyDescent="0.25">
      <c r="B62" s="65"/>
      <c r="C62" s="66"/>
      <c r="D62" s="66"/>
      <c r="E62" s="68"/>
      <c r="F62" s="422" t="s">
        <v>1561</v>
      </c>
    </row>
    <row r="63" spans="2:11" x14ac:dyDescent="0.25">
      <c r="B63" s="65" t="s">
        <v>328</v>
      </c>
      <c r="C63" s="66" t="s">
        <v>380</v>
      </c>
      <c r="D63" s="66" t="s">
        <v>379</v>
      </c>
      <c r="E63" s="68"/>
    </row>
    <row r="64" spans="2:11" x14ac:dyDescent="0.25">
      <c r="B64" s="48"/>
      <c r="C64" s="70"/>
      <c r="D64" s="70"/>
      <c r="E64" s="160">
        <f>IF(C64&lt;&gt;0,C64/D64,0)</f>
        <v>0</v>
      </c>
    </row>
    <row r="65" spans="2:10" x14ac:dyDescent="0.25">
      <c r="B65" s="48"/>
      <c r="C65" s="70"/>
      <c r="D65" s="70"/>
      <c r="E65" s="160">
        <f>IF(C65&lt;&gt;0,C65/D65,0)</f>
        <v>0</v>
      </c>
      <c r="F65" s="12"/>
    </row>
    <row r="66" spans="2:10" x14ac:dyDescent="0.25">
      <c r="B66" s="48"/>
      <c r="C66" s="70"/>
      <c r="D66" s="70"/>
      <c r="E66" s="160">
        <f>IF(C66&lt;&gt;0,C66/D66,0)</f>
        <v>0</v>
      </c>
      <c r="F66" s="422" t="s">
        <v>1975</v>
      </c>
    </row>
    <row r="67" spans="2:10" x14ac:dyDescent="0.25">
      <c r="B67" s="65"/>
      <c r="C67" s="66"/>
      <c r="D67" s="66"/>
      <c r="E67" s="54">
        <f>SUM(E64:E66)</f>
        <v>0</v>
      </c>
    </row>
    <row r="68" spans="2:10" x14ac:dyDescent="0.25">
      <c r="B68" s="65"/>
      <c r="C68" s="66"/>
      <c r="D68" s="66"/>
      <c r="E68" s="68"/>
    </row>
    <row r="69" spans="2:10" x14ac:dyDescent="0.25">
      <c r="B69" s="65" t="s">
        <v>1439</v>
      </c>
      <c r="C69" s="66"/>
      <c r="D69" s="66"/>
      <c r="E69" s="71">
        <f>E58+E67</f>
        <v>0</v>
      </c>
      <c r="J69" s="93"/>
    </row>
    <row r="70" spans="2:10" ht="15.75" thickBot="1" x14ac:dyDescent="0.3">
      <c r="B70" s="153" t="s">
        <v>317</v>
      </c>
      <c r="C70" s="73"/>
      <c r="D70" s="73"/>
      <c r="E70" s="99">
        <f>E69*E60</f>
        <v>0</v>
      </c>
    </row>
    <row r="73" spans="2:10" ht="15.75" thickBot="1" x14ac:dyDescent="0.3"/>
    <row r="74" spans="2:10" x14ac:dyDescent="0.25">
      <c r="B74" s="75" t="s">
        <v>329</v>
      </c>
      <c r="C74" s="63"/>
      <c r="D74" s="63"/>
      <c r="E74" s="64"/>
    </row>
    <row r="75" spans="2:10" x14ac:dyDescent="0.25">
      <c r="B75" s="65"/>
      <c r="C75" s="142" t="s">
        <v>268</v>
      </c>
      <c r="D75" s="142" t="s">
        <v>330</v>
      </c>
      <c r="E75" s="143" t="s">
        <v>331</v>
      </c>
    </row>
    <row r="76" spans="2:10" x14ac:dyDescent="0.25">
      <c r="B76" s="65"/>
      <c r="C76" s="142"/>
      <c r="D76" s="142"/>
      <c r="E76" s="143"/>
    </row>
    <row r="77" spans="2:10" x14ac:dyDescent="0.25">
      <c r="B77" s="48"/>
      <c r="C77" s="49"/>
      <c r="D77" s="49"/>
      <c r="E77" s="162"/>
    </row>
    <row r="78" spans="2:10" x14ac:dyDescent="0.25">
      <c r="B78" s="48"/>
      <c r="C78" s="49"/>
      <c r="D78" s="49"/>
      <c r="E78" s="162"/>
    </row>
    <row r="79" spans="2:10" x14ac:dyDescent="0.25">
      <c r="B79" s="48"/>
      <c r="C79" s="49"/>
      <c r="D79" s="49"/>
      <c r="E79" s="162"/>
    </row>
    <row r="80" spans="2:10" x14ac:dyDescent="0.25">
      <c r="B80" s="48"/>
      <c r="C80" s="49"/>
      <c r="D80" s="49"/>
      <c r="E80" s="162"/>
    </row>
    <row r="81" spans="2:9" x14ac:dyDescent="0.25">
      <c r="B81" s="48"/>
      <c r="C81" s="49"/>
      <c r="D81" s="49"/>
      <c r="E81" s="162"/>
    </row>
    <row r="82" spans="2:9" ht="15.75" thickBot="1" x14ac:dyDescent="0.3">
      <c r="B82" s="153" t="s">
        <v>70</v>
      </c>
      <c r="C82" s="73"/>
      <c r="D82" s="73"/>
      <c r="E82" s="82"/>
    </row>
    <row r="84" spans="2:9" ht="15.75" thickBot="1" x14ac:dyDescent="0.3"/>
    <row r="85" spans="2:9" x14ac:dyDescent="0.25">
      <c r="B85" s="75" t="s">
        <v>415</v>
      </c>
      <c r="C85" s="63"/>
      <c r="D85" s="64"/>
    </row>
    <row r="86" spans="2:9" x14ac:dyDescent="0.25">
      <c r="B86" s="65" t="s">
        <v>416</v>
      </c>
      <c r="C86" s="66" t="s">
        <v>264</v>
      </c>
      <c r="D86" s="68" t="s">
        <v>277</v>
      </c>
    </row>
    <row r="87" spans="2:9" x14ac:dyDescent="0.25">
      <c r="B87" s="48"/>
      <c r="C87" s="49"/>
      <c r="D87" s="100"/>
      <c r="F87" s="422" t="s">
        <v>1209</v>
      </c>
    </row>
    <row r="88" spans="2:9" x14ac:dyDescent="0.25">
      <c r="B88" s="48"/>
      <c r="C88" s="49"/>
      <c r="D88" s="100"/>
      <c r="F88" s="422"/>
    </row>
    <row r="89" spans="2:9" x14ac:dyDescent="0.25">
      <c r="B89" s="48"/>
      <c r="C89" s="49"/>
      <c r="D89" s="100"/>
      <c r="F89" s="422" t="s">
        <v>1210</v>
      </c>
    </row>
    <row r="90" spans="2:9" ht="15.75" thickBot="1" x14ac:dyDescent="0.3">
      <c r="B90" s="56"/>
      <c r="C90" s="57"/>
      <c r="D90" s="677"/>
    </row>
    <row r="92" spans="2:9" x14ac:dyDescent="0.25">
      <c r="D92" s="24"/>
    </row>
    <row r="93" spans="2:9" x14ac:dyDescent="0.25">
      <c r="D93" s="24"/>
    </row>
    <row r="95" spans="2:9" ht="15.75" thickBot="1" x14ac:dyDescent="0.3"/>
    <row r="96" spans="2:9" x14ac:dyDescent="0.25">
      <c r="B96" s="75" t="s">
        <v>1638</v>
      </c>
      <c r="C96" s="63"/>
      <c r="D96" s="63"/>
      <c r="E96" s="63"/>
      <c r="F96" s="63"/>
      <c r="G96" s="64"/>
      <c r="I96" s="422" t="s">
        <v>1878</v>
      </c>
    </row>
    <row r="97" spans="2:9" x14ac:dyDescent="0.25">
      <c r="B97" s="48" t="s">
        <v>1045</v>
      </c>
      <c r="C97" s="66" t="s">
        <v>1630</v>
      </c>
      <c r="D97" s="66"/>
      <c r="E97" s="66"/>
      <c r="F97" s="49"/>
      <c r="G97" s="68"/>
      <c r="I97" s="422" t="s">
        <v>1879</v>
      </c>
    </row>
    <row r="98" spans="2:9" x14ac:dyDescent="0.25">
      <c r="B98" s="65"/>
      <c r="C98" s="66"/>
      <c r="D98" s="66"/>
      <c r="E98" s="66"/>
      <c r="F98" s="66"/>
      <c r="G98" s="68"/>
      <c r="I98" s="422"/>
    </row>
    <row r="99" spans="2:9" x14ac:dyDescent="0.25">
      <c r="B99" s="48" t="s">
        <v>1044</v>
      </c>
      <c r="C99" s="66" t="s">
        <v>1632</v>
      </c>
      <c r="D99" s="66"/>
      <c r="E99" s="66"/>
      <c r="F99" s="49"/>
      <c r="G99" s="68"/>
    </row>
    <row r="100" spans="2:9" x14ac:dyDescent="0.25">
      <c r="B100" s="65"/>
      <c r="C100" s="66" t="s">
        <v>1631</v>
      </c>
      <c r="D100" s="66"/>
      <c r="E100" s="66"/>
      <c r="F100" s="49"/>
      <c r="G100" s="68"/>
    </row>
    <row r="101" spans="2:9" x14ac:dyDescent="0.25">
      <c r="B101" s="65"/>
      <c r="C101" s="66" t="s">
        <v>1634</v>
      </c>
      <c r="D101" s="66"/>
      <c r="E101" s="66"/>
      <c r="F101" s="66">
        <f>F100-F99</f>
        <v>0</v>
      </c>
      <c r="G101" s="68"/>
    </row>
    <row r="102" spans="2:9" x14ac:dyDescent="0.25">
      <c r="B102" s="65"/>
      <c r="C102" s="66"/>
      <c r="D102" s="66"/>
      <c r="E102" s="66"/>
      <c r="F102" s="66"/>
      <c r="G102" s="68"/>
    </row>
    <row r="103" spans="2:9" x14ac:dyDescent="0.25">
      <c r="B103" s="48" t="s">
        <v>1633</v>
      </c>
      <c r="C103" s="66" t="s">
        <v>1632</v>
      </c>
      <c r="D103" s="66"/>
      <c r="E103" s="66"/>
      <c r="F103" s="49"/>
      <c r="G103" s="68"/>
    </row>
    <row r="104" spans="2:9" x14ac:dyDescent="0.25">
      <c r="B104" s="65"/>
      <c r="C104" s="66"/>
      <c r="D104" s="66"/>
      <c r="E104" s="66"/>
      <c r="F104" s="66"/>
      <c r="G104" s="68"/>
    </row>
    <row r="105" spans="2:9" x14ac:dyDescent="0.25">
      <c r="B105" s="65" t="s">
        <v>1636</v>
      </c>
      <c r="C105" s="66"/>
      <c r="D105" s="66"/>
      <c r="E105" s="66"/>
      <c r="F105" s="49"/>
      <c r="G105" s="68"/>
    </row>
    <row r="106" spans="2:9" x14ac:dyDescent="0.25">
      <c r="B106" s="65"/>
      <c r="C106" s="66"/>
      <c r="D106" s="66"/>
      <c r="E106" s="66"/>
      <c r="F106" s="66"/>
      <c r="G106" s="68"/>
    </row>
    <row r="107" spans="2:9" x14ac:dyDescent="0.25">
      <c r="B107" s="65" t="s">
        <v>1635</v>
      </c>
      <c r="C107" s="666" t="str">
        <f>" ("&amp;F100&amp;"- "&amp;F105&amp;") = "&amp;F100-F105</f>
        <v xml:space="preserve"> (- ) = 0</v>
      </c>
      <c r="D107" s="66"/>
      <c r="E107" s="66"/>
      <c r="F107" s="66">
        <f>F100-F105</f>
        <v>0</v>
      </c>
      <c r="G107" s="68"/>
    </row>
    <row r="108" spans="2:9" x14ac:dyDescent="0.25">
      <c r="B108" s="65"/>
      <c r="C108" s="66"/>
      <c r="D108" s="66"/>
      <c r="E108" s="66"/>
      <c r="F108" s="66"/>
      <c r="G108" s="68"/>
    </row>
    <row r="109" spans="2:9" x14ac:dyDescent="0.25">
      <c r="B109" s="678"/>
      <c r="C109" s="66"/>
      <c r="D109" s="66"/>
      <c r="E109" s="66"/>
      <c r="F109" s="66"/>
      <c r="G109" s="68"/>
    </row>
    <row r="110" spans="2:9" x14ac:dyDescent="0.25">
      <c r="B110" s="679" t="s">
        <v>699</v>
      </c>
      <c r="C110" s="66"/>
      <c r="D110" s="66"/>
      <c r="E110" s="66">
        <f>F107</f>
        <v>0</v>
      </c>
      <c r="F110" s="66"/>
      <c r="G110" s="68"/>
      <c r="H110" s="422" t="s">
        <v>1646</v>
      </c>
    </row>
    <row r="111" spans="2:9" x14ac:dyDescent="0.25">
      <c r="B111" s="65" t="s">
        <v>1637</v>
      </c>
      <c r="C111" s="66"/>
      <c r="D111" s="66"/>
      <c r="E111" s="66">
        <f>F105</f>
        <v>0</v>
      </c>
      <c r="F111" s="66"/>
      <c r="G111" s="68"/>
    </row>
    <row r="112" spans="2:9" x14ac:dyDescent="0.25">
      <c r="B112" s="65" t="s">
        <v>321</v>
      </c>
      <c r="C112" s="66"/>
      <c r="D112" s="66"/>
      <c r="E112" s="66"/>
      <c r="F112" s="66">
        <f>F103</f>
        <v>0</v>
      </c>
      <c r="G112" s="68"/>
    </row>
    <row r="113" spans="2:7" x14ac:dyDescent="0.25">
      <c r="B113" s="65"/>
      <c r="C113" s="66"/>
      <c r="D113" s="66"/>
      <c r="E113" s="66"/>
      <c r="F113" s="66"/>
      <c r="G113" s="68"/>
    </row>
    <row r="114" spans="2:7" x14ac:dyDescent="0.25">
      <c r="B114" s="65"/>
      <c r="C114" s="66"/>
      <c r="D114" s="66"/>
      <c r="E114" s="66"/>
      <c r="F114" s="66"/>
      <c r="G114" s="68"/>
    </row>
    <row r="115" spans="2:7" x14ac:dyDescent="0.25">
      <c r="B115" s="500" t="s">
        <v>1877</v>
      </c>
      <c r="C115" s="66"/>
      <c r="D115" s="66"/>
      <c r="E115" s="66"/>
      <c r="F115" s="66"/>
      <c r="G115" s="68"/>
    </row>
    <row r="116" spans="2:7" x14ac:dyDescent="0.25">
      <c r="B116" s="80" t="s">
        <v>1639</v>
      </c>
      <c r="C116" s="66"/>
      <c r="D116" s="66"/>
      <c r="E116" s="66"/>
      <c r="F116" s="66"/>
      <c r="G116" s="68"/>
    </row>
    <row r="117" spans="2:7" x14ac:dyDescent="0.25">
      <c r="B117" s="65" t="s">
        <v>1640</v>
      </c>
      <c r="C117" s="66"/>
      <c r="D117" s="66"/>
      <c r="E117" s="66"/>
      <c r="F117" s="70"/>
      <c r="G117" s="68"/>
    </row>
    <row r="118" spans="2:7" x14ac:dyDescent="0.25">
      <c r="B118" s="65" t="s">
        <v>1641</v>
      </c>
      <c r="C118" s="66"/>
      <c r="D118" s="66"/>
      <c r="E118" s="66"/>
      <c r="F118" s="70"/>
      <c r="G118" s="68"/>
    </row>
    <row r="119" spans="2:7" x14ac:dyDescent="0.25">
      <c r="B119" s="65"/>
      <c r="C119" s="66"/>
      <c r="D119" s="66"/>
      <c r="E119" s="66"/>
      <c r="F119" s="85">
        <f>F117+F118</f>
        <v>0</v>
      </c>
      <c r="G119" s="68"/>
    </row>
    <row r="120" spans="2:7" x14ac:dyDescent="0.25">
      <c r="B120" s="65" t="s">
        <v>1642</v>
      </c>
      <c r="C120" s="66"/>
      <c r="D120" s="66"/>
      <c r="E120" s="66"/>
      <c r="F120" s="70"/>
      <c r="G120" s="68"/>
    </row>
    <row r="121" spans="2:7" x14ac:dyDescent="0.25">
      <c r="B121" s="65" t="s">
        <v>1643</v>
      </c>
      <c r="C121" s="66"/>
      <c r="D121" s="66"/>
      <c r="E121" s="66"/>
      <c r="F121" s="85">
        <f>F120-F119</f>
        <v>0</v>
      </c>
      <c r="G121" s="68"/>
    </row>
    <row r="122" spans="2:7" x14ac:dyDescent="0.25">
      <c r="B122" s="65"/>
      <c r="C122" s="66"/>
      <c r="D122" s="66"/>
      <c r="E122" s="66"/>
      <c r="F122" s="66"/>
      <c r="G122" s="68"/>
    </row>
    <row r="123" spans="2:7" x14ac:dyDescent="0.25">
      <c r="B123" s="679" t="s">
        <v>1644</v>
      </c>
      <c r="C123" s="66"/>
      <c r="D123" s="66"/>
      <c r="E123" s="85">
        <f>F121</f>
        <v>0</v>
      </c>
      <c r="F123" s="85"/>
      <c r="G123" s="68"/>
    </row>
    <row r="124" spans="2:7" x14ac:dyDescent="0.25">
      <c r="B124" s="679" t="s">
        <v>1645</v>
      </c>
      <c r="C124" s="66"/>
      <c r="D124" s="66"/>
      <c r="E124" s="85"/>
      <c r="F124" s="85">
        <f>F121</f>
        <v>0</v>
      </c>
      <c r="G124" s="68"/>
    </row>
    <row r="125" spans="2:7" ht="15.75" thickBot="1" x14ac:dyDescent="0.3">
      <c r="B125" s="72"/>
      <c r="C125" s="73"/>
      <c r="D125" s="73"/>
      <c r="E125" s="73"/>
      <c r="F125" s="73"/>
      <c r="G125" s="82"/>
    </row>
  </sheetData>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6DAB7-A69C-405D-AE8E-17E25900784D}">
  <sheetPr codeName="Sheet12"/>
  <dimension ref="B1:S83"/>
  <sheetViews>
    <sheetView zoomScale="64" zoomScaleNormal="64" workbookViewId="0"/>
  </sheetViews>
  <sheetFormatPr defaultRowHeight="15" x14ac:dyDescent="0.25"/>
  <cols>
    <col min="1" max="1" width="7.140625" customWidth="1"/>
    <col min="2" max="2" width="41.85546875" customWidth="1"/>
    <col min="3" max="3" width="30.85546875" customWidth="1"/>
    <col min="4" max="4" width="23.5703125" customWidth="1"/>
    <col min="5" max="5" width="29.140625" customWidth="1"/>
    <col min="6" max="6" width="32.28515625" customWidth="1"/>
    <col min="8" max="8" width="10.85546875" bestFit="1" customWidth="1"/>
    <col min="9" max="10" width="12" customWidth="1"/>
    <col min="11" max="11" width="37.85546875" bestFit="1" customWidth="1"/>
    <col min="12" max="12" width="11.85546875" customWidth="1"/>
    <col min="13" max="13" width="15" customWidth="1"/>
    <col min="17" max="17" width="15.42578125" bestFit="1" customWidth="1"/>
    <col min="18" max="19" width="11.5703125" bestFit="1" customWidth="1"/>
  </cols>
  <sheetData>
    <row r="1" spans="2:19" x14ac:dyDescent="0.25">
      <c r="B1" s="499" t="s">
        <v>180</v>
      </c>
    </row>
    <row r="2" spans="2:19" x14ac:dyDescent="0.25">
      <c r="B2" s="422" t="s">
        <v>181</v>
      </c>
    </row>
    <row r="3" spans="2:19" x14ac:dyDescent="0.25">
      <c r="B3" s="422" t="s">
        <v>306</v>
      </c>
    </row>
    <row r="4" spans="2:19" x14ac:dyDescent="0.25">
      <c r="B4" s="422" t="s">
        <v>182</v>
      </c>
    </row>
    <row r="5" spans="2:19" x14ac:dyDescent="0.25">
      <c r="B5" s="422" t="s">
        <v>307</v>
      </c>
    </row>
    <row r="7" spans="2:19" x14ac:dyDescent="0.25">
      <c r="B7" s="422" t="s">
        <v>1430</v>
      </c>
      <c r="G7" s="422" t="s">
        <v>1220</v>
      </c>
    </row>
    <row r="8" spans="2:19" x14ac:dyDescent="0.25">
      <c r="B8" s="422" t="s">
        <v>1429</v>
      </c>
      <c r="G8" s="422" t="s">
        <v>1221</v>
      </c>
    </row>
    <row r="9" spans="2:19" x14ac:dyDescent="0.25">
      <c r="B9" s="422" t="s">
        <v>1433</v>
      </c>
      <c r="G9" s="422" t="s">
        <v>1222</v>
      </c>
    </row>
    <row r="10" spans="2:19" x14ac:dyDescent="0.25">
      <c r="B10" s="422" t="s">
        <v>1432</v>
      </c>
      <c r="G10" s="422" t="s">
        <v>1223</v>
      </c>
    </row>
    <row r="11" spans="2:19" x14ac:dyDescent="0.25">
      <c r="B11" s="422" t="s">
        <v>1435</v>
      </c>
    </row>
    <row r="12" spans="2:19" x14ac:dyDescent="0.25">
      <c r="B12" s="422" t="s">
        <v>1434</v>
      </c>
      <c r="G12" s="683" t="s">
        <v>1649</v>
      </c>
    </row>
    <row r="13" spans="2:19" ht="15.75" thickBot="1" x14ac:dyDescent="0.3">
      <c r="B13" s="499" t="s">
        <v>1431</v>
      </c>
    </row>
    <row r="14" spans="2:19" ht="15.75" thickBot="1" x14ac:dyDescent="0.3">
      <c r="K14" s="145" t="s">
        <v>167</v>
      </c>
      <c r="L14" s="146"/>
      <c r="M14" s="147"/>
    </row>
    <row r="15" spans="2:19" x14ac:dyDescent="0.25">
      <c r="B15" s="15" t="s">
        <v>139</v>
      </c>
      <c r="C15" s="23">
        <f>IF(C20="advance",C17+C18+C16,C17+C16)</f>
        <v>0</v>
      </c>
      <c r="D15" t="s">
        <v>228</v>
      </c>
      <c r="E15" s="92" t="s">
        <v>1733</v>
      </c>
      <c r="K15" s="65"/>
      <c r="L15" s="137" t="s">
        <v>164</v>
      </c>
      <c r="M15" s="138" t="s">
        <v>165</v>
      </c>
    </row>
    <row r="16" spans="2:19" x14ac:dyDescent="0.25">
      <c r="B16" s="15" t="s">
        <v>311</v>
      </c>
      <c r="C16" s="34"/>
      <c r="E16" s="92" t="s">
        <v>312</v>
      </c>
      <c r="K16" s="65"/>
      <c r="L16" s="137"/>
      <c r="M16" s="138"/>
      <c r="R16" s="11"/>
      <c r="S16" s="11"/>
    </row>
    <row r="17" spans="2:19" x14ac:dyDescent="0.25">
      <c r="B17" s="15" t="s">
        <v>138</v>
      </c>
      <c r="C17" s="34"/>
      <c r="D17" t="str">
        <f ca="1">IFERROR(_xlfn.FORMULATEXT(C17)," ")</f>
        <v xml:space="preserve"> </v>
      </c>
      <c r="E17" t="s">
        <v>310</v>
      </c>
      <c r="K17" s="65"/>
      <c r="L17" s="142" t="s">
        <v>10</v>
      </c>
      <c r="M17" s="143" t="s">
        <v>10</v>
      </c>
      <c r="R17" s="11"/>
      <c r="S17" s="11"/>
    </row>
    <row r="18" spans="2:19" x14ac:dyDescent="0.25">
      <c r="B18" s="15" t="s">
        <v>140</v>
      </c>
      <c r="C18" s="34"/>
      <c r="K18" s="65" t="s">
        <v>168</v>
      </c>
      <c r="L18" s="106">
        <f>C15</f>
        <v>0</v>
      </c>
      <c r="M18" s="68"/>
      <c r="R18" s="11"/>
      <c r="S18" s="11"/>
    </row>
    <row r="19" spans="2:19" x14ac:dyDescent="0.25">
      <c r="B19" s="15" t="s">
        <v>134</v>
      </c>
      <c r="C19" s="35"/>
      <c r="K19" s="65" t="s">
        <v>169</v>
      </c>
      <c r="L19" s="66"/>
      <c r="M19" s="117">
        <f>C17</f>
        <v>0</v>
      </c>
    </row>
    <row r="20" spans="2:19" x14ac:dyDescent="0.25">
      <c r="B20" s="15" t="s">
        <v>135</v>
      </c>
      <c r="C20" s="36"/>
      <c r="K20" s="65" t="s">
        <v>170</v>
      </c>
      <c r="L20" s="66"/>
      <c r="M20" s="144">
        <f>IF(C20="advance",C18,0)</f>
        <v>0</v>
      </c>
    </row>
    <row r="21" spans="2:19" x14ac:dyDescent="0.25">
      <c r="B21" s="15" t="s">
        <v>144</v>
      </c>
      <c r="C21" s="36"/>
      <c r="K21" s="48" t="s">
        <v>315</v>
      </c>
      <c r="L21" s="105">
        <f>IF(C16&lt;0,C16,0)</f>
        <v>0</v>
      </c>
      <c r="M21" s="117">
        <f>IF(C16&gt;0,C16,0)</f>
        <v>0</v>
      </c>
    </row>
    <row r="22" spans="2:19" x14ac:dyDescent="0.25">
      <c r="B22" s="15" t="s">
        <v>145</v>
      </c>
      <c r="C22" s="36"/>
      <c r="K22" s="65"/>
      <c r="L22" s="66"/>
      <c r="M22" s="68"/>
    </row>
    <row r="23" spans="2:19" x14ac:dyDescent="0.25">
      <c r="B23" s="15" t="s">
        <v>149</v>
      </c>
      <c r="C23" s="36"/>
      <c r="E23" s="12"/>
      <c r="K23" s="65"/>
      <c r="L23" s="66"/>
      <c r="M23" s="68"/>
      <c r="R23" s="11"/>
    </row>
    <row r="24" spans="2:19" x14ac:dyDescent="0.25">
      <c r="B24" s="15" t="s">
        <v>178</v>
      </c>
      <c r="C24" s="14"/>
      <c r="D24" s="12"/>
      <c r="F24" s="37" t="s">
        <v>183</v>
      </c>
      <c r="K24" s="65"/>
      <c r="L24" s="66"/>
      <c r="M24" s="68"/>
      <c r="S24" s="11"/>
    </row>
    <row r="25" spans="2:19" x14ac:dyDescent="0.25">
      <c r="B25" s="15" t="s">
        <v>179</v>
      </c>
      <c r="C25" s="34"/>
      <c r="K25" s="65"/>
      <c r="L25" s="66"/>
      <c r="M25" s="68"/>
      <c r="S25" s="11"/>
    </row>
    <row r="26" spans="2:19" x14ac:dyDescent="0.25">
      <c r="B26" s="15"/>
      <c r="K26" s="65"/>
      <c r="L26" s="66"/>
      <c r="M26" s="68"/>
      <c r="S26" s="11"/>
    </row>
    <row r="27" spans="2:19" x14ac:dyDescent="0.25">
      <c r="K27" s="65"/>
      <c r="L27" s="66"/>
      <c r="M27" s="68"/>
      <c r="S27" s="11"/>
    </row>
    <row r="28" spans="2:19" ht="15.75" thickBot="1" x14ac:dyDescent="0.3">
      <c r="B28" s="637" t="s">
        <v>1436</v>
      </c>
      <c r="K28" s="65"/>
      <c r="L28" s="66"/>
      <c r="M28" s="68"/>
    </row>
    <row r="29" spans="2:19" ht="15.75" thickBot="1" x14ac:dyDescent="0.3">
      <c r="B29" s="145" t="s">
        <v>12</v>
      </c>
      <c r="C29" s="146" t="s">
        <v>131</v>
      </c>
      <c r="D29" s="146" t="s">
        <v>64</v>
      </c>
      <c r="E29" s="146" t="s">
        <v>132</v>
      </c>
      <c r="F29" s="147" t="s">
        <v>133</v>
      </c>
      <c r="K29" s="65"/>
      <c r="L29" s="137" t="s">
        <v>164</v>
      </c>
      <c r="M29" s="138" t="s">
        <v>165</v>
      </c>
    </row>
    <row r="30" spans="2:19" x14ac:dyDescent="0.25">
      <c r="B30" s="136"/>
      <c r="C30" s="137" t="s">
        <v>141</v>
      </c>
      <c r="D30" s="137" t="s">
        <v>141</v>
      </c>
      <c r="E30" s="137" t="s">
        <v>141</v>
      </c>
      <c r="F30" s="138" t="s">
        <v>141</v>
      </c>
      <c r="K30" s="65"/>
      <c r="L30" s="142" t="s">
        <v>10</v>
      </c>
      <c r="M30" s="143" t="s">
        <v>10</v>
      </c>
    </row>
    <row r="31" spans="2:19" x14ac:dyDescent="0.25">
      <c r="B31" s="139">
        <v>43799</v>
      </c>
      <c r="C31" s="85">
        <f>C17</f>
        <v>0</v>
      </c>
      <c r="D31" s="85">
        <f t="shared" ref="D31:D36" si="0">IF($C$20="arrears",C31*$C$19,(C31+E31)*$C$19)</f>
        <v>0</v>
      </c>
      <c r="E31" s="106">
        <f>IF(C20="ADVANCE",0,-$C$18)</f>
        <v>0</v>
      </c>
      <c r="F31" s="71">
        <f t="shared" ref="F31:F36" si="1">C31+D31+E31</f>
        <v>0</v>
      </c>
      <c r="I31" s="12"/>
      <c r="K31" s="65" t="s">
        <v>309</v>
      </c>
      <c r="L31" s="17">
        <f>D31</f>
        <v>0</v>
      </c>
      <c r="M31" s="68"/>
    </row>
    <row r="32" spans="2:19" x14ac:dyDescent="0.25">
      <c r="B32" s="139">
        <f>B31+366</f>
        <v>44165</v>
      </c>
      <c r="C32" s="85">
        <f>F31</f>
        <v>0</v>
      </c>
      <c r="D32" s="85">
        <f t="shared" si="0"/>
        <v>0</v>
      </c>
      <c r="E32" s="106">
        <f>-$C$18</f>
        <v>0</v>
      </c>
      <c r="F32" s="71">
        <f t="shared" si="1"/>
        <v>0</v>
      </c>
      <c r="H32" s="12"/>
      <c r="K32" s="65" t="s">
        <v>166</v>
      </c>
      <c r="L32" s="85">
        <f>IF((D31+E31)&lt;0,-(D31+E31),0)</f>
        <v>0</v>
      </c>
      <c r="M32" s="79">
        <f>IF((D31+E31)&gt;0,(D31+E31),0)</f>
        <v>0</v>
      </c>
    </row>
    <row r="33" spans="2:13" x14ac:dyDescent="0.25">
      <c r="B33" s="139">
        <f>B32+365</f>
        <v>44530</v>
      </c>
      <c r="C33" s="85">
        <f>F32</f>
        <v>0</v>
      </c>
      <c r="D33" s="85">
        <f t="shared" si="0"/>
        <v>0</v>
      </c>
      <c r="E33" s="106">
        <f>-$C$18</f>
        <v>0</v>
      </c>
      <c r="F33" s="71">
        <f t="shared" si="1"/>
        <v>0</v>
      </c>
      <c r="I33" s="12"/>
      <c r="J33" s="12"/>
      <c r="K33" s="48" t="s">
        <v>315</v>
      </c>
      <c r="L33" s="66"/>
      <c r="M33" s="117">
        <f>E31</f>
        <v>0</v>
      </c>
    </row>
    <row r="34" spans="2:13" x14ac:dyDescent="0.25">
      <c r="B34" s="139">
        <f>B33+365</f>
        <v>44895</v>
      </c>
      <c r="C34" s="17">
        <f>F33</f>
        <v>0</v>
      </c>
      <c r="D34" s="85">
        <f t="shared" si="0"/>
        <v>0</v>
      </c>
      <c r="E34" s="106">
        <f>-$C$18</f>
        <v>0</v>
      </c>
      <c r="F34" s="140">
        <f t="shared" si="1"/>
        <v>0</v>
      </c>
      <c r="I34" s="12"/>
      <c r="J34" s="12"/>
      <c r="K34" s="65"/>
      <c r="L34" s="66"/>
      <c r="M34" s="68"/>
    </row>
    <row r="35" spans="2:13" x14ac:dyDescent="0.25">
      <c r="B35" s="139">
        <f>B34+365</f>
        <v>45260</v>
      </c>
      <c r="C35" s="17">
        <f>F34</f>
        <v>0</v>
      </c>
      <c r="D35" s="85">
        <f t="shared" si="0"/>
        <v>0</v>
      </c>
      <c r="E35" s="106">
        <f>-$C$18</f>
        <v>0</v>
      </c>
      <c r="F35" s="71">
        <f t="shared" si="1"/>
        <v>0</v>
      </c>
      <c r="K35" s="65"/>
      <c r="L35" s="66"/>
      <c r="M35" s="68"/>
    </row>
    <row r="36" spans="2:13" x14ac:dyDescent="0.25">
      <c r="B36" s="139">
        <f>B35+365</f>
        <v>45625</v>
      </c>
      <c r="C36" s="17">
        <f>F35</f>
        <v>0</v>
      </c>
      <c r="D36" s="85">
        <f t="shared" si="0"/>
        <v>0</v>
      </c>
      <c r="E36" s="106">
        <f>-$C$18</f>
        <v>0</v>
      </c>
      <c r="F36" s="71">
        <f t="shared" si="1"/>
        <v>0</v>
      </c>
      <c r="K36" s="65"/>
      <c r="L36" s="66"/>
      <c r="M36" s="68"/>
    </row>
    <row r="37" spans="2:13" x14ac:dyDescent="0.25">
      <c r="B37" s="65"/>
      <c r="C37" s="66"/>
      <c r="D37" s="66"/>
      <c r="E37" s="66"/>
      <c r="F37" s="68"/>
      <c r="K37" s="65"/>
      <c r="L37" s="66"/>
      <c r="M37" s="68"/>
    </row>
    <row r="38" spans="2:13" x14ac:dyDescent="0.25">
      <c r="B38" s="65"/>
      <c r="C38" s="66"/>
      <c r="D38" s="66"/>
      <c r="E38" s="66"/>
      <c r="F38" s="68"/>
      <c r="K38" s="65"/>
      <c r="L38" s="66"/>
      <c r="M38" s="68"/>
    </row>
    <row r="39" spans="2:13" x14ac:dyDescent="0.25">
      <c r="B39" s="65" t="s">
        <v>142</v>
      </c>
      <c r="C39" s="17">
        <f>F32</f>
        <v>0</v>
      </c>
      <c r="D39" s="66"/>
      <c r="E39" s="66"/>
      <c r="F39" s="68"/>
      <c r="K39" s="65"/>
      <c r="L39" s="66"/>
      <c r="M39" s="68"/>
    </row>
    <row r="40" spans="2:13" x14ac:dyDescent="0.25">
      <c r="B40" s="65" t="s">
        <v>143</v>
      </c>
      <c r="C40" s="17">
        <f>F31-F32</f>
        <v>0</v>
      </c>
      <c r="D40" s="49" t="s">
        <v>314</v>
      </c>
      <c r="E40" s="17"/>
      <c r="F40" s="68"/>
      <c r="G40" t="s">
        <v>1437</v>
      </c>
      <c r="K40" s="65"/>
      <c r="L40" s="66"/>
      <c r="M40" s="68"/>
    </row>
    <row r="41" spans="2:13" ht="15.75" thickBot="1" x14ac:dyDescent="0.3">
      <c r="B41" s="80" t="str">
        <f>"Lease payable at year end"</f>
        <v>Lease payable at year end</v>
      </c>
      <c r="C41" s="33">
        <f>C39+C40</f>
        <v>0</v>
      </c>
      <c r="D41" s="66"/>
      <c r="E41" s="66"/>
      <c r="F41" s="68"/>
      <c r="K41" s="65"/>
      <c r="L41" s="66"/>
      <c r="M41" s="68"/>
    </row>
    <row r="42" spans="2:13" ht="15.75" thickBot="1" x14ac:dyDescent="0.3">
      <c r="B42" s="72"/>
      <c r="C42" s="73"/>
      <c r="D42" s="73"/>
      <c r="E42" s="73"/>
      <c r="F42" s="82"/>
      <c r="K42" s="65"/>
      <c r="L42" s="137" t="s">
        <v>164</v>
      </c>
      <c r="M42" s="138" t="s">
        <v>165</v>
      </c>
    </row>
    <row r="43" spans="2:13" x14ac:dyDescent="0.25">
      <c r="B43" s="422" t="s">
        <v>1438</v>
      </c>
      <c r="K43" s="65"/>
      <c r="L43" s="142" t="s">
        <v>10</v>
      </c>
      <c r="M43" s="143" t="s">
        <v>10</v>
      </c>
    </row>
    <row r="44" spans="2:13" x14ac:dyDescent="0.25">
      <c r="B44" t="s">
        <v>139</v>
      </c>
      <c r="C44" s="11">
        <f>C15</f>
        <v>0</v>
      </c>
      <c r="D44" s="11"/>
      <c r="K44" s="65" t="s">
        <v>171</v>
      </c>
      <c r="L44" s="17" t="e">
        <f>C45</f>
        <v>#N/A</v>
      </c>
      <c r="M44" s="68"/>
    </row>
    <row r="45" spans="2:13" x14ac:dyDescent="0.25">
      <c r="B45" t="s">
        <v>308</v>
      </c>
      <c r="C45" s="11" t="e" cm="1">
        <f t="array" ref="C45">_xlfn.IFS(AND($C$21&lt;$C$22,$C$23="No"),(C44-$C$24)/$C$21,OR($C$22&lt;$C$21,$C$23="Yes"),(C44-$C$25)/$C$22)</f>
        <v>#N/A</v>
      </c>
      <c r="D45" s="11"/>
      <c r="E45" s="12"/>
      <c r="K45" s="65" t="s">
        <v>172</v>
      </c>
      <c r="L45" s="66"/>
      <c r="M45" s="71" t="e">
        <f>C45</f>
        <v>#N/A</v>
      </c>
    </row>
    <row r="46" spans="2:13" x14ac:dyDescent="0.25">
      <c r="B46" s="422"/>
      <c r="C46" s="11"/>
      <c r="D46" s="11"/>
      <c r="E46" s="12"/>
      <c r="K46" s="65"/>
      <c r="L46" s="66"/>
      <c r="M46" s="68"/>
    </row>
    <row r="47" spans="2:13" ht="15.75" thickBot="1" x14ac:dyDescent="0.3">
      <c r="C47" s="11"/>
      <c r="D47" s="11"/>
      <c r="E47" s="12"/>
      <c r="K47" s="72"/>
      <c r="L47" s="73"/>
      <c r="M47" s="82"/>
    </row>
    <row r="48" spans="2:13" x14ac:dyDescent="0.25">
      <c r="B48" s="1" t="s">
        <v>151</v>
      </c>
    </row>
    <row r="49" spans="2:13" x14ac:dyDescent="0.25">
      <c r="B49" s="422" t="s">
        <v>905</v>
      </c>
      <c r="C49" s="12"/>
    </row>
    <row r="50" spans="2:13" x14ac:dyDescent="0.25">
      <c r="B50" s="422" t="s">
        <v>1823</v>
      </c>
      <c r="C50" s="12"/>
    </row>
    <row r="51" spans="2:13" x14ac:dyDescent="0.25">
      <c r="B51" s="422" t="s">
        <v>906</v>
      </c>
      <c r="C51" s="12"/>
    </row>
    <row r="52" spans="2:13" x14ac:dyDescent="0.25">
      <c r="B52" s="422" t="s">
        <v>907</v>
      </c>
      <c r="C52" s="12"/>
    </row>
    <row r="53" spans="2:13" x14ac:dyDescent="0.25">
      <c r="B53" s="495" t="s">
        <v>908</v>
      </c>
    </row>
    <row r="55" spans="2:13" x14ac:dyDescent="0.25">
      <c r="B55" s="15" t="s">
        <v>158</v>
      </c>
      <c r="C55" s="34"/>
      <c r="K55" s="824" t="s">
        <v>313</v>
      </c>
      <c r="L55" s="824"/>
      <c r="M55" s="824"/>
    </row>
    <row r="56" spans="2:13" x14ac:dyDescent="0.25">
      <c r="B56" s="15" t="s">
        <v>159</v>
      </c>
      <c r="C56" s="34"/>
      <c r="K56" s="824"/>
      <c r="L56" s="824"/>
      <c r="M56" s="824"/>
    </row>
    <row r="57" spans="2:13" x14ac:dyDescent="0.25">
      <c r="B57" s="15" t="s">
        <v>152</v>
      </c>
      <c r="C57" s="14"/>
      <c r="K57" s="824"/>
      <c r="L57" s="824"/>
      <c r="M57" s="824"/>
    </row>
    <row r="58" spans="2:13" x14ac:dyDescent="0.25">
      <c r="B58" s="15" t="s">
        <v>153</v>
      </c>
      <c r="C58" s="14"/>
      <c r="K58" s="824"/>
      <c r="L58" s="824"/>
      <c r="M58" s="824"/>
    </row>
    <row r="59" spans="2:13" x14ac:dyDescent="0.25">
      <c r="B59" s="15" t="s">
        <v>140</v>
      </c>
      <c r="C59" s="34"/>
      <c r="K59" s="422"/>
      <c r="L59" s="422"/>
      <c r="M59" s="422"/>
    </row>
    <row r="60" spans="2:13" x14ac:dyDescent="0.25">
      <c r="B60" s="15" t="s">
        <v>144</v>
      </c>
      <c r="C60" s="34"/>
      <c r="K60" s="422"/>
      <c r="L60" s="422"/>
      <c r="M60" s="422"/>
    </row>
    <row r="61" spans="2:13" x14ac:dyDescent="0.25">
      <c r="B61" s="15" t="s">
        <v>145</v>
      </c>
      <c r="C61" s="34"/>
      <c r="K61" s="422"/>
      <c r="L61" s="422"/>
      <c r="M61" s="422"/>
    </row>
    <row r="62" spans="2:13" x14ac:dyDescent="0.25">
      <c r="B62" s="15" t="s">
        <v>134</v>
      </c>
      <c r="C62" s="35"/>
      <c r="K62" s="422"/>
      <c r="L62" s="422"/>
      <c r="M62" s="422"/>
    </row>
    <row r="63" spans="2:13" x14ac:dyDescent="0.25">
      <c r="B63" s="15" t="s">
        <v>135</v>
      </c>
      <c r="C63" s="36"/>
      <c r="J63" s="40" t="e">
        <f>C64/C58</f>
        <v>#DIV/0!</v>
      </c>
      <c r="K63" s="422" t="s">
        <v>177</v>
      </c>
      <c r="L63" s="422"/>
      <c r="M63" s="422"/>
    </row>
    <row r="64" spans="2:13" x14ac:dyDescent="0.25">
      <c r="B64" s="15" t="s">
        <v>138</v>
      </c>
      <c r="C64" s="34"/>
      <c r="D64" s="37" t="str">
        <f ca="1">IFERROR(_xlfn.FORMULATEXT(C64)," ")</f>
        <v xml:space="preserve"> </v>
      </c>
      <c r="E64" s="37" t="s">
        <v>174</v>
      </c>
      <c r="J64" s="12"/>
      <c r="K64" s="422"/>
      <c r="L64" s="422"/>
      <c r="M64" s="422"/>
    </row>
    <row r="65" spans="2:13" x14ac:dyDescent="0.25">
      <c r="B65" s="15" t="s">
        <v>154</v>
      </c>
      <c r="C65" s="34"/>
      <c r="K65" s="422"/>
      <c r="L65" s="422"/>
      <c r="M65" s="422"/>
    </row>
    <row r="66" spans="2:13" x14ac:dyDescent="0.25">
      <c r="B66" s="15" t="s">
        <v>155</v>
      </c>
      <c r="C66" s="23">
        <f>C65-C57</f>
        <v>0</v>
      </c>
      <c r="D66" s="37" t="s">
        <v>161</v>
      </c>
      <c r="J66" s="554"/>
      <c r="K66" s="422"/>
      <c r="L66" s="422"/>
      <c r="M66" s="422"/>
    </row>
    <row r="67" spans="2:13" x14ac:dyDescent="0.25">
      <c r="J67" s="12"/>
      <c r="K67" s="422"/>
      <c r="L67" s="422"/>
      <c r="M67" s="422"/>
    </row>
    <row r="68" spans="2:13" x14ac:dyDescent="0.25">
      <c r="B68" s="670" t="s">
        <v>289</v>
      </c>
      <c r="C68" s="32">
        <f>C65</f>
        <v>0</v>
      </c>
      <c r="K68" s="422"/>
      <c r="L68" s="422"/>
      <c r="M68" s="422"/>
    </row>
    <row r="69" spans="2:13" x14ac:dyDescent="0.25">
      <c r="B69" t="s">
        <v>157</v>
      </c>
      <c r="C69" s="32">
        <f>C64</f>
        <v>0</v>
      </c>
      <c r="K69" s="422"/>
      <c r="L69" s="422"/>
      <c r="M69" s="422"/>
    </row>
    <row r="70" spans="2:13" x14ac:dyDescent="0.25">
      <c r="B70" t="s">
        <v>156</v>
      </c>
      <c r="C70" s="32" t="e">
        <f>(C57/C58)*C64</f>
        <v>#DIV/0!</v>
      </c>
      <c r="D70" s="37" t="s">
        <v>163</v>
      </c>
      <c r="K70" s="422" t="s">
        <v>176</v>
      </c>
      <c r="L70" s="422"/>
      <c r="M70" s="422"/>
    </row>
    <row r="71" spans="2:13" x14ac:dyDescent="0.25">
      <c r="B71" t="str">
        <f>IF(C66&gt;0,"CR SPL - gain on sale","DR  SPL - loss on sale")</f>
        <v>DR  SPL - loss on sale</v>
      </c>
      <c r="C71" s="11" t="e">
        <f>C66/C58*(C65-C64)</f>
        <v>#DIV/0!</v>
      </c>
      <c r="D71" s="37" t="s">
        <v>162</v>
      </c>
      <c r="K71" s="422" t="s">
        <v>175</v>
      </c>
      <c r="L71" s="422"/>
      <c r="M71" s="422"/>
    </row>
    <row r="72" spans="2:13" x14ac:dyDescent="0.25">
      <c r="B72" t="s">
        <v>417</v>
      </c>
      <c r="C72" s="11">
        <f>C55</f>
        <v>0</v>
      </c>
      <c r="K72" s="422"/>
      <c r="L72" s="422"/>
      <c r="M72" s="422"/>
    </row>
    <row r="73" spans="2:13" x14ac:dyDescent="0.25">
      <c r="B73" t="s">
        <v>160</v>
      </c>
      <c r="C73" s="11">
        <f>C56</f>
        <v>0</v>
      </c>
    </row>
    <row r="77" spans="2:13" x14ac:dyDescent="0.25">
      <c r="B77" t="s">
        <v>139</v>
      </c>
      <c r="C77" s="11" t="e">
        <f>C70</f>
        <v>#DIV/0!</v>
      </c>
    </row>
    <row r="78" spans="2:13" x14ac:dyDescent="0.25">
      <c r="B78" t="s">
        <v>146</v>
      </c>
      <c r="C78" s="11" t="e">
        <f>IF(C60&lt;C61,C77/C60,C77/C61)</f>
        <v>#DIV/0!</v>
      </c>
      <c r="D78" s="37" t="e">
        <f>IF(C60&lt;C61,"="&amp;C77&amp;"/"&amp;C60,"="&amp;C77&amp;"/"&amp;C61)</f>
        <v>#DIV/0!</v>
      </c>
      <c r="E78" s="12"/>
    </row>
    <row r="82" spans="3:4" x14ac:dyDescent="0.25">
      <c r="C82" s="569"/>
      <c r="D82" s="569"/>
    </row>
    <row r="83" spans="3:4" x14ac:dyDescent="0.25">
      <c r="C83" s="569"/>
      <c r="D83" s="569"/>
    </row>
  </sheetData>
  <autoFilter ref="B1:B5" xr:uid="{EB76DAB7-A69C-405D-AE8E-17E25900784D}"/>
  <mergeCells count="1">
    <mergeCell ref="K55:M58"/>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r:uid="{C69CE2FC-BC40-489C-A247-7E2BFFB46695}">
          <x14:formula1>
            <xm:f>Inputs!$B$2:$B$3</xm:f>
          </x14:formula1>
          <xm:sqref>C20 C63</xm:sqref>
        </x14:dataValidation>
        <x14:dataValidation type="list" allowBlank="1" showInputMessage="1" showErrorMessage="1" xr:uid="{84398A4A-35BC-41C5-A2B6-48595C54374F}">
          <x14:formula1>
            <xm:f>Inputs!$B$5:$B$6</xm:f>
          </x14:formula1>
          <xm:sqref>C23</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6FB34B-FFBB-4C57-8A3E-A33FB32BF1C7}">
  <sheetPr codeName="Sheet13"/>
  <dimension ref="B2:B46"/>
  <sheetViews>
    <sheetView workbookViewId="0">
      <selection activeCell="H18" sqref="H18"/>
    </sheetView>
  </sheetViews>
  <sheetFormatPr defaultRowHeight="15" x14ac:dyDescent="0.25"/>
  <sheetData>
    <row r="2" spans="2:2" x14ac:dyDescent="0.25">
      <c r="B2" t="s">
        <v>136</v>
      </c>
    </row>
    <row r="3" spans="2:2" x14ac:dyDescent="0.25">
      <c r="B3" t="s">
        <v>137</v>
      </c>
    </row>
    <row r="5" spans="2:2" x14ac:dyDescent="0.25">
      <c r="B5" t="s">
        <v>147</v>
      </c>
    </row>
    <row r="6" spans="2:2" x14ac:dyDescent="0.25">
      <c r="B6" t="s">
        <v>148</v>
      </c>
    </row>
    <row r="8" spans="2:2" x14ac:dyDescent="0.25">
      <c r="B8" t="s">
        <v>186</v>
      </c>
    </row>
    <row r="9" spans="2:2" x14ac:dyDescent="0.25">
      <c r="B9" t="s">
        <v>187</v>
      </c>
    </row>
    <row r="11" spans="2:2" x14ac:dyDescent="0.25">
      <c r="B11" t="s">
        <v>381</v>
      </c>
    </row>
    <row r="12" spans="2:2" x14ac:dyDescent="0.25">
      <c r="B12" t="s">
        <v>382</v>
      </c>
    </row>
    <row r="14" spans="2:2" x14ac:dyDescent="0.25">
      <c r="B14" t="s">
        <v>432</v>
      </c>
    </row>
    <row r="15" spans="2:2" x14ac:dyDescent="0.25">
      <c r="B15" t="s">
        <v>433</v>
      </c>
    </row>
    <row r="17" spans="2:2" x14ac:dyDescent="0.25">
      <c r="B17" t="s">
        <v>457</v>
      </c>
    </row>
    <row r="19" spans="2:2" x14ac:dyDescent="0.25">
      <c r="B19" t="s">
        <v>560</v>
      </c>
    </row>
    <row r="20" spans="2:2" x14ac:dyDescent="0.25">
      <c r="B20" t="s">
        <v>558</v>
      </c>
    </row>
    <row r="21" spans="2:2" x14ac:dyDescent="0.25">
      <c r="B21" t="s">
        <v>559</v>
      </c>
    </row>
    <row r="23" spans="2:2" x14ac:dyDescent="0.25">
      <c r="B23" t="s">
        <v>561</v>
      </c>
    </row>
    <row r="24" spans="2:2" x14ac:dyDescent="0.25">
      <c r="B24" t="s">
        <v>562</v>
      </c>
    </row>
    <row r="26" spans="2:2" x14ac:dyDescent="0.25">
      <c r="B26" t="s">
        <v>563</v>
      </c>
    </row>
    <row r="27" spans="2:2" x14ac:dyDescent="0.25">
      <c r="B27" t="s">
        <v>564</v>
      </c>
    </row>
    <row r="29" spans="2:2" x14ac:dyDescent="0.25">
      <c r="B29" t="s">
        <v>565</v>
      </c>
    </row>
    <row r="30" spans="2:2" x14ac:dyDescent="0.25">
      <c r="B30" t="s">
        <v>567</v>
      </c>
    </row>
    <row r="31" spans="2:2" x14ac:dyDescent="0.25">
      <c r="B31" t="s">
        <v>566</v>
      </c>
    </row>
    <row r="33" spans="2:2" x14ac:dyDescent="0.25">
      <c r="B33" t="s">
        <v>579</v>
      </c>
    </row>
    <row r="34" spans="2:2" x14ac:dyDescent="0.25">
      <c r="B34" t="s">
        <v>580</v>
      </c>
    </row>
    <row r="35" spans="2:2" x14ac:dyDescent="0.25">
      <c r="B35" t="s">
        <v>581</v>
      </c>
    </row>
    <row r="36" spans="2:2" x14ac:dyDescent="0.25">
      <c r="B36" t="s">
        <v>447</v>
      </c>
    </row>
    <row r="38" spans="2:2" x14ac:dyDescent="0.25">
      <c r="B38">
        <v>1</v>
      </c>
    </row>
    <row r="39" spans="2:2" x14ac:dyDescent="0.25">
      <c r="B39">
        <v>2</v>
      </c>
    </row>
    <row r="40" spans="2:2" x14ac:dyDescent="0.25">
      <c r="B40">
        <v>3</v>
      </c>
    </row>
    <row r="42" spans="2:2" x14ac:dyDescent="0.25">
      <c r="B42" t="s">
        <v>799</v>
      </c>
    </row>
    <row r="43" spans="2:2" x14ac:dyDescent="0.25">
      <c r="B43" t="s">
        <v>811</v>
      </c>
    </row>
    <row r="45" spans="2:2" x14ac:dyDescent="0.25">
      <c r="B45" t="s">
        <v>888</v>
      </c>
    </row>
    <row r="46" spans="2:2" x14ac:dyDescent="0.25">
      <c r="B46" t="s">
        <v>889</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1ACB0-C76D-4D20-8986-0B89CB467964}">
  <sheetPr codeName="Sheet6"/>
  <dimension ref="A1:E16"/>
  <sheetViews>
    <sheetView zoomScale="70" zoomScaleNormal="70" workbookViewId="0">
      <selection activeCell="B10" sqref="B10"/>
    </sheetView>
  </sheetViews>
  <sheetFormatPr defaultRowHeight="15" x14ac:dyDescent="0.25"/>
  <cols>
    <col min="2" max="2" width="54.5703125" customWidth="1"/>
    <col min="4" max="4" width="40.140625" customWidth="1"/>
  </cols>
  <sheetData>
    <row r="1" spans="1:5" x14ac:dyDescent="0.25">
      <c r="A1" t="s">
        <v>43</v>
      </c>
      <c r="C1" t="s">
        <v>42</v>
      </c>
    </row>
    <row r="2" spans="1:5" x14ac:dyDescent="0.25">
      <c r="A2" t="s">
        <v>26</v>
      </c>
      <c r="B2" t="s">
        <v>27</v>
      </c>
      <c r="C2" t="s">
        <v>39</v>
      </c>
      <c r="D2" t="s">
        <v>130</v>
      </c>
    </row>
    <row r="3" spans="1:5" x14ac:dyDescent="0.25">
      <c r="A3" t="s">
        <v>55</v>
      </c>
      <c r="B3" t="s">
        <v>56</v>
      </c>
    </row>
    <row r="4" spans="1:5" ht="41.45" hidden="1" customHeight="1" x14ac:dyDescent="0.25">
      <c r="B4" s="30" t="s">
        <v>117</v>
      </c>
    </row>
    <row r="5" spans="1:5" x14ac:dyDescent="0.25">
      <c r="A5" t="s">
        <v>33</v>
      </c>
      <c r="B5" t="s">
        <v>34</v>
      </c>
      <c r="C5" t="s">
        <v>39</v>
      </c>
      <c r="D5" t="s">
        <v>40</v>
      </c>
      <c r="E5" t="s">
        <v>41</v>
      </c>
    </row>
    <row r="6" spans="1:5" x14ac:dyDescent="0.25">
      <c r="A6" t="s">
        <v>35</v>
      </c>
      <c r="B6" t="s">
        <v>36</v>
      </c>
    </row>
    <row r="7" spans="1:5" ht="87" hidden="1" customHeight="1" x14ac:dyDescent="0.25">
      <c r="B7" s="30" t="s">
        <v>116</v>
      </c>
    </row>
    <row r="8" spans="1:5" x14ac:dyDescent="0.25">
      <c r="A8" t="s">
        <v>46</v>
      </c>
      <c r="B8" t="s">
        <v>47</v>
      </c>
    </row>
    <row r="9" spans="1:5" x14ac:dyDescent="0.25">
      <c r="A9" t="s">
        <v>28</v>
      </c>
      <c r="B9" t="s">
        <v>29</v>
      </c>
    </row>
    <row r="10" spans="1:5" ht="128.44999999999999" customHeight="1" x14ac:dyDescent="0.25">
      <c r="B10" s="30" t="s">
        <v>129</v>
      </c>
    </row>
    <row r="11" spans="1:5" x14ac:dyDescent="0.25">
      <c r="A11" t="s">
        <v>118</v>
      </c>
      <c r="B11" t="s">
        <v>119</v>
      </c>
    </row>
    <row r="12" spans="1:5" ht="56.45" hidden="1" customHeight="1" x14ac:dyDescent="0.25">
      <c r="B12" s="29" t="s">
        <v>120</v>
      </c>
    </row>
    <row r="13" spans="1:5" x14ac:dyDescent="0.25">
      <c r="A13" t="s">
        <v>37</v>
      </c>
      <c r="B13" t="s">
        <v>38</v>
      </c>
    </row>
    <row r="16" spans="1:5" x14ac:dyDescent="0.25">
      <c r="A16" t="s">
        <v>44</v>
      </c>
      <c r="B16" t="s">
        <v>45</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034FEC-79F2-4204-9086-F8DC057C3EE7}">
  <sheetPr codeName="Sheet8"/>
  <dimension ref="A1"/>
  <sheetViews>
    <sheetView workbookViewId="0">
      <selection activeCell="K10" sqref="K10"/>
    </sheetView>
  </sheetViews>
  <sheetFormatPr defaultRowHeight="15" x14ac:dyDescent="0.25"/>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3B02E-E2AC-4A17-AF83-2A2A02A24DF4}">
  <dimension ref="A1:T21"/>
  <sheetViews>
    <sheetView zoomScale="80" zoomScaleNormal="80" workbookViewId="0"/>
  </sheetViews>
  <sheetFormatPr defaultRowHeight="15" x14ac:dyDescent="0.25"/>
  <cols>
    <col min="3" max="3" width="10.5703125" bestFit="1" customWidth="1"/>
    <col min="4" max="4" width="14.7109375" customWidth="1"/>
    <col min="5" max="5" width="15.85546875" customWidth="1"/>
    <col min="6" max="6" width="16.28515625" bestFit="1" customWidth="1"/>
    <col min="7" max="7" width="16.140625" customWidth="1"/>
    <col min="8" max="8" width="10.85546875" customWidth="1"/>
    <col min="9" max="9" width="11.140625" bestFit="1" customWidth="1"/>
    <col min="10" max="10" width="11.7109375" customWidth="1"/>
    <col min="11" max="12" width="15.7109375" customWidth="1"/>
    <col min="13" max="13" width="11.140625" bestFit="1" customWidth="1"/>
    <col min="14" max="14" width="15.85546875" bestFit="1" customWidth="1"/>
    <col min="15" max="16" width="17.85546875" customWidth="1"/>
    <col min="17" max="17" width="16" bestFit="1" customWidth="1"/>
    <col min="18" max="19" width="19.85546875" customWidth="1"/>
  </cols>
  <sheetData>
    <row r="1" spans="1:20" x14ac:dyDescent="0.25">
      <c r="C1" s="37" t="s">
        <v>1834</v>
      </c>
    </row>
    <row r="2" spans="1:20" x14ac:dyDescent="0.25">
      <c r="C2" s="1" t="s">
        <v>1101</v>
      </c>
      <c r="D2" s="1" t="s">
        <v>1770</v>
      </c>
      <c r="E2" s="1" t="s">
        <v>1768</v>
      </c>
      <c r="F2" s="1" t="s">
        <v>1830</v>
      </c>
      <c r="G2" s="1" t="s">
        <v>631</v>
      </c>
      <c r="H2" s="873" t="s">
        <v>1831</v>
      </c>
      <c r="I2" s="873"/>
      <c r="J2" s="1" t="s">
        <v>36</v>
      </c>
      <c r="K2" s="1" t="s">
        <v>1869</v>
      </c>
      <c r="L2" s="1" t="s">
        <v>397</v>
      </c>
      <c r="M2" s="1" t="s">
        <v>396</v>
      </c>
      <c r="N2" s="1" t="s">
        <v>515</v>
      </c>
      <c r="O2" s="1" t="s">
        <v>1871</v>
      </c>
      <c r="P2" s="1" t="s">
        <v>1883</v>
      </c>
      <c r="Q2" s="1" t="s">
        <v>1832</v>
      </c>
      <c r="R2" s="1" t="s">
        <v>169</v>
      </c>
      <c r="S2" s="1" t="s">
        <v>1868</v>
      </c>
    </row>
    <row r="3" spans="1:20" x14ac:dyDescent="0.25">
      <c r="C3" s="1"/>
      <c r="D3" s="1"/>
      <c r="E3" s="1"/>
      <c r="F3" s="1"/>
      <c r="G3" s="1"/>
      <c r="H3" s="13" t="s">
        <v>36</v>
      </c>
      <c r="I3" s="13" t="s">
        <v>396</v>
      </c>
      <c r="J3" s="1"/>
      <c r="K3" s="1"/>
      <c r="L3" s="1"/>
      <c r="M3" s="1"/>
      <c r="N3" s="1"/>
      <c r="O3" s="1"/>
      <c r="P3" s="1"/>
      <c r="Q3" s="1"/>
      <c r="R3" s="1"/>
      <c r="S3" s="1"/>
    </row>
    <row r="4" spans="1:20" x14ac:dyDescent="0.25">
      <c r="C4" t="s">
        <v>10</v>
      </c>
      <c r="D4" t="s">
        <v>10</v>
      </c>
      <c r="E4" t="s">
        <v>10</v>
      </c>
      <c r="F4" t="s">
        <v>10</v>
      </c>
      <c r="G4" t="s">
        <v>10</v>
      </c>
      <c r="H4" t="s">
        <v>10</v>
      </c>
      <c r="I4" t="s">
        <v>10</v>
      </c>
      <c r="J4" t="s">
        <v>10</v>
      </c>
      <c r="K4" t="s">
        <v>10</v>
      </c>
      <c r="L4" t="s">
        <v>10</v>
      </c>
      <c r="M4" t="s">
        <v>10</v>
      </c>
      <c r="N4" t="s">
        <v>10</v>
      </c>
      <c r="Q4" t="s">
        <v>10</v>
      </c>
      <c r="R4" t="s">
        <v>10</v>
      </c>
      <c r="S4" t="s">
        <v>10</v>
      </c>
    </row>
    <row r="5" spans="1:20" x14ac:dyDescent="0.25">
      <c r="B5" s="16" t="s">
        <v>1829</v>
      </c>
      <c r="C5" s="14"/>
      <c r="D5" s="14"/>
      <c r="E5" s="14"/>
      <c r="F5" s="14"/>
      <c r="G5" s="14"/>
      <c r="H5" s="14"/>
      <c r="I5" s="14"/>
      <c r="J5" s="14"/>
      <c r="K5" s="14"/>
      <c r="L5" s="14"/>
      <c r="M5" s="14"/>
      <c r="N5" s="14"/>
      <c r="O5" s="14"/>
      <c r="P5" s="14"/>
      <c r="Q5" s="14"/>
      <c r="R5" s="14"/>
      <c r="S5" s="14"/>
    </row>
    <row r="6" spans="1:20" x14ac:dyDescent="0.25">
      <c r="A6" s="1" t="s">
        <v>1833</v>
      </c>
      <c r="B6" s="1">
        <v>1</v>
      </c>
      <c r="C6" s="14"/>
      <c r="D6" s="14"/>
      <c r="E6" s="14"/>
      <c r="F6" s="14"/>
      <c r="G6" s="14"/>
      <c r="H6" s="14"/>
      <c r="I6" s="14"/>
      <c r="J6" s="14"/>
      <c r="K6" s="14"/>
      <c r="L6" s="14"/>
      <c r="M6" s="14"/>
      <c r="N6" s="14"/>
      <c r="O6" s="14"/>
      <c r="P6" s="14"/>
      <c r="Q6" s="14"/>
      <c r="R6" s="14"/>
      <c r="S6" s="14"/>
      <c r="T6" s="37"/>
    </row>
    <row r="7" spans="1:20" x14ac:dyDescent="0.25">
      <c r="B7" s="1">
        <v>2</v>
      </c>
      <c r="C7" s="14"/>
      <c r="D7" s="14"/>
      <c r="E7" s="14"/>
      <c r="F7" s="14"/>
      <c r="G7" s="14"/>
      <c r="H7" s="14"/>
      <c r="I7" s="14"/>
      <c r="J7" s="14"/>
      <c r="K7" s="14"/>
      <c r="L7" s="14"/>
      <c r="M7" s="14"/>
      <c r="N7" s="14"/>
      <c r="O7" s="14"/>
      <c r="P7" s="14"/>
      <c r="Q7" s="14"/>
      <c r="R7" s="14"/>
      <c r="S7" s="14"/>
      <c r="T7" s="37"/>
    </row>
    <row r="8" spans="1:20" x14ac:dyDescent="0.25">
      <c r="B8" s="1">
        <v>3</v>
      </c>
      <c r="C8" s="14"/>
      <c r="D8" s="14"/>
      <c r="E8" s="14"/>
      <c r="F8" s="14"/>
      <c r="G8" s="14"/>
      <c r="H8" s="14"/>
      <c r="I8" s="14"/>
      <c r="J8" s="14"/>
      <c r="K8" s="14"/>
      <c r="L8" s="14"/>
      <c r="M8" s="14"/>
      <c r="N8" s="14"/>
      <c r="O8" s="14"/>
      <c r="P8" s="14"/>
      <c r="Q8" s="14"/>
      <c r="R8" s="14"/>
      <c r="S8" s="14"/>
      <c r="T8" s="37"/>
    </row>
    <row r="9" spans="1:20" x14ac:dyDescent="0.25">
      <c r="B9" s="1">
        <v>4</v>
      </c>
      <c r="C9" s="14"/>
      <c r="D9" s="14"/>
      <c r="E9" s="14"/>
      <c r="F9" s="14"/>
      <c r="G9" s="14"/>
      <c r="H9" s="14"/>
      <c r="I9" s="14"/>
      <c r="J9" s="14"/>
      <c r="K9" s="14"/>
      <c r="L9" s="14"/>
      <c r="M9" s="14"/>
      <c r="N9" s="14"/>
      <c r="O9" s="14"/>
      <c r="P9" s="14"/>
      <c r="Q9" s="14"/>
      <c r="R9" s="14"/>
      <c r="S9" s="14"/>
      <c r="T9" s="37"/>
    </row>
    <row r="10" spans="1:20" x14ac:dyDescent="0.25">
      <c r="B10" s="1">
        <v>5</v>
      </c>
      <c r="C10" s="14"/>
      <c r="D10" s="14"/>
      <c r="E10" s="14"/>
      <c r="F10" s="14"/>
      <c r="G10" s="14"/>
      <c r="H10" s="14"/>
      <c r="I10" s="14"/>
      <c r="J10" s="14"/>
      <c r="K10" s="14"/>
      <c r="L10" s="14"/>
      <c r="M10" s="14"/>
      <c r="N10" s="14"/>
      <c r="O10" s="14"/>
      <c r="P10" s="14"/>
      <c r="Q10" s="14"/>
      <c r="R10" s="14"/>
      <c r="S10" s="14"/>
      <c r="T10" s="37"/>
    </row>
    <row r="11" spans="1:20" x14ac:dyDescent="0.25">
      <c r="B11" s="1">
        <v>6</v>
      </c>
      <c r="C11" s="14"/>
      <c r="D11" s="14"/>
      <c r="E11" s="14"/>
      <c r="F11" s="14"/>
      <c r="G11" s="14"/>
      <c r="H11" s="14"/>
      <c r="I11" s="14"/>
      <c r="J11" s="14"/>
      <c r="K11" s="14"/>
      <c r="L11" s="14"/>
      <c r="M11" s="14"/>
      <c r="N11" s="14"/>
      <c r="O11" s="14"/>
      <c r="P11" s="14"/>
      <c r="Q11" s="14"/>
      <c r="R11" s="14"/>
      <c r="S11" s="14"/>
      <c r="T11" s="37"/>
    </row>
    <row r="12" spans="1:20" x14ac:dyDescent="0.25">
      <c r="B12" s="1">
        <v>7</v>
      </c>
      <c r="C12" s="14"/>
      <c r="D12" s="14"/>
      <c r="E12" s="14"/>
      <c r="F12" s="14"/>
      <c r="G12" s="14"/>
      <c r="H12" s="14"/>
      <c r="I12" s="14"/>
      <c r="J12" s="14"/>
      <c r="K12" s="14"/>
      <c r="L12" s="14"/>
      <c r="M12" s="14"/>
      <c r="N12" s="14"/>
      <c r="O12" s="14"/>
      <c r="P12" s="14"/>
      <c r="Q12" s="14"/>
      <c r="R12" s="14"/>
      <c r="S12" s="14"/>
    </row>
    <row r="13" spans="1:20" x14ac:dyDescent="0.25">
      <c r="B13" s="1">
        <v>8</v>
      </c>
      <c r="C13" s="14"/>
      <c r="D13" s="14"/>
      <c r="E13" s="14"/>
      <c r="F13" s="14"/>
      <c r="G13" s="14"/>
      <c r="H13" s="14"/>
      <c r="I13" s="14"/>
      <c r="J13" s="14"/>
      <c r="K13" s="14"/>
      <c r="L13" s="14"/>
      <c r="M13" s="14"/>
      <c r="N13" s="14"/>
      <c r="O13" s="14"/>
      <c r="P13" s="14"/>
      <c r="Q13" s="14"/>
      <c r="R13" s="14"/>
      <c r="S13" s="14"/>
    </row>
    <row r="14" spans="1:20" x14ac:dyDescent="0.25">
      <c r="B14" s="1">
        <v>9</v>
      </c>
      <c r="C14" s="14"/>
      <c r="D14" s="14"/>
      <c r="E14" s="14"/>
      <c r="F14" s="14"/>
      <c r="G14" s="14"/>
      <c r="H14" s="14"/>
      <c r="I14" s="14"/>
      <c r="J14" s="14"/>
      <c r="K14" s="14"/>
      <c r="L14" s="14"/>
      <c r="M14" s="14"/>
      <c r="N14" s="14"/>
      <c r="O14" s="14"/>
      <c r="P14" s="14"/>
      <c r="Q14" s="14"/>
      <c r="R14" s="14"/>
      <c r="S14" s="14"/>
    </row>
    <row r="15" spans="1:20" x14ac:dyDescent="0.25">
      <c r="B15" s="16" t="s">
        <v>1835</v>
      </c>
      <c r="C15" s="11">
        <f>SUM(C5:C14)</f>
        <v>0</v>
      </c>
      <c r="D15" s="11">
        <f t="shared" ref="D15:R15" si="0">SUM(D5:D14)</f>
        <v>0</v>
      </c>
      <c r="E15" s="11">
        <f t="shared" si="0"/>
        <v>0</v>
      </c>
      <c r="F15" s="11">
        <f t="shared" si="0"/>
        <v>0</v>
      </c>
      <c r="G15" s="11">
        <f t="shared" si="0"/>
        <v>0</v>
      </c>
      <c r="H15" s="11">
        <f t="shared" si="0"/>
        <v>0</v>
      </c>
      <c r="I15" s="11">
        <f t="shared" si="0"/>
        <v>0</v>
      </c>
      <c r="J15" s="11">
        <f t="shared" si="0"/>
        <v>0</v>
      </c>
      <c r="K15" s="11">
        <f t="shared" ref="K15" si="1">SUM(K5:K14)</f>
        <v>0</v>
      </c>
      <c r="L15" s="11">
        <f t="shared" ref="L15" si="2">SUM(L5:L14)</f>
        <v>0</v>
      </c>
      <c r="M15" s="11">
        <f t="shared" ref="M15" si="3">SUM(M5:M14)</f>
        <v>0</v>
      </c>
      <c r="N15" s="11">
        <f t="shared" si="0"/>
        <v>0</v>
      </c>
      <c r="O15" s="11">
        <f t="shared" si="0"/>
        <v>0</v>
      </c>
      <c r="P15" s="11">
        <f t="shared" si="0"/>
        <v>0</v>
      </c>
      <c r="Q15" s="11">
        <f t="shared" si="0"/>
        <v>0</v>
      </c>
      <c r="R15" s="11">
        <f t="shared" si="0"/>
        <v>0</v>
      </c>
      <c r="S15" s="11"/>
    </row>
    <row r="18" spans="1:4" x14ac:dyDescent="0.25">
      <c r="B18" s="15" t="s">
        <v>1880</v>
      </c>
      <c r="C18" s="12">
        <f>SUM(C6:C14)*0.19</f>
        <v>0</v>
      </c>
    </row>
    <row r="20" spans="1:4" x14ac:dyDescent="0.25">
      <c r="A20" s="176" t="s">
        <v>1155</v>
      </c>
      <c r="C20" s="12">
        <f>C18</f>
        <v>0</v>
      </c>
    </row>
    <row r="21" spans="1:4" x14ac:dyDescent="0.25">
      <c r="A21" s="176" t="s">
        <v>1881</v>
      </c>
      <c r="D21" s="12">
        <f>C18</f>
        <v>0</v>
      </c>
    </row>
  </sheetData>
  <mergeCells count="1">
    <mergeCell ref="H2:I2"/>
  </mergeCells>
  <phoneticPr fontId="3" type="noConversion"/>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E83448-7C30-4633-9D7F-94D5886CBECB}">
  <sheetPr>
    <tabColor theme="7" tint="0.79998168889431442"/>
  </sheetPr>
  <dimension ref="B2:AT128"/>
  <sheetViews>
    <sheetView zoomScale="80" zoomScaleNormal="80" workbookViewId="0">
      <pane ySplit="5" topLeftCell="A6" activePane="bottomLeft" state="frozen"/>
      <selection activeCell="B28" sqref="B28"/>
      <selection pane="bottomLeft"/>
    </sheetView>
  </sheetViews>
  <sheetFormatPr defaultColWidth="3.5703125" defaultRowHeight="15" x14ac:dyDescent="0.25"/>
  <cols>
    <col min="1" max="1" width="3.5703125" style="597"/>
    <col min="2" max="2" width="73.7109375" style="597" customWidth="1"/>
    <col min="3" max="3" width="93.140625" style="616" hidden="1" customWidth="1"/>
    <col min="4" max="5" width="17.28515625" style="618" customWidth="1"/>
    <col min="6" max="16" width="3.5703125" style="597"/>
    <col min="17" max="17" width="48.28515625" style="597" bestFit="1" customWidth="1"/>
    <col min="18" max="18" width="28.28515625" style="597" bestFit="1" customWidth="1"/>
    <col min="19" max="19" width="17.7109375" style="597" bestFit="1" customWidth="1"/>
    <col min="20" max="20" width="25.85546875" style="597" bestFit="1" customWidth="1"/>
    <col min="21" max="23" width="3.5703125" style="597"/>
    <col min="24" max="24" width="5.140625" style="597" customWidth="1"/>
    <col min="25" max="32" width="3.5703125" style="597"/>
    <col min="33" max="33" width="13.5703125" style="597" customWidth="1"/>
    <col min="34" max="45" width="3.5703125" style="597"/>
    <col min="46" max="46" width="15.140625" style="597" customWidth="1"/>
    <col min="47" max="16384" width="3.5703125" style="597"/>
  </cols>
  <sheetData>
    <row r="2" spans="2:46" ht="18.75" customHeight="1" x14ac:dyDescent="0.25">
      <c r="B2" s="599" t="s">
        <v>654</v>
      </c>
      <c r="C2" s="874" t="s">
        <v>655</v>
      </c>
      <c r="D2" s="603"/>
      <c r="E2" s="603"/>
    </row>
    <row r="3" spans="2:46" ht="18.75" customHeight="1" x14ac:dyDescent="0.25">
      <c r="B3" s="600" t="s">
        <v>1287</v>
      </c>
      <c r="C3" s="875"/>
      <c r="D3" s="603"/>
      <c r="E3" s="603"/>
    </row>
    <row r="4" spans="2:46" ht="18.75" customHeight="1" thickBot="1" x14ac:dyDescent="0.3">
      <c r="B4" s="601" t="s">
        <v>717</v>
      </c>
      <c r="C4" s="876"/>
      <c r="D4" s="603"/>
      <c r="E4" s="603"/>
    </row>
    <row r="5" spans="2:46" ht="18.75" customHeight="1" x14ac:dyDescent="0.25">
      <c r="B5" s="602"/>
      <c r="C5" s="604" t="s">
        <v>663</v>
      </c>
      <c r="D5" s="605" t="s">
        <v>10</v>
      </c>
      <c r="E5" s="605" t="s">
        <v>10</v>
      </c>
      <c r="Q5" s="623" t="s">
        <v>1171</v>
      </c>
    </row>
    <row r="6" spans="2:46" ht="18.75" customHeight="1" x14ac:dyDescent="0.25">
      <c r="B6" s="600" t="s">
        <v>1218</v>
      </c>
      <c r="C6" s="598"/>
      <c r="D6" s="606"/>
      <c r="E6" s="606"/>
      <c r="Q6"/>
      <c r="R6"/>
      <c r="S6" s="13" t="s">
        <v>1044</v>
      </c>
      <c r="T6" s="13" t="s">
        <v>1045</v>
      </c>
      <c r="U6"/>
      <c r="V6" s="624"/>
      <c r="W6" s="624"/>
      <c r="X6" s="624"/>
    </row>
    <row r="7" spans="2:46" ht="18.75" customHeight="1" x14ac:dyDescent="0.25">
      <c r="B7" s="602" t="str">
        <f>IF(D7&gt;0,"Cash receipts from customers","Cashpaidtocustomers")</f>
        <v>Cashpaidtocustomers</v>
      </c>
      <c r="C7" s="598"/>
      <c r="D7" s="607">
        <f>R22</f>
        <v>0</v>
      </c>
      <c r="E7" s="606"/>
      <c r="Q7" s="1" t="s">
        <v>92</v>
      </c>
      <c r="R7"/>
      <c r="S7" s="2" t="s">
        <v>10</v>
      </c>
      <c r="T7" s="2" t="s">
        <v>10</v>
      </c>
      <c r="U7"/>
      <c r="V7" s="624"/>
      <c r="W7" s="624"/>
      <c r="X7" s="624"/>
      <c r="Z7" s="753" t="s">
        <v>69</v>
      </c>
      <c r="AA7" s="754"/>
      <c r="AB7" s="754"/>
      <c r="AC7" s="754"/>
      <c r="AD7" s="754"/>
      <c r="AE7" s="754"/>
      <c r="AF7" s="754"/>
      <c r="AG7" s="752"/>
      <c r="AJ7" s="753" t="s">
        <v>1173</v>
      </c>
      <c r="AK7" s="754"/>
      <c r="AL7" s="754"/>
      <c r="AM7" s="754"/>
      <c r="AN7" s="754"/>
      <c r="AO7" s="755"/>
      <c r="AP7" s="755"/>
      <c r="AQ7" s="755"/>
      <c r="AR7" s="755"/>
      <c r="AS7" s="755"/>
      <c r="AT7" s="755"/>
    </row>
    <row r="8" spans="2:46" ht="18.75" customHeight="1" x14ac:dyDescent="0.25">
      <c r="B8" s="602" t="str">
        <f>IF(D8&lt;0,"Cash paid to suppliers and employees","Cash received from suppliers")</f>
        <v>Cash received from suppliers</v>
      </c>
      <c r="C8" s="598"/>
      <c r="D8" s="608">
        <f>-T22</f>
        <v>0</v>
      </c>
      <c r="E8" s="606"/>
      <c r="Q8" t="s">
        <v>1172</v>
      </c>
      <c r="R8"/>
      <c r="S8" s="3"/>
      <c r="T8" s="3"/>
      <c r="U8"/>
      <c r="V8" s="624"/>
      <c r="W8" s="624"/>
      <c r="X8" s="624"/>
      <c r="Z8" s="754" t="s">
        <v>67</v>
      </c>
      <c r="AA8" s="754"/>
      <c r="AB8" s="754"/>
      <c r="AC8" s="754"/>
      <c r="AD8" s="754"/>
      <c r="AE8" s="754"/>
      <c r="AF8" s="754"/>
      <c r="AG8" s="751"/>
      <c r="AH8" s="693"/>
      <c r="AI8" s="693"/>
      <c r="AJ8" s="754" t="s">
        <v>1901</v>
      </c>
      <c r="AK8" s="754"/>
      <c r="AL8" s="754"/>
      <c r="AM8" s="754"/>
      <c r="AN8" s="754"/>
      <c r="AO8" s="755"/>
      <c r="AP8" s="755"/>
      <c r="AQ8" s="755"/>
      <c r="AR8" s="755"/>
      <c r="AS8" s="755"/>
      <c r="AT8" s="627"/>
    </row>
    <row r="9" spans="2:46" ht="18.75" customHeight="1" x14ac:dyDescent="0.25">
      <c r="B9" s="602" t="s">
        <v>1164</v>
      </c>
      <c r="C9" s="598"/>
      <c r="D9" s="609">
        <f>D7+D8</f>
        <v>0</v>
      </c>
      <c r="E9" s="606"/>
      <c r="Q9" t="s">
        <v>85</v>
      </c>
      <c r="R9"/>
      <c r="S9" s="3"/>
      <c r="T9" s="3"/>
      <c r="U9"/>
      <c r="V9" s="624"/>
      <c r="W9" s="624"/>
      <c r="X9" s="624"/>
      <c r="Z9" s="754" t="s">
        <v>1899</v>
      </c>
      <c r="AA9" s="754"/>
      <c r="AB9" s="754"/>
      <c r="AC9" s="754"/>
      <c r="AD9" s="754"/>
      <c r="AE9" s="754"/>
      <c r="AF9" s="754"/>
      <c r="AG9" s="751"/>
      <c r="AH9" s="693"/>
      <c r="AI9" s="693"/>
      <c r="AJ9" s="754" t="s">
        <v>1770</v>
      </c>
      <c r="AK9" s="754"/>
      <c r="AL9" s="754"/>
      <c r="AM9" s="754"/>
      <c r="AN9" s="754"/>
      <c r="AO9" s="755"/>
      <c r="AP9" s="755"/>
      <c r="AQ9" s="755"/>
      <c r="AR9" s="755"/>
      <c r="AS9" s="755"/>
      <c r="AT9" s="627"/>
    </row>
    <row r="10" spans="2:46" ht="18.75" customHeight="1" thickBot="1" x14ac:dyDescent="0.3">
      <c r="B10" s="602" t="s">
        <v>629</v>
      </c>
      <c r="C10" s="598" t="s">
        <v>1288</v>
      </c>
      <c r="D10" s="607">
        <f>T33</f>
        <v>0</v>
      </c>
      <c r="E10" s="606"/>
      <c r="Q10"/>
      <c r="R10"/>
      <c r="S10" s="226">
        <f>SUM(S8:S9)</f>
        <v>0</v>
      </c>
      <c r="T10" s="226">
        <f>SUM(T8:T9)</f>
        <v>0</v>
      </c>
      <c r="U10"/>
      <c r="V10" s="624"/>
      <c r="W10" s="624"/>
      <c r="X10" s="624"/>
      <c r="Z10" s="754" t="s">
        <v>1900</v>
      </c>
      <c r="AA10" s="754"/>
      <c r="AB10" s="754"/>
      <c r="AC10" s="754"/>
      <c r="AD10" s="754"/>
      <c r="AE10" s="754"/>
      <c r="AF10" s="754"/>
      <c r="AG10" s="751"/>
      <c r="AH10" s="693"/>
      <c r="AI10" s="693"/>
      <c r="AJ10" s="754" t="s">
        <v>1904</v>
      </c>
      <c r="AK10" s="754"/>
      <c r="AL10" s="754"/>
      <c r="AM10" s="754"/>
      <c r="AN10" s="754"/>
      <c r="AO10" s="755"/>
      <c r="AP10" s="755"/>
      <c r="AQ10" s="755"/>
      <c r="AR10" s="755"/>
      <c r="AS10" s="755"/>
      <c r="AT10" s="627"/>
    </row>
    <row r="11" spans="2:46" ht="18.75" customHeight="1" thickTop="1" x14ac:dyDescent="0.25">
      <c r="B11" s="602" t="s">
        <v>634</v>
      </c>
      <c r="C11" s="598"/>
      <c r="D11" s="608">
        <f>T42</f>
        <v>0</v>
      </c>
      <c r="E11" s="606"/>
      <c r="Q11"/>
      <c r="R11"/>
      <c r="S11"/>
      <c r="T11"/>
      <c r="U11"/>
      <c r="V11" s="624"/>
      <c r="W11" s="624"/>
      <c r="X11" s="624"/>
      <c r="Z11" s="754"/>
      <c r="AA11" s="754"/>
      <c r="AB11" s="754"/>
      <c r="AC11" s="754"/>
      <c r="AD11" s="754"/>
      <c r="AE11" s="754"/>
      <c r="AF11" s="754"/>
      <c r="AG11" s="752">
        <f>AG8-AG9+AG10</f>
        <v>0</v>
      </c>
      <c r="AH11" s="693"/>
      <c r="AI11" s="693"/>
      <c r="AJ11" s="754" t="s">
        <v>1905</v>
      </c>
      <c r="AK11" s="755"/>
      <c r="AL11" s="755"/>
      <c r="AM11" s="755"/>
      <c r="AN11" s="755"/>
      <c r="AO11" s="755"/>
      <c r="AP11" s="755"/>
      <c r="AQ11" s="755"/>
      <c r="AR11" s="755"/>
      <c r="AS11" s="755"/>
      <c r="AT11" s="627"/>
    </row>
    <row r="12" spans="2:46" ht="18.75" customHeight="1" x14ac:dyDescent="0.25">
      <c r="B12" s="610" t="s">
        <v>1289</v>
      </c>
      <c r="C12" s="598" t="s">
        <v>1290</v>
      </c>
      <c r="D12" s="611"/>
      <c r="E12" s="612">
        <f>SUM(D9:D11)</f>
        <v>0</v>
      </c>
      <c r="Q12"/>
      <c r="R12"/>
      <c r="S12"/>
      <c r="T12"/>
      <c r="U12"/>
      <c r="V12" s="624"/>
      <c r="W12" s="624"/>
      <c r="X12" s="624"/>
      <c r="AH12" s="693"/>
      <c r="AI12" s="693"/>
      <c r="AJ12" s="754" t="s">
        <v>1902</v>
      </c>
      <c r="AK12" s="754"/>
      <c r="AL12" s="754"/>
      <c r="AM12" s="754"/>
      <c r="AN12" s="754"/>
      <c r="AO12" s="755"/>
      <c r="AP12" s="755"/>
      <c r="AQ12" s="755"/>
      <c r="AR12" s="755"/>
      <c r="AS12" s="755"/>
      <c r="AT12" s="627"/>
    </row>
    <row r="13" spans="2:46" ht="18.75" customHeight="1" x14ac:dyDescent="0.25">
      <c r="B13" s="602"/>
      <c r="C13" s="598"/>
      <c r="D13" s="606"/>
      <c r="E13" s="606"/>
      <c r="Q13" t="s">
        <v>624</v>
      </c>
      <c r="R13"/>
      <c r="S13"/>
      <c r="T13"/>
      <c r="U13"/>
      <c r="V13" s="624"/>
      <c r="W13" s="624"/>
      <c r="X13" s="624"/>
      <c r="Z13" s="693"/>
      <c r="AA13" s="693"/>
      <c r="AB13" s="693"/>
      <c r="AC13" s="693"/>
      <c r="AD13" s="693"/>
      <c r="AE13" s="693"/>
      <c r="AF13" s="693"/>
      <c r="AG13" s="693"/>
      <c r="AH13" s="693"/>
      <c r="AI13" s="693"/>
      <c r="AJ13" s="754" t="s">
        <v>1903</v>
      </c>
      <c r="AK13" s="754"/>
      <c r="AL13" s="754"/>
      <c r="AM13" s="754"/>
      <c r="AN13" s="754"/>
      <c r="AO13" s="755"/>
      <c r="AP13" s="755"/>
      <c r="AQ13" s="755"/>
      <c r="AR13" s="755"/>
      <c r="AS13" s="755"/>
      <c r="AT13" s="627"/>
    </row>
    <row r="14" spans="2:46" ht="18.75" customHeight="1" x14ac:dyDescent="0.25">
      <c r="B14" s="600" t="s">
        <v>1219</v>
      </c>
      <c r="C14" s="598" t="s">
        <v>667</v>
      </c>
      <c r="D14" s="606"/>
      <c r="E14" s="606"/>
      <c r="Q14"/>
      <c r="R14" t="s">
        <v>625</v>
      </c>
      <c r="S14"/>
      <c r="T14" t="s">
        <v>86</v>
      </c>
      <c r="U14"/>
      <c r="V14" s="624"/>
      <c r="W14" s="624"/>
      <c r="X14" s="624"/>
      <c r="AJ14" s="755"/>
      <c r="AK14" s="755"/>
      <c r="AL14" s="755"/>
      <c r="AM14" s="755"/>
      <c r="AN14" s="755"/>
      <c r="AO14" s="755"/>
      <c r="AP14" s="755"/>
      <c r="AQ14" s="755"/>
      <c r="AR14" s="755"/>
      <c r="AS14" s="755"/>
      <c r="AT14" s="755">
        <f>SUM(AT8:AT13)</f>
        <v>0</v>
      </c>
    </row>
    <row r="15" spans="2:46" ht="18.75" customHeight="1" x14ac:dyDescent="0.25">
      <c r="B15" s="602" t="s">
        <v>1291</v>
      </c>
      <c r="C15" s="598"/>
      <c r="D15" s="607"/>
      <c r="E15" s="606"/>
      <c r="Q15"/>
      <c r="R15" s="2" t="s">
        <v>10</v>
      </c>
      <c r="S15"/>
      <c r="T15" s="2" t="s">
        <v>10</v>
      </c>
      <c r="U15"/>
      <c r="V15" s="624"/>
      <c r="W15" s="624"/>
      <c r="X15" s="624"/>
    </row>
    <row r="16" spans="2:46" ht="18.75" customHeight="1" x14ac:dyDescent="0.25">
      <c r="B16" s="602" t="s">
        <v>1292</v>
      </c>
      <c r="C16" s="598"/>
      <c r="D16" s="607"/>
      <c r="E16" s="606"/>
      <c r="Q16" s="15" t="s">
        <v>626</v>
      </c>
      <c r="R16" s="14"/>
      <c r="S16" s="15" t="s">
        <v>626</v>
      </c>
      <c r="T16" s="14"/>
      <c r="U16"/>
      <c r="V16" s="625" t="s">
        <v>1272</v>
      </c>
      <c r="W16" s="624"/>
      <c r="X16" s="624"/>
    </row>
    <row r="17" spans="2:27" ht="18.75" customHeight="1" x14ac:dyDescent="0.25">
      <c r="B17" s="602" t="s">
        <v>1293</v>
      </c>
      <c r="C17" s="598" t="s">
        <v>1294</v>
      </c>
      <c r="D17" s="607"/>
      <c r="E17" s="606"/>
      <c r="Q17" s="15" t="s">
        <v>58</v>
      </c>
      <c r="R17" s="14"/>
      <c r="S17" s="15" t="s">
        <v>69</v>
      </c>
      <c r="T17" s="14"/>
      <c r="U17"/>
      <c r="V17" s="625" t="s">
        <v>1174</v>
      </c>
      <c r="W17" s="624"/>
      <c r="X17" s="624"/>
    </row>
    <row r="18" spans="2:27" ht="18.75" customHeight="1" x14ac:dyDescent="0.25">
      <c r="B18" s="602" t="s">
        <v>1295</v>
      </c>
      <c r="C18" s="598" t="s">
        <v>1294</v>
      </c>
      <c r="D18" s="607"/>
      <c r="E18" s="606"/>
      <c r="Q18" s="15" t="s">
        <v>1271</v>
      </c>
      <c r="R18" s="3"/>
      <c r="S18" s="15" t="s">
        <v>721</v>
      </c>
      <c r="T18" s="14"/>
      <c r="U18"/>
      <c r="V18" s="624"/>
      <c r="W18" s="624"/>
      <c r="X18" s="624"/>
    </row>
    <row r="19" spans="2:27" ht="18.75" customHeight="1" x14ac:dyDescent="0.25">
      <c r="B19" s="602" t="s">
        <v>1296</v>
      </c>
      <c r="C19" s="598" t="s">
        <v>1297</v>
      </c>
      <c r="D19" s="607"/>
      <c r="E19" s="606"/>
      <c r="Q19" s="176" t="s">
        <v>1270</v>
      </c>
      <c r="R19" s="3"/>
      <c r="S19" s="15" t="s">
        <v>1173</v>
      </c>
      <c r="T19" s="14"/>
      <c r="U19"/>
      <c r="V19" s="625" t="s">
        <v>1702</v>
      </c>
      <c r="W19" s="624"/>
      <c r="X19" s="624"/>
    </row>
    <row r="20" spans="2:27" ht="18.75" customHeight="1" x14ac:dyDescent="0.25">
      <c r="B20" s="602" t="s">
        <v>1298</v>
      </c>
      <c r="C20" s="598" t="s">
        <v>1297</v>
      </c>
      <c r="D20" s="607"/>
      <c r="E20" s="606"/>
      <c r="Q20"/>
      <c r="R20" s="11">
        <f>SUM(R16:R19)</f>
        <v>0</v>
      </c>
      <c r="S20" s="11"/>
      <c r="T20" s="11">
        <f>SUM(T16:T19)</f>
        <v>0</v>
      </c>
      <c r="U20"/>
      <c r="V20" s="624"/>
      <c r="W20" s="624"/>
      <c r="X20" s="624"/>
    </row>
    <row r="21" spans="2:27" ht="18.75" customHeight="1" x14ac:dyDescent="0.25">
      <c r="B21" s="602" t="s">
        <v>645</v>
      </c>
      <c r="C21" s="598" t="s">
        <v>1299</v>
      </c>
      <c r="D21" s="607"/>
      <c r="E21" s="606"/>
      <c r="Q21" s="15" t="s">
        <v>627</v>
      </c>
      <c r="R21" s="14"/>
      <c r="S21" s="15" t="s">
        <v>627</v>
      </c>
      <c r="T21" s="14"/>
      <c r="U21"/>
      <c r="V21" s="624"/>
      <c r="W21" s="624"/>
      <c r="X21" s="624"/>
      <c r="AA21" s="693"/>
    </row>
    <row r="22" spans="2:27" ht="18.75" customHeight="1" thickBot="1" x14ac:dyDescent="0.3">
      <c r="B22" s="602" t="s">
        <v>1163</v>
      </c>
      <c r="C22" s="598" t="s">
        <v>1299</v>
      </c>
      <c r="D22" s="608"/>
      <c r="E22" s="606"/>
      <c r="Q22" s="15" t="s">
        <v>628</v>
      </c>
      <c r="R22" s="94">
        <f>R20-R21</f>
        <v>0</v>
      </c>
      <c r="S22"/>
      <c r="T22" s="94">
        <f>T20-T21</f>
        <v>0</v>
      </c>
      <c r="U22"/>
      <c r="V22" s="624"/>
      <c r="W22" s="624"/>
      <c r="X22" s="624"/>
    </row>
    <row r="23" spans="2:27" ht="18.75" customHeight="1" thickTop="1" x14ac:dyDescent="0.25">
      <c r="B23" s="610" t="s">
        <v>1300</v>
      </c>
      <c r="C23" s="598" t="s">
        <v>1290</v>
      </c>
      <c r="D23" s="611"/>
      <c r="E23" s="612">
        <f>SUM(D15:D22)</f>
        <v>0</v>
      </c>
      <c r="Q23"/>
      <c r="R23"/>
      <c r="S23"/>
      <c r="T23"/>
      <c r="U23"/>
      <c r="V23" s="624"/>
      <c r="W23" s="624"/>
      <c r="X23" s="624"/>
    </row>
    <row r="24" spans="2:27" ht="18.75" customHeight="1" x14ac:dyDescent="0.25">
      <c r="B24" s="602"/>
      <c r="C24" s="598"/>
      <c r="D24" s="606"/>
      <c r="E24" s="606"/>
      <c r="Q24" s="1" t="s">
        <v>1165</v>
      </c>
      <c r="R24"/>
      <c r="S24"/>
      <c r="T24" s="221">
        <f>R22+T22</f>
        <v>0</v>
      </c>
      <c r="U24"/>
      <c r="V24" s="624"/>
      <c r="W24" s="624"/>
      <c r="X24" s="624"/>
    </row>
    <row r="25" spans="2:27" ht="18.75" customHeight="1" x14ac:dyDescent="0.25">
      <c r="B25" s="600" t="s">
        <v>1167</v>
      </c>
      <c r="C25" s="598"/>
      <c r="D25" s="606"/>
      <c r="E25" s="606"/>
      <c r="Q25"/>
      <c r="R25"/>
      <c r="S25"/>
      <c r="T25"/>
      <c r="U25"/>
      <c r="V25" s="624"/>
      <c r="W25" s="624"/>
      <c r="X25" s="624"/>
    </row>
    <row r="26" spans="2:27" ht="18.75" customHeight="1" x14ac:dyDescent="0.25">
      <c r="B26" s="602" t="s">
        <v>1168</v>
      </c>
      <c r="C26" s="598"/>
      <c r="D26" s="607"/>
      <c r="E26" s="606"/>
      <c r="Q26" s="1" t="s">
        <v>629</v>
      </c>
      <c r="R26"/>
      <c r="S26"/>
      <c r="T26"/>
      <c r="U26"/>
      <c r="V26" s="624"/>
      <c r="W26" s="624"/>
      <c r="X26" s="624"/>
    </row>
    <row r="27" spans="2:27" ht="18.75" customHeight="1" x14ac:dyDescent="0.25">
      <c r="B27" s="602" t="s">
        <v>1301</v>
      </c>
      <c r="C27" s="598"/>
      <c r="D27" s="607"/>
      <c r="E27" s="606"/>
      <c r="Q27" t="s">
        <v>630</v>
      </c>
      <c r="R27"/>
      <c r="S27"/>
      <c r="T27" s="14"/>
      <c r="U27"/>
      <c r="V27" s="624"/>
      <c r="W27" s="624"/>
      <c r="X27" s="624"/>
    </row>
    <row r="28" spans="2:27" ht="18.75" customHeight="1" x14ac:dyDescent="0.25">
      <c r="B28" s="602" t="s">
        <v>1302</v>
      </c>
      <c r="C28" s="598" t="s">
        <v>1303</v>
      </c>
      <c r="D28" s="649">
        <f>T91</f>
        <v>0</v>
      </c>
      <c r="E28" s="606"/>
      <c r="Q28" t="s">
        <v>631</v>
      </c>
      <c r="R28"/>
      <c r="S28"/>
      <c r="T28" s="14"/>
      <c r="U28"/>
      <c r="V28" s="624"/>
      <c r="W28" s="624"/>
      <c r="X28" s="624"/>
    </row>
    <row r="29" spans="2:27" ht="18.75" customHeight="1" x14ac:dyDescent="0.25">
      <c r="B29" s="602" t="s">
        <v>1304</v>
      </c>
      <c r="C29" s="598" t="s">
        <v>1305</v>
      </c>
      <c r="D29" s="649">
        <f>-T104</f>
        <v>0</v>
      </c>
      <c r="E29" s="606"/>
      <c r="Q29" t="s">
        <v>632</v>
      </c>
      <c r="R29"/>
      <c r="S29"/>
      <c r="T29" s="14"/>
      <c r="U29"/>
      <c r="V29" s="624"/>
      <c r="W29" s="624"/>
      <c r="X29" s="624"/>
    </row>
    <row r="30" spans="2:27" ht="18.75" customHeight="1" x14ac:dyDescent="0.25">
      <c r="B30" s="602" t="s">
        <v>1166</v>
      </c>
      <c r="C30" s="598"/>
      <c r="D30" s="607"/>
      <c r="E30" s="606"/>
      <c r="Q30" t="s">
        <v>644</v>
      </c>
      <c r="R30"/>
      <c r="S30"/>
      <c r="T30" s="14"/>
      <c r="U30"/>
      <c r="V30" s="624"/>
      <c r="W30" s="624"/>
      <c r="X30" s="624"/>
    </row>
    <row r="31" spans="2:27" ht="18.75" customHeight="1" x14ac:dyDescent="0.25">
      <c r="B31" s="602" t="s">
        <v>375</v>
      </c>
      <c r="C31" s="598" t="s">
        <v>1299</v>
      </c>
      <c r="D31" s="608"/>
      <c r="E31" s="606"/>
      <c r="Q31"/>
      <c r="R31"/>
      <c r="S31"/>
      <c r="T31" s="130">
        <f>T27+T28-T30+T29</f>
        <v>0</v>
      </c>
      <c r="U31"/>
      <c r="V31" s="624"/>
      <c r="W31" s="624"/>
      <c r="X31" s="624"/>
    </row>
    <row r="32" spans="2:27" ht="18.75" customHeight="1" x14ac:dyDescent="0.25">
      <c r="B32" s="610" t="s">
        <v>1306</v>
      </c>
      <c r="C32" s="598" t="s">
        <v>1290</v>
      </c>
      <c r="D32" s="611"/>
      <c r="E32" s="613">
        <f>SUM(D26:D31)</f>
        <v>0</v>
      </c>
      <c r="Q32" t="s">
        <v>633</v>
      </c>
      <c r="R32"/>
      <c r="S32"/>
      <c r="T32" s="14"/>
      <c r="U32"/>
      <c r="V32" s="624"/>
      <c r="W32" s="624"/>
      <c r="X32" s="624"/>
    </row>
    <row r="33" spans="2:24" ht="18.75" customHeight="1" thickBot="1" x14ac:dyDescent="0.3">
      <c r="B33" s="602"/>
      <c r="C33" s="598"/>
      <c r="D33" s="606"/>
      <c r="E33" s="611"/>
      <c r="Q33" t="s">
        <v>629</v>
      </c>
      <c r="R33"/>
      <c r="S33"/>
      <c r="T33" s="18">
        <f>T31-T32</f>
        <v>0</v>
      </c>
      <c r="U33"/>
      <c r="V33" s="624"/>
      <c r="W33" s="624"/>
      <c r="X33" s="624"/>
    </row>
    <row r="34" spans="2:24" ht="18.75" customHeight="1" thickTop="1" x14ac:dyDescent="0.25">
      <c r="B34" s="600" t="s">
        <v>1307</v>
      </c>
      <c r="C34" s="598" t="s">
        <v>1308</v>
      </c>
      <c r="D34" s="606"/>
      <c r="E34" s="612">
        <f>SUM(E12,E23,E32)</f>
        <v>0</v>
      </c>
      <c r="Q34"/>
      <c r="R34"/>
      <c r="S34"/>
      <c r="T34"/>
      <c r="U34"/>
      <c r="V34" s="624"/>
      <c r="W34" s="624"/>
      <c r="X34" s="624"/>
    </row>
    <row r="35" spans="2:24" ht="18.75" customHeight="1" x14ac:dyDescent="0.25">
      <c r="B35" s="614" t="s">
        <v>1309</v>
      </c>
      <c r="C35" s="598" t="s">
        <v>1310</v>
      </c>
      <c r="D35" s="606"/>
      <c r="E35" s="608">
        <f>T10</f>
        <v>0</v>
      </c>
      <c r="Q35" s="1" t="s">
        <v>634</v>
      </c>
      <c r="R35"/>
      <c r="S35"/>
      <c r="T35"/>
      <c r="U35"/>
      <c r="V35" s="624"/>
      <c r="W35" s="624"/>
      <c r="X35" s="624"/>
    </row>
    <row r="36" spans="2:24" ht="18.75" customHeight="1" thickBot="1" x14ac:dyDescent="0.3">
      <c r="B36" s="600" t="s">
        <v>1311</v>
      </c>
      <c r="C36" s="598" t="s">
        <v>1310</v>
      </c>
      <c r="D36" s="606"/>
      <c r="E36" s="615">
        <f>S10</f>
        <v>0</v>
      </c>
      <c r="Q36" t="s">
        <v>635</v>
      </c>
      <c r="R36"/>
      <c r="S36" s="14"/>
      <c r="T36" s="11"/>
      <c r="U36"/>
      <c r="V36" s="624"/>
      <c r="W36" s="624"/>
      <c r="X36" s="624"/>
    </row>
    <row r="37" spans="2:24" ht="18.75" customHeight="1" x14ac:dyDescent="0.25">
      <c r="D37" s="617"/>
      <c r="E37" s="617"/>
      <c r="Q37" t="s">
        <v>636</v>
      </c>
      <c r="R37"/>
      <c r="S37" s="14"/>
      <c r="T37" s="11">
        <f>S37+S36</f>
        <v>0</v>
      </c>
      <c r="U37"/>
      <c r="V37" s="624"/>
      <c r="W37" s="624"/>
      <c r="X37" s="624"/>
    </row>
    <row r="38" spans="2:24" ht="18.75" customHeight="1" x14ac:dyDescent="0.25">
      <c r="C38" s="598" t="s">
        <v>1312</v>
      </c>
      <c r="D38" s="877">
        <f>E36-(SUM(E34:E35))</f>
        <v>0</v>
      </c>
      <c r="E38" s="878"/>
      <c r="Q38" t="s">
        <v>1</v>
      </c>
      <c r="R38"/>
      <c r="S38" s="11"/>
      <c r="T38" s="14"/>
      <c r="U38"/>
      <c r="V38" s="624"/>
      <c r="W38" s="624"/>
      <c r="X38" s="624"/>
    </row>
    <row r="39" spans="2:24" ht="18.75" customHeight="1" x14ac:dyDescent="0.25">
      <c r="D39" s="617"/>
      <c r="E39" s="617"/>
      <c r="Q39"/>
      <c r="R39"/>
      <c r="S39" s="11"/>
      <c r="T39" s="11">
        <f>T37+T38</f>
        <v>0</v>
      </c>
      <c r="U39"/>
      <c r="V39" s="624"/>
      <c r="W39" s="624"/>
      <c r="X39" s="624"/>
    </row>
    <row r="40" spans="2:24" ht="18.75" customHeight="1" x14ac:dyDescent="0.25">
      <c r="D40" s="617"/>
      <c r="E40" s="617"/>
      <c r="Q40" t="s">
        <v>637</v>
      </c>
      <c r="R40"/>
      <c r="S40" s="14"/>
      <c r="T40" s="11"/>
      <c r="U40"/>
      <c r="V40" s="624"/>
      <c r="W40" s="624"/>
      <c r="X40" s="624"/>
    </row>
    <row r="41" spans="2:24" ht="18.75" customHeight="1" x14ac:dyDescent="0.25">
      <c r="D41" s="617"/>
      <c r="E41" s="617"/>
      <c r="Q41" t="s">
        <v>638</v>
      </c>
      <c r="R41"/>
      <c r="S41" s="14"/>
      <c r="T41" s="11">
        <f>S41+S40</f>
        <v>0</v>
      </c>
      <c r="U41"/>
      <c r="V41" s="624"/>
      <c r="W41" s="624"/>
      <c r="X41" s="624"/>
    </row>
    <row r="42" spans="2:24" ht="18.75" customHeight="1" thickBot="1" x14ac:dyDescent="0.3">
      <c r="D42" s="617"/>
      <c r="E42" s="617"/>
      <c r="Q42" t="s">
        <v>634</v>
      </c>
      <c r="R42"/>
      <c r="S42" s="11"/>
      <c r="T42" s="18">
        <f>T39-T41</f>
        <v>0</v>
      </c>
      <c r="U42"/>
      <c r="V42" s="624"/>
      <c r="W42" s="624"/>
      <c r="X42" s="624"/>
    </row>
    <row r="43" spans="2:24" ht="18.75" customHeight="1" thickTop="1" x14ac:dyDescent="0.25">
      <c r="D43" s="617"/>
      <c r="E43" s="617"/>
      <c r="Q43"/>
      <c r="R43"/>
      <c r="S43"/>
      <c r="T43"/>
      <c r="U43"/>
      <c r="V43" s="624"/>
      <c r="W43" s="624"/>
      <c r="X43" s="624"/>
    </row>
    <row r="44" spans="2:24" ht="18.75" customHeight="1" x14ac:dyDescent="0.25">
      <c r="D44" s="617"/>
      <c r="E44" s="617"/>
      <c r="Q44" s="1" t="s">
        <v>639</v>
      </c>
      <c r="R44"/>
      <c r="S44"/>
      <c r="T44"/>
      <c r="U44"/>
      <c r="V44" s="624"/>
      <c r="W44" s="624"/>
      <c r="X44" s="624"/>
    </row>
    <row r="45" spans="2:24" ht="18.75" customHeight="1" x14ac:dyDescent="0.25">
      <c r="D45" s="617"/>
      <c r="E45" s="617"/>
      <c r="Q45" t="s">
        <v>640</v>
      </c>
      <c r="R45"/>
      <c r="S45"/>
      <c r="T45" s="14"/>
      <c r="U45"/>
      <c r="V45" s="624"/>
      <c r="W45" s="624"/>
      <c r="X45" s="624"/>
    </row>
    <row r="46" spans="2:24" ht="18.75" customHeight="1" x14ac:dyDescent="0.25">
      <c r="D46" s="617"/>
      <c r="E46" s="617"/>
      <c r="Q46" t="s">
        <v>641</v>
      </c>
      <c r="R46"/>
      <c r="S46"/>
      <c r="T46" s="14"/>
      <c r="U46"/>
      <c r="V46" s="624"/>
      <c r="W46" s="624"/>
      <c r="X46" s="624"/>
    </row>
    <row r="47" spans="2:24" ht="18.75" customHeight="1" x14ac:dyDescent="0.25">
      <c r="D47" s="617"/>
      <c r="E47" s="617"/>
      <c r="Q47" t="s">
        <v>643</v>
      </c>
      <c r="R47"/>
      <c r="S47"/>
      <c r="T47" s="14"/>
      <c r="U47"/>
      <c r="V47" s="624"/>
      <c r="W47" s="624"/>
      <c r="X47" s="624"/>
    </row>
    <row r="48" spans="2:24" ht="18.75" customHeight="1" x14ac:dyDescent="0.25">
      <c r="D48" s="617"/>
      <c r="E48" s="617"/>
      <c r="Q48" t="s">
        <v>1273</v>
      </c>
      <c r="R48"/>
      <c r="S48"/>
      <c r="T48" s="14"/>
      <c r="U48"/>
      <c r="V48" s="624"/>
      <c r="W48" s="624"/>
      <c r="X48" s="624"/>
    </row>
    <row r="49" spans="4:24" ht="18.75" customHeight="1" x14ac:dyDescent="0.25">
      <c r="D49" s="617"/>
      <c r="E49" s="617"/>
      <c r="Q49" t="s">
        <v>1274</v>
      </c>
      <c r="R49"/>
      <c r="S49"/>
      <c r="T49" s="14"/>
      <c r="U49"/>
      <c r="V49" s="624"/>
      <c r="W49" s="624"/>
      <c r="X49" s="624"/>
    </row>
    <row r="50" spans="4:24" ht="18.75" customHeight="1" x14ac:dyDescent="0.25">
      <c r="D50" s="617"/>
      <c r="E50" s="617"/>
      <c r="Q50"/>
      <c r="R50"/>
      <c r="S50"/>
      <c r="T50" s="130">
        <f>T45-T47+T46-T48+T49</f>
        <v>0</v>
      </c>
      <c r="U50"/>
      <c r="V50" s="624"/>
      <c r="W50" s="624"/>
      <c r="X50" s="624"/>
    </row>
    <row r="51" spans="4:24" ht="18.75" customHeight="1" x14ac:dyDescent="0.25">
      <c r="D51" s="617"/>
      <c r="E51" s="617"/>
      <c r="Q51" t="s">
        <v>642</v>
      </c>
      <c r="R51"/>
      <c r="S51"/>
      <c r="T51" s="14"/>
      <c r="U51"/>
      <c r="V51" s="624"/>
      <c r="W51" s="624"/>
      <c r="X51" s="624"/>
    </row>
    <row r="52" spans="4:24" ht="18.75" customHeight="1" thickBot="1" x14ac:dyDescent="0.3">
      <c r="D52" s="617"/>
      <c r="E52" s="617"/>
      <c r="Q52" t="s">
        <v>639</v>
      </c>
      <c r="R52"/>
      <c r="S52"/>
      <c r="T52" s="18">
        <f>T51-T50</f>
        <v>0</v>
      </c>
      <c r="U52"/>
      <c r="V52" s="624"/>
      <c r="W52" s="624"/>
      <c r="X52" s="624"/>
    </row>
    <row r="53" spans="4:24" ht="18.75" customHeight="1" thickTop="1" x14ac:dyDescent="0.25">
      <c r="D53" s="617"/>
      <c r="E53" s="617"/>
      <c r="Q53"/>
      <c r="R53"/>
      <c r="S53"/>
      <c r="T53" s="66"/>
      <c r="U53"/>
      <c r="V53" s="624"/>
      <c r="W53" s="624"/>
      <c r="X53" s="624"/>
    </row>
    <row r="54" spans="4:24" x14ac:dyDescent="0.25">
      <c r="Q54" s="1" t="s">
        <v>1335</v>
      </c>
      <c r="R54" s="626"/>
      <c r="S54" s="626"/>
      <c r="T54" s="626"/>
      <c r="U54" s="626"/>
      <c r="V54" s="624"/>
      <c r="W54" s="624"/>
      <c r="X54" s="624"/>
    </row>
    <row r="55" spans="4:24" x14ac:dyDescent="0.25">
      <c r="Q55" t="s">
        <v>233</v>
      </c>
      <c r="R55" s="626"/>
      <c r="S55" s="626"/>
      <c r="T55" s="627"/>
      <c r="U55" s="626"/>
      <c r="V55" s="624"/>
      <c r="W55" s="624"/>
      <c r="X55" s="624"/>
    </row>
    <row r="56" spans="4:24" x14ac:dyDescent="0.25">
      <c r="Q56" t="s">
        <v>1336</v>
      </c>
      <c r="R56" s="626"/>
      <c r="S56" s="626"/>
      <c r="T56" s="627"/>
      <c r="U56" s="626"/>
      <c r="V56" s="624"/>
      <c r="W56" s="624"/>
      <c r="X56" s="624"/>
    </row>
    <row r="57" spans="4:24" ht="15.75" thickBot="1" x14ac:dyDescent="0.3">
      <c r="Q57" t="s">
        <v>1335</v>
      </c>
      <c r="R57" s="626"/>
      <c r="S57" s="626"/>
      <c r="T57" s="18">
        <f>T55-T56</f>
        <v>0</v>
      </c>
      <c r="U57" s="626"/>
      <c r="V57" s="624"/>
      <c r="W57" s="624"/>
      <c r="X57" s="624"/>
    </row>
    <row r="58" spans="4:24" ht="15.75" thickTop="1" x14ac:dyDescent="0.25">
      <c r="Q58" s="626"/>
      <c r="R58" s="626"/>
      <c r="S58" s="626"/>
      <c r="T58" s="626"/>
      <c r="U58" s="626"/>
      <c r="V58" s="624"/>
      <c r="W58" s="624"/>
      <c r="X58" s="624"/>
    </row>
    <row r="59" spans="4:24" x14ac:dyDescent="0.25">
      <c r="Q59" s="626"/>
      <c r="R59" s="626"/>
      <c r="S59" s="626"/>
      <c r="T59" s="626"/>
      <c r="U59" s="626"/>
      <c r="V59" s="624"/>
      <c r="W59" s="624"/>
      <c r="X59" s="624"/>
    </row>
    <row r="60" spans="4:24" x14ac:dyDescent="0.25">
      <c r="Q60" s="1" t="s">
        <v>645</v>
      </c>
      <c r="R60"/>
      <c r="S60"/>
      <c r="T60" s="66"/>
      <c r="U60"/>
      <c r="V60" s="624"/>
      <c r="W60" s="624"/>
      <c r="X60" s="624"/>
    </row>
    <row r="61" spans="4:24" x14ac:dyDescent="0.25">
      <c r="Q61" t="s">
        <v>646</v>
      </c>
      <c r="R61"/>
      <c r="S61"/>
      <c r="T61" s="3"/>
      <c r="U61"/>
      <c r="V61" s="624"/>
      <c r="W61" s="624"/>
      <c r="X61" s="624"/>
    </row>
    <row r="62" spans="4:24" x14ac:dyDescent="0.25">
      <c r="Q62" t="s">
        <v>647</v>
      </c>
      <c r="R62"/>
      <c r="S62"/>
      <c r="T62" s="14"/>
      <c r="U62"/>
      <c r="V62" s="624"/>
      <c r="W62" s="624"/>
      <c r="X62" s="624"/>
    </row>
    <row r="63" spans="4:24" x14ac:dyDescent="0.25">
      <c r="Q63" t="s">
        <v>1217</v>
      </c>
      <c r="R63"/>
      <c r="S63"/>
      <c r="T63" s="14"/>
      <c r="U63"/>
      <c r="V63" s="624"/>
      <c r="W63" s="624"/>
      <c r="X63" s="624"/>
    </row>
    <row r="64" spans="4:24" x14ac:dyDescent="0.25">
      <c r="Q64" t="s">
        <v>350</v>
      </c>
      <c r="R64"/>
      <c r="S64"/>
      <c r="T64" s="14"/>
      <c r="U64"/>
      <c r="V64" s="624"/>
      <c r="W64" s="624"/>
      <c r="X64" s="624"/>
    </row>
    <row r="65" spans="17:24" x14ac:dyDescent="0.25">
      <c r="Q65"/>
      <c r="R65"/>
      <c r="S65"/>
      <c r="T65" s="195">
        <f>T61+T62+T64-T63</f>
        <v>0</v>
      </c>
      <c r="U65"/>
      <c r="V65" s="624"/>
      <c r="W65" s="624"/>
      <c r="X65" s="624"/>
    </row>
    <row r="66" spans="17:24" x14ac:dyDescent="0.25">
      <c r="Q66" t="s">
        <v>648</v>
      </c>
      <c r="R66"/>
      <c r="S66"/>
      <c r="T66" s="3">
        <v>0</v>
      </c>
      <c r="U66"/>
      <c r="V66" s="624"/>
      <c r="W66" s="624"/>
      <c r="X66" s="624"/>
    </row>
    <row r="67" spans="17:24" ht="15.75" thickBot="1" x14ac:dyDescent="0.3">
      <c r="Q67" t="s">
        <v>645</v>
      </c>
      <c r="R67"/>
      <c r="S67"/>
      <c r="T67" s="18">
        <f>T65-T66</f>
        <v>0</v>
      </c>
      <c r="U67"/>
      <c r="V67" s="624"/>
      <c r="W67" s="624"/>
      <c r="X67" s="624"/>
    </row>
    <row r="68" spans="17:24" ht="15.75" thickTop="1" x14ac:dyDescent="0.25">
      <c r="Q68"/>
      <c r="R68"/>
      <c r="S68"/>
      <c r="T68" s="66"/>
      <c r="U68"/>
      <c r="V68" s="624"/>
      <c r="W68" s="624"/>
      <c r="X68" s="624"/>
    </row>
    <row r="69" spans="17:24" x14ac:dyDescent="0.25">
      <c r="Q69" s="1" t="s">
        <v>375</v>
      </c>
      <c r="R69"/>
      <c r="S69"/>
      <c r="T69" s="66"/>
      <c r="U69"/>
      <c r="V69" s="624"/>
      <c r="W69" s="624"/>
      <c r="X69" s="624"/>
    </row>
    <row r="70" spans="17:24" x14ac:dyDescent="0.25">
      <c r="Q70" t="s">
        <v>649</v>
      </c>
      <c r="R70"/>
      <c r="S70"/>
      <c r="T70" s="70"/>
      <c r="U70"/>
      <c r="V70" s="624"/>
      <c r="W70" s="624"/>
      <c r="X70" s="624"/>
    </row>
    <row r="71" spans="17:24" x14ac:dyDescent="0.25">
      <c r="Q71" t="s">
        <v>650</v>
      </c>
      <c r="R71"/>
      <c r="S71"/>
      <c r="T71" s="70"/>
      <c r="U71"/>
      <c r="V71" s="624"/>
      <c r="W71" s="624"/>
      <c r="X71" s="624"/>
    </row>
    <row r="72" spans="17:24" x14ac:dyDescent="0.25">
      <c r="Q72" t="s">
        <v>1327</v>
      </c>
      <c r="R72"/>
      <c r="S72"/>
      <c r="T72" s="70"/>
      <c r="U72"/>
      <c r="V72" s="624"/>
      <c r="W72" s="624"/>
      <c r="X72" s="624"/>
    </row>
    <row r="73" spans="17:24" x14ac:dyDescent="0.25">
      <c r="Q73" t="s">
        <v>651</v>
      </c>
      <c r="R73"/>
      <c r="S73"/>
      <c r="T73" s="70"/>
      <c r="U73" s="422" t="s">
        <v>653</v>
      </c>
      <c r="V73" s="624"/>
      <c r="W73" s="624"/>
      <c r="X73" s="624"/>
    </row>
    <row r="74" spans="17:24" x14ac:dyDescent="0.25">
      <c r="Q74"/>
      <c r="R74"/>
      <c r="S74"/>
      <c r="T74" s="130">
        <f>T70+T71-T72+T73</f>
        <v>0</v>
      </c>
      <c r="U74"/>
    </row>
    <row r="75" spans="17:24" x14ac:dyDescent="0.25">
      <c r="Q75" t="s">
        <v>652</v>
      </c>
      <c r="R75"/>
      <c r="S75"/>
      <c r="T75" s="70"/>
      <c r="U75"/>
    </row>
    <row r="76" spans="17:24" ht="15.75" thickBot="1" x14ac:dyDescent="0.3">
      <c r="Q76" t="s">
        <v>375</v>
      </c>
      <c r="R76"/>
      <c r="S76"/>
      <c r="T76" s="94">
        <f>-(T75-T74)</f>
        <v>0</v>
      </c>
      <c r="U76"/>
    </row>
    <row r="77" spans="17:24" ht="15.75" thickTop="1" x14ac:dyDescent="0.25">
      <c r="Q77"/>
      <c r="R77"/>
      <c r="S77"/>
      <c r="T77"/>
      <c r="U77"/>
    </row>
    <row r="78" spans="17:24" x14ac:dyDescent="0.25">
      <c r="Q78"/>
      <c r="R78"/>
      <c r="S78"/>
      <c r="T78"/>
      <c r="U78"/>
    </row>
    <row r="79" spans="17:24" x14ac:dyDescent="0.25">
      <c r="Q79" s="1" t="s">
        <v>1163</v>
      </c>
      <c r="R79"/>
      <c r="S79"/>
      <c r="T79" s="3"/>
      <c r="U79"/>
    </row>
    <row r="80" spans="17:24" x14ac:dyDescent="0.25">
      <c r="Q80"/>
      <c r="R80"/>
      <c r="S80"/>
      <c r="T80"/>
      <c r="U80"/>
    </row>
    <row r="81" spans="17:21" x14ac:dyDescent="0.25">
      <c r="Q81" s="1" t="s">
        <v>1328</v>
      </c>
      <c r="R81" s="626"/>
      <c r="S81" s="626"/>
      <c r="T81" s="626"/>
      <c r="U81" s="626"/>
    </row>
    <row r="82" spans="17:21" x14ac:dyDescent="0.25">
      <c r="Q82" t="s">
        <v>1329</v>
      </c>
      <c r="R82" s="626"/>
      <c r="S82" s="626"/>
      <c r="T82" s="267"/>
      <c r="U82" s="626"/>
    </row>
    <row r="83" spans="17:21" x14ac:dyDescent="0.25">
      <c r="Q83" t="s">
        <v>22</v>
      </c>
      <c r="R83" s="626"/>
      <c r="S83" s="626"/>
      <c r="T83" s="3"/>
      <c r="U83" s="626"/>
    </row>
    <row r="84" spans="17:21" x14ac:dyDescent="0.25">
      <c r="Q84"/>
      <c r="R84" s="626"/>
      <c r="S84" s="626"/>
      <c r="T84" s="130">
        <f>SUM(T82:T83)</f>
        <v>0</v>
      </c>
      <c r="U84" s="626"/>
    </row>
    <row r="85" spans="17:21" x14ac:dyDescent="0.25">
      <c r="Q85" t="s">
        <v>1330</v>
      </c>
      <c r="R85" s="626"/>
      <c r="S85" s="626"/>
      <c r="T85" s="70"/>
      <c r="U85" s="626"/>
    </row>
    <row r="86" spans="17:21" ht="15.75" thickBot="1" x14ac:dyDescent="0.3">
      <c r="Q86" t="s">
        <v>1328</v>
      </c>
      <c r="R86" s="626"/>
      <c r="S86" s="626"/>
      <c r="T86" s="94">
        <f>T85-T84</f>
        <v>0</v>
      </c>
      <c r="U86" s="626"/>
    </row>
    <row r="87" spans="17:21" ht="15.75" thickTop="1" x14ac:dyDescent="0.25">
      <c r="Q87" s="626"/>
      <c r="R87" s="626"/>
      <c r="S87" s="626"/>
      <c r="T87" s="626"/>
      <c r="U87" s="626"/>
    </row>
    <row r="88" spans="17:21" x14ac:dyDescent="0.25">
      <c r="Q88" s="1" t="s">
        <v>1331</v>
      </c>
      <c r="R88" s="626"/>
      <c r="S88" s="626"/>
      <c r="T88" s="626"/>
      <c r="U88" s="626"/>
    </row>
    <row r="89" spans="17:21" x14ac:dyDescent="0.25">
      <c r="Q89" t="s">
        <v>1332</v>
      </c>
      <c r="R89" s="626"/>
      <c r="S89" s="626"/>
      <c r="T89" s="627"/>
      <c r="U89" s="626"/>
    </row>
    <row r="90" spans="17:21" x14ac:dyDescent="0.25">
      <c r="Q90" t="s">
        <v>1333</v>
      </c>
      <c r="R90" s="626"/>
      <c r="S90" s="626"/>
      <c r="T90" s="627"/>
      <c r="U90" s="626"/>
    </row>
    <row r="91" spans="17:21" ht="15.75" thickBot="1" x14ac:dyDescent="0.3">
      <c r="Q91" t="s">
        <v>1334</v>
      </c>
      <c r="R91" s="626"/>
      <c r="S91" s="626"/>
      <c r="T91" s="94">
        <f>T90-T89</f>
        <v>0</v>
      </c>
      <c r="U91" s="626"/>
    </row>
    <row r="92" spans="17:21" ht="15.75" thickTop="1" x14ac:dyDescent="0.25">
      <c r="Q92"/>
      <c r="R92" s="626"/>
      <c r="S92" s="626"/>
      <c r="T92" s="17"/>
      <c r="U92" s="626"/>
    </row>
    <row r="93" spans="17:21" x14ac:dyDescent="0.25">
      <c r="Q93" s="1" t="s">
        <v>1169</v>
      </c>
      <c r="R93" s="626"/>
      <c r="S93" s="626"/>
      <c r="T93" s="626"/>
      <c r="U93" s="626"/>
    </row>
    <row r="94" spans="17:21" x14ac:dyDescent="0.25">
      <c r="Q94" t="s">
        <v>1457</v>
      </c>
      <c r="R94" s="626"/>
      <c r="S94" s="626"/>
      <c r="T94" s="627"/>
      <c r="U94" s="626"/>
    </row>
    <row r="95" spans="17:21" x14ac:dyDescent="0.25">
      <c r="Q95" t="s">
        <v>1458</v>
      </c>
      <c r="R95" s="626"/>
      <c r="S95" s="626"/>
      <c r="T95" s="627"/>
      <c r="U95" s="626"/>
    </row>
    <row r="96" spans="17:21" x14ac:dyDescent="0.25">
      <c r="Q96" s="626"/>
      <c r="R96" s="626"/>
      <c r="S96" s="626"/>
      <c r="T96" s="646">
        <f>SUM(T94:T95)</f>
        <v>0</v>
      </c>
      <c r="U96" s="626"/>
    </row>
    <row r="97" spans="17:21" x14ac:dyDescent="0.25">
      <c r="Q97" t="s">
        <v>1459</v>
      </c>
      <c r="R97" s="626"/>
      <c r="S97" s="626"/>
      <c r="T97" s="627"/>
      <c r="U97" s="626"/>
    </row>
    <row r="98" spans="17:21" ht="15.75" thickBot="1" x14ac:dyDescent="0.3">
      <c r="Q98" t="s">
        <v>1169</v>
      </c>
      <c r="R98" s="626"/>
      <c r="S98" s="626"/>
      <c r="T98" s="647">
        <f>T97-T96</f>
        <v>0</v>
      </c>
      <c r="U98" s="626"/>
    </row>
    <row r="99" spans="17:21" ht="15.75" thickTop="1" x14ac:dyDescent="0.25">
      <c r="Q99" s="626"/>
      <c r="R99" s="626"/>
      <c r="S99" s="626"/>
      <c r="T99" s="626"/>
      <c r="U99" s="626"/>
    </row>
    <row r="100" spans="17:21" x14ac:dyDescent="0.25">
      <c r="Q100" s="626"/>
      <c r="R100" s="626"/>
      <c r="S100" s="626"/>
      <c r="T100" s="626"/>
      <c r="U100" s="626"/>
    </row>
    <row r="101" spans="17:21" x14ac:dyDescent="0.25">
      <c r="Q101" s="1" t="s">
        <v>1460</v>
      </c>
      <c r="R101" s="626"/>
      <c r="S101" s="626"/>
      <c r="T101" s="626"/>
      <c r="U101" s="626"/>
    </row>
    <row r="102" spans="17:21" x14ac:dyDescent="0.25">
      <c r="Q102" t="s">
        <v>1461</v>
      </c>
      <c r="R102" s="626"/>
      <c r="S102" s="626"/>
      <c r="T102" s="3"/>
      <c r="U102" s="626"/>
    </row>
    <row r="103" spans="17:21" x14ac:dyDescent="0.25">
      <c r="Q103" t="s">
        <v>1462</v>
      </c>
      <c r="R103" s="626"/>
      <c r="S103" s="626"/>
      <c r="T103" s="3"/>
      <c r="U103" s="626"/>
    </row>
    <row r="104" spans="17:21" ht="15.75" thickBot="1" x14ac:dyDescent="0.3">
      <c r="Q104" t="s">
        <v>1460</v>
      </c>
      <c r="R104" s="626"/>
      <c r="S104" s="626"/>
      <c r="T104" s="647">
        <f>T102-T103</f>
        <v>0</v>
      </c>
      <c r="U104" s="626"/>
    </row>
    <row r="105" spans="17:21" ht="15.75" thickTop="1" x14ac:dyDescent="0.25">
      <c r="Q105" s="626"/>
      <c r="R105" s="626"/>
      <c r="S105" s="626"/>
      <c r="T105" s="626"/>
      <c r="U105" s="626"/>
    </row>
    <row r="106" spans="17:21" x14ac:dyDescent="0.25">
      <c r="Q106" s="626"/>
      <c r="R106" s="626"/>
      <c r="S106" s="626"/>
      <c r="T106" s="626"/>
      <c r="U106" s="626"/>
    </row>
    <row r="107" spans="17:21" ht="15.75" x14ac:dyDescent="0.25">
      <c r="Q107" s="648" t="s">
        <v>1170</v>
      </c>
      <c r="R107" s="626"/>
      <c r="S107" s="626"/>
      <c r="T107" s="626"/>
      <c r="U107" s="626"/>
    </row>
    <row r="108" spans="17:21" x14ac:dyDescent="0.25">
      <c r="Q108" t="s">
        <v>1457</v>
      </c>
      <c r="R108" s="626"/>
      <c r="S108" s="626"/>
      <c r="T108" s="627"/>
      <c r="U108" s="626"/>
    </row>
    <row r="109" spans="17:21" x14ac:dyDescent="0.25">
      <c r="Q109" t="s">
        <v>1463</v>
      </c>
      <c r="R109" s="626"/>
      <c r="S109" s="626"/>
      <c r="T109" s="627"/>
      <c r="U109" s="626"/>
    </row>
    <row r="110" spans="17:21" x14ac:dyDescent="0.25">
      <c r="Q110"/>
      <c r="R110" s="626"/>
      <c r="S110" s="626"/>
      <c r="T110" s="646">
        <f>SUM(T108:T109)</f>
        <v>0</v>
      </c>
      <c r="U110" s="626"/>
    </row>
    <row r="111" spans="17:21" x14ac:dyDescent="0.25">
      <c r="Q111" t="s">
        <v>1459</v>
      </c>
      <c r="R111" s="626"/>
      <c r="S111" s="626"/>
      <c r="T111" s="627"/>
      <c r="U111" s="626"/>
    </row>
    <row r="112" spans="17:21" x14ac:dyDescent="0.25">
      <c r="Q112" t="s">
        <v>1464</v>
      </c>
      <c r="R112" s="626"/>
      <c r="S112" s="626"/>
      <c r="T112" s="626">
        <f>T110-T111</f>
        <v>0</v>
      </c>
      <c r="U112" s="626"/>
    </row>
    <row r="113" spans="17:21" x14ac:dyDescent="0.25">
      <c r="Q113" t="s">
        <v>1465</v>
      </c>
      <c r="R113" s="626"/>
      <c r="S113" s="626"/>
      <c r="T113" s="627"/>
      <c r="U113" s="626"/>
    </row>
    <row r="114" spans="17:21" ht="15.75" thickBot="1" x14ac:dyDescent="0.3">
      <c r="Q114" t="s">
        <v>1170</v>
      </c>
      <c r="R114" s="626"/>
      <c r="S114" s="626"/>
      <c r="T114" s="647">
        <f>T113+T112</f>
        <v>0</v>
      </c>
      <c r="U114" s="626"/>
    </row>
    <row r="115" spans="17:21" ht="15.75" thickTop="1" x14ac:dyDescent="0.25">
      <c r="Q115" s="626"/>
      <c r="R115" s="626"/>
      <c r="S115" s="626"/>
      <c r="T115" s="626"/>
      <c r="U115" s="626"/>
    </row>
    <row r="116" spans="17:21" x14ac:dyDescent="0.25">
      <c r="Q116" s="626"/>
      <c r="R116" s="626"/>
      <c r="S116" s="626"/>
      <c r="T116" s="626"/>
      <c r="U116" s="626"/>
    </row>
    <row r="117" spans="17:21" ht="15.75" x14ac:dyDescent="0.25">
      <c r="Q117" s="648" t="s">
        <v>1533</v>
      </c>
      <c r="R117" s="626"/>
      <c r="S117" s="626"/>
      <c r="T117" s="626"/>
      <c r="U117" s="626"/>
    </row>
    <row r="118" spans="17:21" x14ac:dyDescent="0.25">
      <c r="Q118" t="s">
        <v>1534</v>
      </c>
      <c r="R118" s="626"/>
      <c r="S118" s="626"/>
      <c r="T118" s="627"/>
      <c r="U118" s="626"/>
    </row>
    <row r="119" spans="17:21" x14ac:dyDescent="0.25">
      <c r="Q119" t="s">
        <v>1535</v>
      </c>
      <c r="R119" s="626"/>
      <c r="S119" s="626"/>
      <c r="T119" s="627"/>
      <c r="U119" s="626"/>
    </row>
    <row r="120" spans="17:21" x14ac:dyDescent="0.25">
      <c r="Q120"/>
      <c r="R120" s="626"/>
      <c r="S120" s="626"/>
      <c r="T120" s="668">
        <f>T118+T119</f>
        <v>0</v>
      </c>
      <c r="U120" s="626"/>
    </row>
    <row r="121" spans="17:21" x14ac:dyDescent="0.25">
      <c r="Q121" t="s">
        <v>1536</v>
      </c>
      <c r="R121" s="626"/>
      <c r="S121" s="626"/>
      <c r="T121" s="627"/>
      <c r="U121" s="626"/>
    </row>
    <row r="122" spans="17:21" ht="15.75" thickBot="1" x14ac:dyDescent="0.3">
      <c r="Q122" t="s">
        <v>1166</v>
      </c>
      <c r="R122" s="626"/>
      <c r="S122" s="626"/>
      <c r="T122" s="647">
        <f>T120-T121</f>
        <v>0</v>
      </c>
      <c r="U122" s="626"/>
    </row>
    <row r="123" spans="17:21" ht="15.75" thickTop="1" x14ac:dyDescent="0.25">
      <c r="Q123" s="626"/>
      <c r="R123" s="626"/>
      <c r="S123" s="626"/>
      <c r="T123" s="626"/>
      <c r="U123" s="626"/>
    </row>
    <row r="124" spans="17:21" x14ac:dyDescent="0.25">
      <c r="Q124" s="626"/>
      <c r="R124" s="626"/>
      <c r="S124" s="626"/>
      <c r="T124" s="626"/>
      <c r="U124" s="626"/>
    </row>
    <row r="125" spans="17:21" x14ac:dyDescent="0.25">
      <c r="Q125" s="626"/>
      <c r="R125" s="626"/>
      <c r="S125" s="626"/>
      <c r="T125" s="626"/>
      <c r="U125" s="626"/>
    </row>
    <row r="126" spans="17:21" x14ac:dyDescent="0.25">
      <c r="Q126" s="626"/>
      <c r="R126" s="626"/>
      <c r="S126" s="626"/>
      <c r="T126" s="626"/>
      <c r="U126" s="626"/>
    </row>
    <row r="127" spans="17:21" x14ac:dyDescent="0.25">
      <c r="Q127" s="626"/>
      <c r="R127" s="626"/>
      <c r="S127" s="626"/>
      <c r="T127" s="626"/>
      <c r="U127" s="626"/>
    </row>
    <row r="128" spans="17:21" x14ac:dyDescent="0.25">
      <c r="Q128" s="626"/>
      <c r="R128" s="626"/>
      <c r="S128" s="626"/>
      <c r="T128" s="626"/>
      <c r="U128" s="626"/>
    </row>
  </sheetData>
  <mergeCells count="2">
    <mergeCell ref="C2:C4"/>
    <mergeCell ref="D38:E38"/>
  </mergeCells>
  <conditionalFormatting sqref="D38">
    <cfRule type="cellIs" dxfId="3" priority="1" operator="lessThan">
      <formula>0</formula>
    </cfRule>
    <cfRule type="cellIs" dxfId="2" priority="2" operator="greaterThan">
      <formula>0</formula>
    </cfRule>
  </conditionalFormatting>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A2722-EBF2-4430-A32B-378083E50703}">
  <sheetPr>
    <tabColor theme="7" tint="0.79998168889431442"/>
  </sheetPr>
  <dimension ref="B1:R118"/>
  <sheetViews>
    <sheetView zoomScale="80" zoomScaleNormal="80" workbookViewId="0">
      <pane ySplit="5" topLeftCell="A98" activePane="bottomLeft" state="frozen"/>
      <selection pane="bottomLeft"/>
    </sheetView>
  </sheetViews>
  <sheetFormatPr defaultColWidth="3.5703125" defaultRowHeight="15" x14ac:dyDescent="0.25"/>
  <cols>
    <col min="1" max="1" width="3.5703125" style="597"/>
    <col min="2" max="2" width="73.7109375" style="597" customWidth="1"/>
    <col min="3" max="3" width="104" style="616" hidden="1" customWidth="1"/>
    <col min="4" max="5" width="17.28515625" style="618" customWidth="1"/>
    <col min="6" max="8" width="3.5703125" style="597"/>
    <col min="9" max="9" width="65.5703125" style="597" bestFit="1" customWidth="1"/>
    <col min="10" max="10" width="12.28515625" style="597" customWidth="1"/>
    <col min="11" max="11" width="24.28515625" style="597" bestFit="1" customWidth="1"/>
    <col min="12" max="12" width="25.85546875" style="597" customWidth="1"/>
    <col min="13" max="13" width="19.5703125" style="597" customWidth="1"/>
    <col min="14" max="14" width="3.5703125" style="597"/>
    <col min="15" max="15" width="6.28515625" style="597" bestFit="1" customWidth="1"/>
    <col min="16" max="16" width="6" style="597" bestFit="1" customWidth="1"/>
    <col min="17" max="17" width="3.5703125" style="597"/>
    <col min="18" max="18" width="6.28515625" style="597" bestFit="1" customWidth="1"/>
    <col min="19" max="16384" width="3.5703125" style="597"/>
  </cols>
  <sheetData>
    <row r="1" spans="2:18" x14ac:dyDescent="0.25">
      <c r="I1" s="274"/>
      <c r="J1" s="274"/>
      <c r="K1" s="757" t="s">
        <v>1044</v>
      </c>
      <c r="L1" s="757" t="s">
        <v>1045</v>
      </c>
    </row>
    <row r="2" spans="2:18" ht="18.75" customHeight="1" x14ac:dyDescent="0.25">
      <c r="B2" s="599" t="s">
        <v>654</v>
      </c>
      <c r="C2" s="874" t="s">
        <v>655</v>
      </c>
      <c r="D2" s="603"/>
      <c r="E2" s="603"/>
      <c r="I2" s="273" t="s">
        <v>92</v>
      </c>
      <c r="J2" s="274"/>
      <c r="K2" s="758" t="s">
        <v>10</v>
      </c>
      <c r="L2" s="758" t="s">
        <v>10</v>
      </c>
    </row>
    <row r="3" spans="2:18" ht="18.75" customHeight="1" x14ac:dyDescent="0.25">
      <c r="B3" s="600" t="s">
        <v>1287</v>
      </c>
      <c r="C3" s="875"/>
      <c r="D3" s="603"/>
      <c r="E3" s="603"/>
      <c r="I3" s="274" t="s">
        <v>1172</v>
      </c>
      <c r="J3" s="274"/>
      <c r="K3" s="3"/>
      <c r="L3" s="3"/>
    </row>
    <row r="4" spans="2:18" ht="18.75" customHeight="1" thickBot="1" x14ac:dyDescent="0.3">
      <c r="B4" s="601" t="s">
        <v>717</v>
      </c>
      <c r="C4" s="876"/>
      <c r="D4" s="603"/>
      <c r="E4" s="603"/>
      <c r="I4" s="274" t="s">
        <v>85</v>
      </c>
      <c r="J4" s="274"/>
      <c r="K4" s="3"/>
      <c r="L4" s="3"/>
    </row>
    <row r="5" spans="2:18" ht="18.75" customHeight="1" thickBot="1" x14ac:dyDescent="0.3">
      <c r="B5" s="602"/>
      <c r="C5" s="604" t="s">
        <v>663</v>
      </c>
      <c r="D5" s="605" t="s">
        <v>10</v>
      </c>
      <c r="E5" s="605" t="s">
        <v>10</v>
      </c>
      <c r="I5" s="274"/>
      <c r="J5" s="274"/>
      <c r="K5" s="759">
        <f>SUM(K3:K4)</f>
        <v>0</v>
      </c>
      <c r="L5" s="759">
        <f>SUM(L3:L4)</f>
        <v>0</v>
      </c>
    </row>
    <row r="6" spans="2:18" ht="18.75" customHeight="1" thickTop="1" x14ac:dyDescent="0.25">
      <c r="B6" s="600" t="s">
        <v>1218</v>
      </c>
      <c r="C6" s="598"/>
      <c r="D6" s="606"/>
      <c r="E6" s="606"/>
    </row>
    <row r="7" spans="2:18" ht="18.75" customHeight="1" x14ac:dyDescent="0.25">
      <c r="B7" s="602" t="s">
        <v>1313</v>
      </c>
      <c r="C7" s="598" t="s">
        <v>1314</v>
      </c>
      <c r="D7" s="607">
        <f>'Adjustments for cash flow'!C15</f>
        <v>0</v>
      </c>
      <c r="E7" s="606"/>
      <c r="I7" s="273" t="s">
        <v>624</v>
      </c>
      <c r="J7" s="274"/>
      <c r="K7" s="274"/>
      <c r="L7" s="274"/>
      <c r="M7" s="274"/>
      <c r="N7" s="274"/>
    </row>
    <row r="8" spans="2:18" ht="18.75" customHeight="1" x14ac:dyDescent="0.25">
      <c r="B8" s="602" t="s">
        <v>1189</v>
      </c>
      <c r="C8" s="598"/>
      <c r="D8" s="619"/>
      <c r="E8" s="606"/>
      <c r="I8" s="274"/>
      <c r="J8" s="274" t="s">
        <v>56</v>
      </c>
      <c r="K8" s="274" t="s">
        <v>625</v>
      </c>
      <c r="L8" s="274" t="s">
        <v>86</v>
      </c>
      <c r="M8" s="274" t="s">
        <v>119</v>
      </c>
      <c r="N8" s="274"/>
    </row>
    <row r="9" spans="2:18" ht="18.75" customHeight="1" x14ac:dyDescent="0.25">
      <c r="B9" s="620" t="s">
        <v>1315</v>
      </c>
      <c r="C9" s="598" t="s">
        <v>1316</v>
      </c>
      <c r="D9" s="763">
        <f>'Adjustments for cash flow'!D15</f>
        <v>0</v>
      </c>
      <c r="E9" s="606"/>
      <c r="I9" s="274"/>
      <c r="J9" s="758" t="s">
        <v>10</v>
      </c>
      <c r="K9" s="758" t="s">
        <v>10</v>
      </c>
      <c r="L9" s="758" t="s">
        <v>10</v>
      </c>
      <c r="M9" s="758" t="s">
        <v>10</v>
      </c>
      <c r="N9" s="274"/>
      <c r="R9" s="625" t="s">
        <v>1192</v>
      </c>
    </row>
    <row r="10" spans="2:18" ht="18.75" customHeight="1" x14ac:dyDescent="0.25">
      <c r="B10" s="620" t="s">
        <v>1317</v>
      </c>
      <c r="C10" s="598" t="s">
        <v>1316</v>
      </c>
      <c r="D10" s="763"/>
      <c r="E10" s="606"/>
      <c r="I10" s="274" t="s">
        <v>626</v>
      </c>
      <c r="J10" s="14">
        <v>27924</v>
      </c>
      <c r="K10" s="14">
        <v>15374</v>
      </c>
      <c r="L10" s="14">
        <v>19582</v>
      </c>
      <c r="M10" s="3"/>
      <c r="N10" s="274"/>
      <c r="R10" s="625" t="s">
        <v>1191</v>
      </c>
    </row>
    <row r="11" spans="2:18" ht="18.75" customHeight="1" x14ac:dyDescent="0.25">
      <c r="B11" s="620" t="s">
        <v>1318</v>
      </c>
      <c r="C11" s="598" t="s">
        <v>1316</v>
      </c>
      <c r="D11" s="763">
        <f>'Adjustments for cash flow'!H15</f>
        <v>0</v>
      </c>
      <c r="E11" s="606"/>
      <c r="I11" s="274" t="s">
        <v>1190</v>
      </c>
      <c r="J11" s="14"/>
      <c r="K11" s="14"/>
      <c r="L11" s="14"/>
      <c r="M11" s="3"/>
      <c r="N11" s="274"/>
    </row>
    <row r="12" spans="2:18" ht="18.75" customHeight="1" x14ac:dyDescent="0.25">
      <c r="B12" s="620" t="s">
        <v>1319</v>
      </c>
      <c r="C12" s="598" t="s">
        <v>1316</v>
      </c>
      <c r="D12" s="763"/>
      <c r="E12" s="606"/>
      <c r="I12" s="274" t="s">
        <v>627</v>
      </c>
      <c r="J12" s="14">
        <v>32852</v>
      </c>
      <c r="K12" s="14">
        <v>13369</v>
      </c>
      <c r="L12" s="14">
        <v>17001</v>
      </c>
      <c r="M12" s="3"/>
      <c r="N12" s="274"/>
    </row>
    <row r="13" spans="2:18" ht="18.75" customHeight="1" thickBot="1" x14ac:dyDescent="0.3">
      <c r="B13" s="620" t="s">
        <v>1320</v>
      </c>
      <c r="C13" s="598" t="s">
        <v>1316</v>
      </c>
      <c r="D13" s="763">
        <f>'Adjustments for cash flow'!I15</f>
        <v>0</v>
      </c>
      <c r="E13" s="606"/>
      <c r="I13" s="274" t="s">
        <v>628</v>
      </c>
      <c r="J13" s="367">
        <f>J12-J10-J11</f>
        <v>4928</v>
      </c>
      <c r="K13" s="367">
        <f>K12-K10-K11</f>
        <v>-2005</v>
      </c>
      <c r="L13" s="367">
        <f>L12-L10-L11</f>
        <v>-2581</v>
      </c>
      <c r="M13" s="367">
        <f>M12-M10-M11</f>
        <v>0</v>
      </c>
      <c r="N13" s="274"/>
    </row>
    <row r="14" spans="2:18" ht="18.75" customHeight="1" thickTop="1" x14ac:dyDescent="0.25">
      <c r="B14" s="620" t="s">
        <v>1321</v>
      </c>
      <c r="C14" s="598" t="s">
        <v>1316</v>
      </c>
      <c r="D14" s="763"/>
      <c r="E14" s="606"/>
      <c r="I14" s="273" t="s">
        <v>1165</v>
      </c>
      <c r="J14" s="274"/>
      <c r="K14" s="274"/>
      <c r="L14" s="760"/>
      <c r="M14" s="760">
        <f>-(J13+K13+L13+M13)</f>
        <v>-342</v>
      </c>
      <c r="N14" s="274"/>
    </row>
    <row r="15" spans="2:18" ht="18.75" customHeight="1" x14ac:dyDescent="0.25">
      <c r="B15" s="620" t="s">
        <v>1322</v>
      </c>
      <c r="C15" s="598" t="s">
        <v>1316</v>
      </c>
      <c r="D15" s="763"/>
      <c r="E15" s="606"/>
      <c r="I15" s="274"/>
      <c r="J15" s="274"/>
      <c r="K15" s="274"/>
      <c r="L15" s="274"/>
      <c r="M15" s="274"/>
      <c r="N15" s="274"/>
    </row>
    <row r="16" spans="2:18" ht="18.75" customHeight="1" x14ac:dyDescent="0.25">
      <c r="B16" s="620" t="s">
        <v>1323</v>
      </c>
      <c r="C16" s="598" t="s">
        <v>1316</v>
      </c>
      <c r="D16" s="763"/>
      <c r="E16" s="606"/>
      <c r="I16" s="274"/>
      <c r="J16" s="274"/>
      <c r="K16" s="274"/>
      <c r="L16" s="274"/>
      <c r="M16" s="274"/>
      <c r="N16" s="274"/>
    </row>
    <row r="17" spans="2:14" ht="18.75" customHeight="1" x14ac:dyDescent="0.25">
      <c r="B17" s="620" t="s">
        <v>1324</v>
      </c>
      <c r="C17" s="598" t="s">
        <v>1316</v>
      </c>
      <c r="D17" s="763"/>
      <c r="E17" s="606"/>
      <c r="I17" s="274" t="s">
        <v>1326</v>
      </c>
      <c r="J17" s="274"/>
      <c r="K17" s="274"/>
      <c r="L17" s="274"/>
      <c r="M17" s="274"/>
      <c r="N17" s="274"/>
    </row>
    <row r="18" spans="2:14" ht="18.75" customHeight="1" x14ac:dyDescent="0.25">
      <c r="B18" s="620" t="s">
        <v>647</v>
      </c>
      <c r="C18" s="598" t="s">
        <v>1316</v>
      </c>
      <c r="D18" s="763"/>
      <c r="E18" s="606"/>
    </row>
    <row r="19" spans="2:14" ht="18.75" customHeight="1" x14ac:dyDescent="0.25">
      <c r="B19" s="620" t="s">
        <v>631</v>
      </c>
      <c r="C19" s="598" t="s">
        <v>1316</v>
      </c>
      <c r="D19" s="764">
        <v>1068</v>
      </c>
      <c r="E19" s="606"/>
      <c r="I19" s="273" t="s">
        <v>629</v>
      </c>
      <c r="J19" s="274"/>
      <c r="K19" s="274"/>
      <c r="L19"/>
    </row>
    <row r="20" spans="2:14" ht="18.75" customHeight="1" x14ac:dyDescent="0.25">
      <c r="B20" s="620"/>
      <c r="C20" s="598"/>
      <c r="D20" s="622">
        <f>SUM(D7:D19)</f>
        <v>1068</v>
      </c>
      <c r="E20" s="606"/>
      <c r="I20" s="274" t="s">
        <v>630</v>
      </c>
      <c r="J20" s="274"/>
      <c r="K20" s="274"/>
      <c r="L20" s="14"/>
      <c r="M20" s="597" t="str">
        <f ca="1">IFERROR(_xlfn.FORMULATEXT(L20)," ")</f>
        <v xml:space="preserve"> </v>
      </c>
    </row>
    <row r="21" spans="2:14" ht="18.75" customHeight="1" x14ac:dyDescent="0.25">
      <c r="B21" s="620" t="str">
        <f>IF(D21&lt;0,"Increase in inventories","Decrease in inventories")</f>
        <v>Increase in inventories</v>
      </c>
      <c r="C21" s="598" t="s">
        <v>1316</v>
      </c>
      <c r="D21" s="621">
        <f>-J13</f>
        <v>-4928</v>
      </c>
      <c r="E21" s="606"/>
      <c r="I21" s="274" t="s">
        <v>631</v>
      </c>
      <c r="J21" s="274"/>
      <c r="K21" s="274"/>
      <c r="L21" s="14"/>
      <c r="M21" s="597" t="str">
        <f t="shared" ref="M21:M82" ca="1" si="0">IFERROR(_xlfn.FORMULATEXT(L21)," ")</f>
        <v xml:space="preserve"> </v>
      </c>
    </row>
    <row r="22" spans="2:14" ht="18.75" customHeight="1" x14ac:dyDescent="0.25">
      <c r="B22" s="620" t="str">
        <f>IF(D22&lt;0,"Increase in trade and other receivables","Decrease in trade and other receivables")</f>
        <v>Decrease in trade and other receivables</v>
      </c>
      <c r="C22" s="598" t="s">
        <v>1316</v>
      </c>
      <c r="D22" s="621">
        <f>-K13</f>
        <v>2005</v>
      </c>
      <c r="E22" s="606"/>
      <c r="I22" s="274" t="s">
        <v>632</v>
      </c>
      <c r="J22" s="274"/>
      <c r="K22" s="274"/>
      <c r="L22" s="14"/>
      <c r="M22" s="597" t="str">
        <f t="shared" ca="1" si="0"/>
        <v xml:space="preserve"> </v>
      </c>
    </row>
    <row r="23" spans="2:14" ht="18.75" customHeight="1" x14ac:dyDescent="0.25">
      <c r="B23" s="620" t="str">
        <f>IF(D23&gt;0,"Increase in trade and other payables","Decrease in trade and other payables")</f>
        <v>Decrease in trade and other payables</v>
      </c>
      <c r="C23" s="598" t="s">
        <v>1316</v>
      </c>
      <c r="D23" s="607">
        <f>L13</f>
        <v>-2581</v>
      </c>
      <c r="E23" s="606"/>
      <c r="I23" s="274" t="s">
        <v>644</v>
      </c>
      <c r="J23" s="274"/>
      <c r="K23" s="274"/>
      <c r="L23" s="14"/>
      <c r="M23" s="597" t="str">
        <f t="shared" ca="1" si="0"/>
        <v xml:space="preserve"> </v>
      </c>
    </row>
    <row r="24" spans="2:14" ht="18.75" customHeight="1" x14ac:dyDescent="0.25">
      <c r="B24" s="620" t="str">
        <f>IF(D24&gt;0,"Increase in provisions","Decrease in provisions")</f>
        <v>Decrease in provisions</v>
      </c>
      <c r="C24" s="598" t="s">
        <v>1316</v>
      </c>
      <c r="D24" s="607">
        <f>M13</f>
        <v>0</v>
      </c>
      <c r="E24" s="606"/>
      <c r="I24" s="274"/>
      <c r="J24" s="274"/>
      <c r="K24" s="274"/>
      <c r="L24" s="130">
        <f>L20+L21-L23+L22</f>
        <v>0</v>
      </c>
    </row>
    <row r="25" spans="2:14" ht="18.75" customHeight="1" x14ac:dyDescent="0.25">
      <c r="B25" s="602" t="s">
        <v>1164</v>
      </c>
      <c r="C25" s="598"/>
      <c r="D25" s="609">
        <f>SUM(D20:D24)</f>
        <v>-4436</v>
      </c>
      <c r="E25" s="606"/>
      <c r="I25" s="274" t="s">
        <v>633</v>
      </c>
      <c r="J25" s="274"/>
      <c r="K25" s="274"/>
      <c r="L25" s="14"/>
      <c r="M25" s="597" t="str">
        <f t="shared" ca="1" si="0"/>
        <v xml:space="preserve"> </v>
      </c>
    </row>
    <row r="26" spans="2:14" ht="18.75" customHeight="1" thickBot="1" x14ac:dyDescent="0.3">
      <c r="B26" s="602" t="s">
        <v>629</v>
      </c>
      <c r="C26" s="598" t="s">
        <v>1288</v>
      </c>
      <c r="D26" s="607">
        <f>-L26</f>
        <v>0</v>
      </c>
      <c r="E26" s="606"/>
      <c r="I26" s="274" t="s">
        <v>629</v>
      </c>
      <c r="J26" s="274"/>
      <c r="K26" s="274"/>
      <c r="L26" s="761">
        <f>L24-L25</f>
        <v>0</v>
      </c>
    </row>
    <row r="27" spans="2:14" ht="18.75" customHeight="1" thickTop="1" x14ac:dyDescent="0.25">
      <c r="B27" s="602" t="s">
        <v>634</v>
      </c>
      <c r="C27" s="598"/>
      <c r="D27" s="608">
        <f>-L35</f>
        <v>0</v>
      </c>
      <c r="E27" s="606"/>
      <c r="I27" s="274"/>
      <c r="J27" s="274"/>
      <c r="K27" s="274"/>
      <c r="L27" s="274"/>
      <c r="M27" s="597" t="str">
        <f t="shared" ca="1" si="0"/>
        <v xml:space="preserve"> </v>
      </c>
    </row>
    <row r="28" spans="2:14" ht="18.75" customHeight="1" x14ac:dyDescent="0.25">
      <c r="B28" s="610" t="s">
        <v>1289</v>
      </c>
      <c r="C28" s="598" t="s">
        <v>1290</v>
      </c>
      <c r="D28" s="611"/>
      <c r="E28" s="612">
        <f>SUM(D25:D27)</f>
        <v>-4436</v>
      </c>
      <c r="I28" s="273" t="s">
        <v>634</v>
      </c>
      <c r="J28" s="274"/>
      <c r="K28" s="274"/>
      <c r="L28" s="274"/>
      <c r="M28" s="597" t="str">
        <f t="shared" ca="1" si="0"/>
        <v xml:space="preserve"> </v>
      </c>
    </row>
    <row r="29" spans="2:14" ht="18.75" customHeight="1" x14ac:dyDescent="0.25">
      <c r="B29" s="602"/>
      <c r="C29" s="598"/>
      <c r="D29" s="606"/>
      <c r="E29" s="606"/>
      <c r="I29" s="274" t="s">
        <v>635</v>
      </c>
      <c r="J29" s="274"/>
      <c r="K29" s="14"/>
      <c r="L29" s="279"/>
      <c r="M29" s="597" t="str">
        <f t="shared" ca="1" si="0"/>
        <v xml:space="preserve"> </v>
      </c>
    </row>
    <row r="30" spans="2:14" ht="18.75" customHeight="1" x14ac:dyDescent="0.25">
      <c r="B30" s="600" t="s">
        <v>1219</v>
      </c>
      <c r="C30" s="598" t="s">
        <v>667</v>
      </c>
      <c r="D30" s="606"/>
      <c r="E30" s="606"/>
      <c r="I30" s="274" t="s">
        <v>636</v>
      </c>
      <c r="J30" s="274"/>
      <c r="K30" s="14"/>
      <c r="L30" s="279">
        <f>K30+K29</f>
        <v>0</v>
      </c>
    </row>
    <row r="31" spans="2:14" ht="18.75" customHeight="1" x14ac:dyDescent="0.25">
      <c r="B31" s="602" t="s">
        <v>1291</v>
      </c>
      <c r="C31" s="598"/>
      <c r="D31" s="607"/>
      <c r="E31" s="606"/>
      <c r="I31" s="274" t="s">
        <v>1</v>
      </c>
      <c r="J31" s="274"/>
      <c r="K31" s="279"/>
      <c r="L31" s="14"/>
      <c r="M31" s="597" t="str">
        <f t="shared" ca="1" si="0"/>
        <v xml:space="preserve"> </v>
      </c>
    </row>
    <row r="32" spans="2:14" ht="18.75" customHeight="1" x14ac:dyDescent="0.25">
      <c r="B32" s="602" t="s">
        <v>1292</v>
      </c>
      <c r="C32" s="598"/>
      <c r="D32" s="607"/>
      <c r="E32" s="606"/>
      <c r="I32" s="274"/>
      <c r="J32" s="274"/>
      <c r="K32" s="279"/>
      <c r="L32" s="279">
        <f>L30+L31</f>
        <v>0</v>
      </c>
    </row>
    <row r="33" spans="2:13" ht="18.75" customHeight="1" x14ac:dyDescent="0.25">
      <c r="B33" s="602" t="s">
        <v>1293</v>
      </c>
      <c r="C33" s="598" t="s">
        <v>1294</v>
      </c>
      <c r="D33" s="607">
        <f>-L45</f>
        <v>0</v>
      </c>
      <c r="E33" s="606"/>
      <c r="I33" s="274" t="s">
        <v>637</v>
      </c>
      <c r="J33" s="274"/>
      <c r="K33" s="14"/>
      <c r="L33" s="279"/>
      <c r="M33" s="597" t="str">
        <f t="shared" ca="1" si="0"/>
        <v xml:space="preserve"> </v>
      </c>
    </row>
    <row r="34" spans="2:13" ht="18.75" customHeight="1" x14ac:dyDescent="0.25">
      <c r="B34" s="602" t="s">
        <v>1295</v>
      </c>
      <c r="C34" s="598" t="s">
        <v>1294</v>
      </c>
      <c r="D34" s="607">
        <f>L50</f>
        <v>0</v>
      </c>
      <c r="E34" s="606"/>
      <c r="I34" s="274" t="s">
        <v>638</v>
      </c>
      <c r="J34" s="274"/>
      <c r="K34" s="14"/>
      <c r="L34" s="279">
        <f>K34+K33</f>
        <v>0</v>
      </c>
    </row>
    <row r="35" spans="2:13" ht="18.75" customHeight="1" thickBot="1" x14ac:dyDescent="0.3">
      <c r="B35" s="602" t="s">
        <v>1296</v>
      </c>
      <c r="C35" s="598" t="s">
        <v>1297</v>
      </c>
      <c r="D35" s="607">
        <f>-L92</f>
        <v>0</v>
      </c>
      <c r="E35" s="606"/>
      <c r="I35" s="274" t="s">
        <v>634</v>
      </c>
      <c r="J35" s="274"/>
      <c r="K35" s="279"/>
      <c r="L35" s="761">
        <f>L32-L34</f>
        <v>0</v>
      </c>
    </row>
    <row r="36" spans="2:13" ht="18.75" customHeight="1" thickTop="1" x14ac:dyDescent="0.25">
      <c r="B36" s="602" t="s">
        <v>1298</v>
      </c>
      <c r="C36" s="598" t="s">
        <v>1297</v>
      </c>
      <c r="D36" s="607"/>
      <c r="E36" s="606"/>
      <c r="I36" s="274"/>
      <c r="J36" s="274"/>
      <c r="K36" s="274"/>
      <c r="L36" s="274"/>
      <c r="M36" s="597" t="str">
        <f t="shared" ca="1" si="0"/>
        <v xml:space="preserve"> </v>
      </c>
    </row>
    <row r="37" spans="2:13" ht="18.75" customHeight="1" x14ac:dyDescent="0.25">
      <c r="B37" s="602" t="s">
        <v>645</v>
      </c>
      <c r="C37" s="598" t="s">
        <v>1299</v>
      </c>
      <c r="D37" s="607">
        <f>L60</f>
        <v>0</v>
      </c>
      <c r="E37" s="606"/>
      <c r="I37" s="273" t="s">
        <v>639</v>
      </c>
      <c r="J37" s="274"/>
      <c r="K37" s="274"/>
      <c r="L37" s="274"/>
      <c r="M37" s="597" t="str">
        <f t="shared" ca="1" si="0"/>
        <v xml:space="preserve"> </v>
      </c>
    </row>
    <row r="38" spans="2:13" ht="18.75" customHeight="1" x14ac:dyDescent="0.25">
      <c r="B38" s="602" t="s">
        <v>1163</v>
      </c>
      <c r="C38" s="598" t="s">
        <v>1299</v>
      </c>
      <c r="D38" s="608">
        <f>L71</f>
        <v>0</v>
      </c>
      <c r="E38" s="606"/>
      <c r="I38" s="274" t="s">
        <v>640</v>
      </c>
      <c r="J38" s="274"/>
      <c r="K38" s="274"/>
      <c r="L38" s="14"/>
      <c r="M38" s="597" t="str">
        <f t="shared" ca="1" si="0"/>
        <v xml:space="preserve"> </v>
      </c>
    </row>
    <row r="39" spans="2:13" ht="18.75" customHeight="1" x14ac:dyDescent="0.25">
      <c r="B39" s="610" t="s">
        <v>1300</v>
      </c>
      <c r="C39" s="598" t="s">
        <v>1290</v>
      </c>
      <c r="D39" s="611"/>
      <c r="E39" s="612">
        <f>SUM(D31:D38)</f>
        <v>0</v>
      </c>
      <c r="I39" s="274" t="s">
        <v>1907</v>
      </c>
      <c r="J39" s="274"/>
      <c r="K39" s="274"/>
      <c r="L39" s="14"/>
      <c r="M39" s="597" t="str">
        <f t="shared" ca="1" si="0"/>
        <v xml:space="preserve"> </v>
      </c>
    </row>
    <row r="40" spans="2:13" ht="18.75" customHeight="1" x14ac:dyDescent="0.25">
      <c r="B40" s="602"/>
      <c r="C40" s="598"/>
      <c r="D40" s="606"/>
      <c r="E40" s="606"/>
      <c r="I40" s="274" t="s">
        <v>643</v>
      </c>
      <c r="J40" s="274"/>
      <c r="K40" s="274"/>
      <c r="L40" s="14"/>
      <c r="M40" s="597" t="str">
        <f t="shared" ca="1" si="0"/>
        <v xml:space="preserve"> </v>
      </c>
    </row>
    <row r="41" spans="2:13" ht="18.75" customHeight="1" x14ac:dyDescent="0.25">
      <c r="B41" s="600" t="s">
        <v>1167</v>
      </c>
      <c r="C41" s="598"/>
      <c r="D41" s="606"/>
      <c r="E41" s="606"/>
      <c r="I41" s="274" t="s">
        <v>1273</v>
      </c>
      <c r="J41" s="274"/>
      <c r="K41" s="274"/>
      <c r="L41" s="14"/>
      <c r="M41" s="597" t="str">
        <f t="shared" ca="1" si="0"/>
        <v xml:space="preserve"> </v>
      </c>
    </row>
    <row r="42" spans="2:13" ht="18.75" customHeight="1" x14ac:dyDescent="0.25">
      <c r="B42" s="602" t="s">
        <v>1168</v>
      </c>
      <c r="C42" s="598"/>
      <c r="D42" s="607">
        <f>L79</f>
        <v>0</v>
      </c>
      <c r="E42" s="606"/>
      <c r="I42" s="274" t="s">
        <v>1274</v>
      </c>
      <c r="J42" s="274"/>
      <c r="K42" s="274"/>
      <c r="L42" s="14"/>
      <c r="M42" s="597" t="str">
        <f t="shared" ca="1" si="0"/>
        <v xml:space="preserve"> </v>
      </c>
    </row>
    <row r="43" spans="2:13" ht="18.75" customHeight="1" x14ac:dyDescent="0.25">
      <c r="B43" s="602" t="s">
        <v>1301</v>
      </c>
      <c r="C43" s="598"/>
      <c r="D43" s="607"/>
      <c r="E43" s="606"/>
      <c r="I43" s="274"/>
      <c r="J43" s="274"/>
      <c r="K43" s="274"/>
      <c r="L43" s="130">
        <f>L38-L40+L39-L41+L42</f>
        <v>0</v>
      </c>
    </row>
    <row r="44" spans="2:13" ht="18.75" customHeight="1" x14ac:dyDescent="0.25">
      <c r="B44" s="602" t="s">
        <v>1302</v>
      </c>
      <c r="C44" s="598" t="s">
        <v>1303</v>
      </c>
      <c r="D44" s="607">
        <f>L85</f>
        <v>0</v>
      </c>
      <c r="E44" s="606"/>
      <c r="I44" s="274" t="s">
        <v>642</v>
      </c>
      <c r="J44" s="274"/>
      <c r="K44" s="274"/>
      <c r="L44" s="14">
        <f>'Adjustments for cash flow'!J15</f>
        <v>0</v>
      </c>
    </row>
    <row r="45" spans="2:13" ht="18.75" customHeight="1" thickBot="1" x14ac:dyDescent="0.3">
      <c r="B45" s="602" t="s">
        <v>1304</v>
      </c>
      <c r="C45" s="598" t="s">
        <v>1305</v>
      </c>
      <c r="D45" s="607">
        <f>-L100</f>
        <v>0</v>
      </c>
      <c r="E45" s="606"/>
      <c r="I45" s="274" t="s">
        <v>639</v>
      </c>
      <c r="J45" s="274"/>
      <c r="K45" s="274"/>
      <c r="L45" s="18">
        <f>L44-L43</f>
        <v>0</v>
      </c>
    </row>
    <row r="46" spans="2:13" ht="18.75" customHeight="1" thickTop="1" x14ac:dyDescent="0.25">
      <c r="B46" s="602" t="s">
        <v>1166</v>
      </c>
      <c r="C46" s="598"/>
      <c r="D46" s="607">
        <f>-L108</f>
        <v>0</v>
      </c>
      <c r="E46" s="606"/>
      <c r="I46" s="274"/>
      <c r="J46" s="274"/>
      <c r="K46" s="274"/>
      <c r="L46" s="440"/>
      <c r="M46" s="597" t="str">
        <f t="shared" ca="1" si="0"/>
        <v xml:space="preserve"> </v>
      </c>
    </row>
    <row r="47" spans="2:13" ht="18.75" customHeight="1" x14ac:dyDescent="0.25">
      <c r="B47" s="602" t="s">
        <v>1827</v>
      </c>
      <c r="C47" s="598"/>
      <c r="D47" s="607"/>
      <c r="E47" s="606"/>
      <c r="I47" s="273" t="s">
        <v>1335</v>
      </c>
      <c r="J47" s="755"/>
      <c r="K47" s="755"/>
      <c r="L47" s="755"/>
      <c r="M47" s="597" t="str">
        <f t="shared" ca="1" si="0"/>
        <v xml:space="preserve"> </v>
      </c>
    </row>
    <row r="48" spans="2:13" ht="18.75" customHeight="1" x14ac:dyDescent="0.25">
      <c r="B48" s="602" t="s">
        <v>1826</v>
      </c>
      <c r="C48" s="598"/>
      <c r="D48" s="607"/>
      <c r="E48" s="606"/>
      <c r="I48" s="274" t="s">
        <v>233</v>
      </c>
      <c r="J48" s="755"/>
      <c r="K48" s="755"/>
      <c r="L48" s="267"/>
      <c r="M48" s="597" t="str">
        <f t="shared" ca="1" si="0"/>
        <v xml:space="preserve"> </v>
      </c>
    </row>
    <row r="49" spans="2:13" ht="18.75" customHeight="1" x14ac:dyDescent="0.25">
      <c r="B49" s="602" t="s">
        <v>375</v>
      </c>
      <c r="C49" s="598" t="s">
        <v>1299</v>
      </c>
      <c r="D49" s="608">
        <f>-L69</f>
        <v>0</v>
      </c>
      <c r="E49" s="606"/>
      <c r="I49" s="274" t="s">
        <v>1336</v>
      </c>
      <c r="J49" s="755"/>
      <c r="K49" s="755"/>
      <c r="L49" s="267"/>
      <c r="M49" s="597" t="str">
        <f t="shared" ca="1" si="0"/>
        <v xml:space="preserve"> </v>
      </c>
    </row>
    <row r="50" spans="2:13" ht="18.75" customHeight="1" thickBot="1" x14ac:dyDescent="0.3">
      <c r="B50" s="610" t="s">
        <v>1325</v>
      </c>
      <c r="C50" s="598" t="s">
        <v>1290</v>
      </c>
      <c r="D50" s="611"/>
      <c r="E50" s="613">
        <f>SUM(D42:D49)</f>
        <v>0</v>
      </c>
      <c r="I50" s="274" t="s">
        <v>1335</v>
      </c>
      <c r="J50" s="755"/>
      <c r="K50" s="755"/>
      <c r="L50" s="18">
        <f>L48-L49</f>
        <v>0</v>
      </c>
    </row>
    <row r="51" spans="2:13" ht="18.75" customHeight="1" thickTop="1" x14ac:dyDescent="0.25">
      <c r="B51" s="602"/>
      <c r="C51" s="598"/>
      <c r="D51" s="606"/>
      <c r="E51" s="611"/>
      <c r="I51" s="755"/>
      <c r="J51" s="755"/>
      <c r="K51" s="755"/>
      <c r="L51" s="755"/>
      <c r="M51" s="597" t="str">
        <f t="shared" ca="1" si="0"/>
        <v xml:space="preserve"> </v>
      </c>
    </row>
    <row r="52" spans="2:13" ht="18.75" customHeight="1" x14ac:dyDescent="0.25">
      <c r="B52" s="600" t="s">
        <v>1307</v>
      </c>
      <c r="C52" s="598" t="s">
        <v>1308</v>
      </c>
      <c r="D52" s="606"/>
      <c r="E52" s="612">
        <f>SUM(E28,E39,E50)</f>
        <v>-4436</v>
      </c>
      <c r="I52" s="755"/>
      <c r="J52" s="755"/>
      <c r="K52" s="755"/>
      <c r="L52" s="755"/>
      <c r="M52" s="597" t="str">
        <f t="shared" ca="1" si="0"/>
        <v xml:space="preserve"> </v>
      </c>
    </row>
    <row r="53" spans="2:13" ht="18.75" customHeight="1" x14ac:dyDescent="0.25">
      <c r="B53" s="614" t="s">
        <v>1309</v>
      </c>
      <c r="C53" s="598" t="s">
        <v>1310</v>
      </c>
      <c r="D53" s="606"/>
      <c r="E53" s="608">
        <f>L5</f>
        <v>0</v>
      </c>
      <c r="I53" s="273" t="s">
        <v>645</v>
      </c>
      <c r="J53" s="274"/>
      <c r="K53" s="274"/>
      <c r="L53" s="440"/>
      <c r="M53" s="597" t="str">
        <f t="shared" ca="1" si="0"/>
        <v xml:space="preserve"> </v>
      </c>
    </row>
    <row r="54" spans="2:13" ht="18.75" customHeight="1" thickBot="1" x14ac:dyDescent="0.3">
      <c r="B54" s="600" t="s">
        <v>1311</v>
      </c>
      <c r="C54" s="598" t="s">
        <v>1310</v>
      </c>
      <c r="D54" s="606"/>
      <c r="E54" s="615">
        <f>K5</f>
        <v>0</v>
      </c>
      <c r="I54" s="274" t="s">
        <v>646</v>
      </c>
      <c r="J54" s="274"/>
      <c r="K54" s="274"/>
      <c r="L54" s="3"/>
      <c r="M54" s="597" t="str">
        <f t="shared" ca="1" si="0"/>
        <v xml:space="preserve"> </v>
      </c>
    </row>
    <row r="55" spans="2:13" ht="18.75" customHeight="1" x14ac:dyDescent="0.25">
      <c r="D55" s="617"/>
      <c r="E55" s="617"/>
      <c r="I55" s="274" t="s">
        <v>647</v>
      </c>
      <c r="J55" s="274"/>
      <c r="K55" s="274"/>
      <c r="L55" s="14"/>
      <c r="M55" s="597" t="str">
        <f t="shared" ca="1" si="0"/>
        <v xml:space="preserve"> </v>
      </c>
    </row>
    <row r="56" spans="2:13" ht="18.75" customHeight="1" x14ac:dyDescent="0.25">
      <c r="C56" s="598" t="s">
        <v>1312</v>
      </c>
      <c r="D56" s="690">
        <f>E54-(SUM(E52:E53))</f>
        <v>4436</v>
      </c>
      <c r="E56" s="691"/>
      <c r="I56" s="274" t="s">
        <v>1217</v>
      </c>
      <c r="J56" s="274"/>
      <c r="K56" s="274"/>
      <c r="L56" s="14"/>
      <c r="M56" s="597" t="str">
        <f t="shared" ca="1" si="0"/>
        <v xml:space="preserve"> </v>
      </c>
    </row>
    <row r="57" spans="2:13" ht="18.75" customHeight="1" x14ac:dyDescent="0.25">
      <c r="D57" s="617"/>
      <c r="E57" s="617"/>
      <c r="I57" s="274" t="s">
        <v>350</v>
      </c>
      <c r="J57" s="274"/>
      <c r="K57" s="274"/>
      <c r="L57" s="14"/>
      <c r="M57" s="597" t="str">
        <f t="shared" ca="1" si="0"/>
        <v xml:space="preserve"> </v>
      </c>
    </row>
    <row r="58" spans="2:13" ht="18.75" customHeight="1" x14ac:dyDescent="0.25">
      <c r="D58" s="617"/>
      <c r="E58" s="617"/>
      <c r="I58" s="274"/>
      <c r="J58" s="274"/>
      <c r="K58" s="274"/>
      <c r="L58" s="195">
        <f>L54+L55+L57-L56</f>
        <v>0</v>
      </c>
    </row>
    <row r="59" spans="2:13" ht="18.75" customHeight="1" x14ac:dyDescent="0.25">
      <c r="D59" s="617"/>
      <c r="E59" s="617"/>
      <c r="I59" s="274" t="s">
        <v>648</v>
      </c>
      <c r="J59" s="274"/>
      <c r="K59" s="274"/>
      <c r="L59" s="3">
        <v>0</v>
      </c>
      <c r="M59" s="597" t="str">
        <f t="shared" ca="1" si="0"/>
        <v xml:space="preserve"> </v>
      </c>
    </row>
    <row r="60" spans="2:13" ht="18.75" customHeight="1" thickBot="1" x14ac:dyDescent="0.3">
      <c r="D60" s="617"/>
      <c r="E60" s="617"/>
      <c r="I60" s="274" t="s">
        <v>645</v>
      </c>
      <c r="J60" s="274"/>
      <c r="K60" s="274"/>
      <c r="L60" s="18">
        <f>L58-L59</f>
        <v>0</v>
      </c>
    </row>
    <row r="61" spans="2:13" ht="18.75" customHeight="1" thickTop="1" x14ac:dyDescent="0.25">
      <c r="D61" s="617"/>
      <c r="E61" s="617"/>
      <c r="I61" s="274"/>
      <c r="J61" s="274"/>
      <c r="K61" s="274"/>
      <c r="L61" s="440"/>
      <c r="M61" s="597" t="str">
        <f t="shared" ca="1" si="0"/>
        <v xml:space="preserve"> </v>
      </c>
    </row>
    <row r="62" spans="2:13" ht="18.75" customHeight="1" x14ac:dyDescent="0.25">
      <c r="D62" s="617"/>
      <c r="E62" s="617"/>
      <c r="I62" s="273" t="s">
        <v>375</v>
      </c>
      <c r="J62" s="274"/>
      <c r="K62" s="274"/>
      <c r="L62" s="440"/>
      <c r="M62" s="597" t="str">
        <f t="shared" ca="1" si="0"/>
        <v xml:space="preserve"> </v>
      </c>
    </row>
    <row r="63" spans="2:13" ht="18.75" customHeight="1" x14ac:dyDescent="0.25">
      <c r="D63" s="617"/>
      <c r="E63" s="617"/>
      <c r="I63" s="274" t="s">
        <v>649</v>
      </c>
      <c r="J63" s="274"/>
      <c r="K63" s="274"/>
      <c r="L63" s="70"/>
      <c r="M63" s="597" t="str">
        <f t="shared" ca="1" si="0"/>
        <v xml:space="preserve"> </v>
      </c>
    </row>
    <row r="64" spans="2:13" ht="18.75" customHeight="1" x14ac:dyDescent="0.25">
      <c r="D64" s="617"/>
      <c r="E64" s="617"/>
      <c r="I64" s="274" t="s">
        <v>650</v>
      </c>
      <c r="J64" s="274"/>
      <c r="K64" s="274"/>
      <c r="L64" s="70"/>
      <c r="M64" s="597" t="str">
        <f t="shared" ca="1" si="0"/>
        <v xml:space="preserve"> </v>
      </c>
    </row>
    <row r="65" spans="4:13" ht="18.75" customHeight="1" x14ac:dyDescent="0.25">
      <c r="D65" s="617"/>
      <c r="E65" s="617"/>
      <c r="I65" s="274" t="s">
        <v>22</v>
      </c>
      <c r="J65" s="274"/>
      <c r="K65" s="274"/>
      <c r="L65" s="627"/>
      <c r="M65" s="597" t="str">
        <f ca="1">IFERROR(_xlfn.FORMULATEXT(L66)," ")</f>
        <v xml:space="preserve"> </v>
      </c>
    </row>
    <row r="66" spans="4:13" ht="18.75" customHeight="1" x14ac:dyDescent="0.25">
      <c r="D66" s="617"/>
      <c r="E66" s="617"/>
      <c r="I66" s="274" t="s">
        <v>651</v>
      </c>
      <c r="J66" s="274"/>
      <c r="K66" s="274"/>
      <c r="L66" s="70"/>
    </row>
    <row r="67" spans="4:13" ht="18.75" customHeight="1" x14ac:dyDescent="0.25">
      <c r="D67" s="617"/>
      <c r="E67" s="617"/>
      <c r="I67" s="274"/>
      <c r="J67" s="274"/>
      <c r="K67" s="274"/>
      <c r="L67" s="130">
        <f>L63+L64+L66-L65</f>
        <v>0</v>
      </c>
      <c r="M67" s="597" t="str">
        <f ca="1">IFERROR(_xlfn.FORMULATEXT(L68)," ")</f>
        <v xml:space="preserve"> </v>
      </c>
    </row>
    <row r="68" spans="4:13" ht="18.75" customHeight="1" x14ac:dyDescent="0.25">
      <c r="D68" s="617"/>
      <c r="E68" s="617"/>
      <c r="I68" s="274" t="s">
        <v>652</v>
      </c>
      <c r="J68" s="274"/>
      <c r="K68" s="274"/>
      <c r="L68" s="70"/>
    </row>
    <row r="69" spans="4:13" ht="18.75" customHeight="1" thickBot="1" x14ac:dyDescent="0.3">
      <c r="D69" s="617"/>
      <c r="E69" s="617"/>
      <c r="I69" s="274" t="s">
        <v>375</v>
      </c>
      <c r="J69" s="274"/>
      <c r="K69" s="274"/>
      <c r="L69" s="94">
        <f>-(L68-L67)</f>
        <v>0</v>
      </c>
      <c r="M69" s="597" t="str">
        <f ca="1">IFERROR(_xlfn.FORMULATEXT(#REF!)," ")</f>
        <v xml:space="preserve"> </v>
      </c>
    </row>
    <row r="70" spans="4:13" ht="18.75" customHeight="1" thickTop="1" x14ac:dyDescent="0.25">
      <c r="I70" s="274"/>
      <c r="J70" s="274"/>
      <c r="K70" s="274"/>
      <c r="L70"/>
      <c r="M70" s="597" t="str">
        <f t="shared" ca="1" si="0"/>
        <v xml:space="preserve"> </v>
      </c>
    </row>
    <row r="71" spans="4:13" ht="18.75" customHeight="1" x14ac:dyDescent="0.25">
      <c r="I71" s="273" t="s">
        <v>1163</v>
      </c>
      <c r="J71" s="274"/>
      <c r="K71" s="274"/>
      <c r="L71" s="3"/>
      <c r="M71" s="597" t="str">
        <f t="shared" ca="1" si="0"/>
        <v xml:space="preserve"> </v>
      </c>
    </row>
    <row r="72" spans="4:13" ht="18.75" customHeight="1" x14ac:dyDescent="0.25">
      <c r="I72" s="274"/>
      <c r="J72" s="274"/>
      <c r="K72" s="274"/>
      <c r="L72" s="274"/>
      <c r="M72" s="597" t="str">
        <f t="shared" ca="1" si="0"/>
        <v xml:space="preserve"> </v>
      </c>
    </row>
    <row r="73" spans="4:13" ht="18.75" customHeight="1" x14ac:dyDescent="0.25">
      <c r="I73" s="274"/>
      <c r="J73" s="274"/>
      <c r="K73" s="274"/>
      <c r="L73" s="274"/>
      <c r="M73" s="597" t="str">
        <f t="shared" ca="1" si="0"/>
        <v xml:space="preserve"> </v>
      </c>
    </row>
    <row r="74" spans="4:13" x14ac:dyDescent="0.25">
      <c r="I74" s="273" t="s">
        <v>1328</v>
      </c>
      <c r="J74" s="755"/>
      <c r="K74" s="755"/>
      <c r="L74" s="755"/>
      <c r="M74" s="597" t="str">
        <f t="shared" ca="1" si="0"/>
        <v xml:space="preserve"> </v>
      </c>
    </row>
    <row r="75" spans="4:13" x14ac:dyDescent="0.25">
      <c r="I75" s="274" t="s">
        <v>1329</v>
      </c>
      <c r="J75" s="755"/>
      <c r="K75" s="755"/>
      <c r="L75" s="267"/>
      <c r="M75" s="756" t="str">
        <f t="shared" ca="1" si="0"/>
        <v xml:space="preserve"> </v>
      </c>
    </row>
    <row r="76" spans="4:13" x14ac:dyDescent="0.25">
      <c r="I76" s="274" t="s">
        <v>22</v>
      </c>
      <c r="J76" s="755"/>
      <c r="K76" s="755"/>
      <c r="L76" s="267"/>
      <c r="M76" s="756" t="str">
        <f t="shared" ca="1" si="0"/>
        <v xml:space="preserve"> </v>
      </c>
    </row>
    <row r="77" spans="4:13" x14ac:dyDescent="0.25">
      <c r="I77" s="274"/>
      <c r="J77" s="755"/>
      <c r="K77" s="755"/>
      <c r="L77" s="130">
        <f>SUM(L75:L76)</f>
        <v>0</v>
      </c>
      <c r="M77" s="756"/>
    </row>
    <row r="78" spans="4:13" x14ac:dyDescent="0.25">
      <c r="I78" s="274" t="s">
        <v>1330</v>
      </c>
      <c r="J78" s="755"/>
      <c r="K78" s="755"/>
      <c r="L78" s="70"/>
      <c r="M78" s="756" t="str">
        <f t="shared" ca="1" si="0"/>
        <v xml:space="preserve"> </v>
      </c>
    </row>
    <row r="79" spans="4:13" ht="15.75" thickBot="1" x14ac:dyDescent="0.3">
      <c r="I79" s="274" t="s">
        <v>1328</v>
      </c>
      <c r="J79" s="755"/>
      <c r="K79" s="755"/>
      <c r="L79" s="94">
        <f>L78-L77</f>
        <v>0</v>
      </c>
    </row>
    <row r="80" spans="4:13" ht="15.75" thickTop="1" x14ac:dyDescent="0.25">
      <c r="I80" s="755"/>
      <c r="J80" s="755"/>
      <c r="K80" s="755"/>
      <c r="L80" s="755"/>
      <c r="M80" s="597" t="str">
        <f t="shared" ca="1" si="0"/>
        <v xml:space="preserve"> </v>
      </c>
    </row>
    <row r="81" spans="9:14" x14ac:dyDescent="0.25">
      <c r="I81" s="273" t="s">
        <v>1331</v>
      </c>
      <c r="J81" s="755"/>
      <c r="K81" s="755"/>
      <c r="L81" s="755"/>
      <c r="M81" s="597" t="str">
        <f t="shared" ca="1" si="0"/>
        <v xml:space="preserve"> </v>
      </c>
    </row>
    <row r="82" spans="9:14" x14ac:dyDescent="0.25">
      <c r="I82" s="274" t="s">
        <v>1332</v>
      </c>
      <c r="J82" s="755"/>
      <c r="K82" s="755"/>
      <c r="L82" s="267"/>
      <c r="M82" s="597" t="str">
        <f t="shared" ca="1" si="0"/>
        <v xml:space="preserve"> </v>
      </c>
    </row>
    <row r="83" spans="9:14" x14ac:dyDescent="0.25">
      <c r="I83" s="274" t="s">
        <v>1906</v>
      </c>
      <c r="J83" s="274"/>
      <c r="K83" s="274"/>
      <c r="L83" s="267"/>
      <c r="M83" s="597" t="str">
        <f ca="1">IFERROR(_xlfn.FORMULATEXT(L84)," ")</f>
        <v xml:space="preserve"> </v>
      </c>
    </row>
    <row r="84" spans="9:14" x14ac:dyDescent="0.25">
      <c r="I84" s="274" t="s">
        <v>1333</v>
      </c>
      <c r="J84" s="755"/>
      <c r="K84" s="755"/>
      <c r="L84" s="267"/>
    </row>
    <row r="85" spans="9:14" ht="15.75" thickBot="1" x14ac:dyDescent="0.3">
      <c r="I85" s="274" t="s">
        <v>1334</v>
      </c>
      <c r="J85" s="755"/>
      <c r="K85" s="755"/>
      <c r="L85" s="18">
        <f>L84-L82+L83</f>
        <v>0</v>
      </c>
      <c r="M85" s="597" t="str">
        <f ca="1">IFERROR(_xlfn.FORMULATEXT(L86)," ")</f>
        <v xml:space="preserve"> </v>
      </c>
    </row>
    <row r="86" spans="9:14" ht="15.75" thickTop="1" x14ac:dyDescent="0.25">
      <c r="I86" s="755"/>
      <c r="J86" s="755"/>
      <c r="K86" s="755"/>
      <c r="L86" s="755"/>
      <c r="M86" s="597" t="str">
        <f ca="1">IFERROR(_xlfn.FORMULATEXT(L87)," ")</f>
        <v xml:space="preserve"> </v>
      </c>
    </row>
    <row r="87" spans="9:14" x14ac:dyDescent="0.25">
      <c r="I87" s="273" t="s">
        <v>1169</v>
      </c>
      <c r="J87" s="755"/>
      <c r="K87" s="755"/>
      <c r="L87" s="755"/>
      <c r="M87" s="597" t="str">
        <f ca="1">IFERROR(_xlfn.FORMULATEXT(#REF!)," ")</f>
        <v xml:space="preserve"> </v>
      </c>
    </row>
    <row r="88" spans="9:14" x14ac:dyDescent="0.25">
      <c r="I88" s="755" t="s">
        <v>1457</v>
      </c>
      <c r="J88" s="755"/>
      <c r="K88" s="755"/>
      <c r="L88" s="627"/>
      <c r="M88" s="597" t="str">
        <f ca="1">IFERROR(_xlfn.FORMULATEXT(L88)," ")</f>
        <v xml:space="preserve"> </v>
      </c>
    </row>
    <row r="89" spans="9:14" x14ac:dyDescent="0.25">
      <c r="I89" s="755" t="s">
        <v>1458</v>
      </c>
      <c r="J89" s="755"/>
      <c r="K89" s="755"/>
      <c r="L89" s="627"/>
    </row>
    <row r="90" spans="9:14" x14ac:dyDescent="0.25">
      <c r="I90" s="755"/>
      <c r="J90" s="755"/>
      <c r="K90" s="755"/>
      <c r="L90" s="646">
        <f>SUM(L88:L89)</f>
        <v>0</v>
      </c>
      <c r="M90" s="597" t="str">
        <f ca="1">IFERROR(_xlfn.FORMULATEXT(L91)," ")</f>
        <v xml:space="preserve"> </v>
      </c>
    </row>
    <row r="91" spans="9:14" x14ac:dyDescent="0.25">
      <c r="I91" s="755" t="s">
        <v>1459</v>
      </c>
      <c r="J91" s="755"/>
      <c r="K91" s="755"/>
      <c r="L91" s="627"/>
      <c r="N91" s="669" t="s">
        <v>1828</v>
      </c>
    </row>
    <row r="92" spans="9:14" ht="15.75" thickBot="1" x14ac:dyDescent="0.3">
      <c r="I92" s="755" t="s">
        <v>1169</v>
      </c>
      <c r="J92" s="755"/>
      <c r="K92" s="755"/>
      <c r="L92" s="647">
        <f>L91-L90</f>
        <v>0</v>
      </c>
      <c r="M92" s="597" t="str">
        <f ca="1">IFERROR(_xlfn.FORMULATEXT(L93)," ")</f>
        <v xml:space="preserve"> </v>
      </c>
    </row>
    <row r="93" spans="9:14" ht="15.75" thickTop="1" x14ac:dyDescent="0.25">
      <c r="I93" s="755"/>
      <c r="J93" s="755"/>
      <c r="K93" s="755"/>
      <c r="L93" s="755"/>
      <c r="M93" s="597" t="str">
        <f ca="1">IFERROR(_xlfn.FORMULATEXT(L94)," ")</f>
        <v xml:space="preserve"> </v>
      </c>
    </row>
    <row r="94" spans="9:14" x14ac:dyDescent="0.25">
      <c r="I94" s="755"/>
      <c r="J94" s="755"/>
      <c r="K94" s="755"/>
      <c r="L94" s="755"/>
      <c r="M94" s="597" t="str">
        <f ca="1">IFERROR(_xlfn.FORMULATEXT(L95)," ")</f>
        <v xml:space="preserve"> </v>
      </c>
    </row>
    <row r="95" spans="9:14" x14ac:dyDescent="0.25">
      <c r="I95" s="273" t="s">
        <v>1460</v>
      </c>
      <c r="J95" s="755"/>
      <c r="K95" s="755"/>
      <c r="L95" s="755"/>
      <c r="M95" s="597" t="str">
        <f ca="1">IFERROR(_xlfn.FORMULATEXT(L96)," ")</f>
        <v xml:space="preserve"> </v>
      </c>
      <c r="N95" s="669" t="s">
        <v>1532</v>
      </c>
    </row>
    <row r="96" spans="9:14" x14ac:dyDescent="0.25">
      <c r="I96" s="755" t="s">
        <v>1461</v>
      </c>
      <c r="J96" s="755"/>
      <c r="K96" s="755"/>
      <c r="L96" s="14"/>
      <c r="M96" s="597" t="str">
        <f ca="1">IFERROR(_xlfn.FORMULATEXT(L97)," ")</f>
        <v xml:space="preserve"> </v>
      </c>
      <c r="N96" s="669" t="s">
        <v>1882</v>
      </c>
    </row>
    <row r="97" spans="9:13" x14ac:dyDescent="0.25">
      <c r="I97" s="755" t="s">
        <v>1531</v>
      </c>
      <c r="J97" s="755"/>
      <c r="K97" s="755"/>
      <c r="L97" s="267"/>
    </row>
    <row r="98" spans="9:13" x14ac:dyDescent="0.25">
      <c r="I98" s="755"/>
      <c r="J98" s="755"/>
      <c r="K98" s="755"/>
      <c r="L98" s="680">
        <f>SUM(L96:L97)</f>
        <v>0</v>
      </c>
      <c r="M98" s="597" t="str">
        <f ca="1">IFERROR(_xlfn.FORMULATEXT(L99)," ")</f>
        <v xml:space="preserve"> </v>
      </c>
    </row>
    <row r="99" spans="9:13" x14ac:dyDescent="0.25">
      <c r="I99" s="755" t="s">
        <v>1462</v>
      </c>
      <c r="J99" s="755"/>
      <c r="K99" s="755"/>
      <c r="L99" s="14"/>
    </row>
    <row r="100" spans="9:13" ht="15.75" thickBot="1" x14ac:dyDescent="0.3">
      <c r="I100" s="755" t="s">
        <v>1460</v>
      </c>
      <c r="J100" s="755"/>
      <c r="K100" s="755"/>
      <c r="L100" s="681">
        <f>L98-L99</f>
        <v>0</v>
      </c>
    </row>
    <row r="101" spans="9:13" ht="15.75" thickTop="1" x14ac:dyDescent="0.25">
      <c r="I101" s="755"/>
      <c r="J101" s="755"/>
      <c r="K101" s="755"/>
      <c r="L101" s="755"/>
    </row>
    <row r="102" spans="9:13" x14ac:dyDescent="0.25">
      <c r="I102" s="755"/>
      <c r="J102" s="755"/>
      <c r="K102" s="755"/>
      <c r="L102" s="755"/>
    </row>
    <row r="103" spans="9:13" x14ac:dyDescent="0.25">
      <c r="I103" s="273" t="s">
        <v>1533</v>
      </c>
      <c r="J103" s="755"/>
      <c r="K103" s="755"/>
      <c r="L103" s="755"/>
    </row>
    <row r="104" spans="9:13" x14ac:dyDescent="0.25">
      <c r="I104" s="755" t="s">
        <v>1534</v>
      </c>
      <c r="J104" s="755"/>
      <c r="K104" s="755"/>
      <c r="L104" s="267"/>
    </row>
    <row r="105" spans="9:13" x14ac:dyDescent="0.25">
      <c r="I105" s="755" t="s">
        <v>1535</v>
      </c>
      <c r="J105" s="755"/>
      <c r="K105" s="755"/>
      <c r="L105" s="267"/>
    </row>
    <row r="106" spans="9:13" x14ac:dyDescent="0.25">
      <c r="I106" s="755"/>
      <c r="J106" s="755"/>
      <c r="K106" s="755"/>
      <c r="L106" s="680">
        <f>L104+L105</f>
        <v>0</v>
      </c>
    </row>
    <row r="107" spans="9:13" x14ac:dyDescent="0.25">
      <c r="I107" s="755" t="s">
        <v>1536</v>
      </c>
      <c r="J107" s="755"/>
      <c r="K107" s="755"/>
      <c r="L107" s="267"/>
    </row>
    <row r="108" spans="9:13" ht="15.75" thickBot="1" x14ac:dyDescent="0.3">
      <c r="I108" s="755" t="s">
        <v>1166</v>
      </c>
      <c r="J108" s="755"/>
      <c r="K108" s="755"/>
      <c r="L108" s="681">
        <f>L106-L107</f>
        <v>0</v>
      </c>
    </row>
    <row r="109" spans="9:13" ht="15.75" thickTop="1" x14ac:dyDescent="0.25">
      <c r="I109" s="755"/>
      <c r="J109" s="755"/>
      <c r="K109" s="755"/>
      <c r="L109" s="755"/>
    </row>
    <row r="110" spans="9:13" x14ac:dyDescent="0.25">
      <c r="I110" s="273" t="s">
        <v>1872</v>
      </c>
      <c r="J110" s="274"/>
      <c r="K110" s="274"/>
      <c r="L110" s="274"/>
    </row>
    <row r="111" spans="9:13" x14ac:dyDescent="0.25">
      <c r="I111" s="274" t="s">
        <v>640</v>
      </c>
      <c r="J111" s="274"/>
      <c r="K111" s="274"/>
      <c r="L111" s="14"/>
    </row>
    <row r="112" spans="9:13" x14ac:dyDescent="0.25">
      <c r="I112" s="274" t="s">
        <v>641</v>
      </c>
      <c r="J112" s="274"/>
      <c r="K112" s="274"/>
      <c r="L112" s="14"/>
    </row>
    <row r="113" spans="9:12" x14ac:dyDescent="0.25">
      <c r="I113" s="274" t="s">
        <v>1873</v>
      </c>
      <c r="J113" s="274"/>
      <c r="K113" s="274"/>
      <c r="L113" s="14"/>
    </row>
    <row r="114" spans="9:12" x14ac:dyDescent="0.25">
      <c r="I114" s="274" t="s">
        <v>1273</v>
      </c>
      <c r="J114" s="274"/>
      <c r="K114" s="274"/>
      <c r="L114" s="14"/>
    </row>
    <row r="115" spans="9:12" x14ac:dyDescent="0.25">
      <c r="I115" s="274"/>
      <c r="J115" s="274"/>
      <c r="K115" s="274"/>
      <c r="L115" s="130">
        <f>L111-L113+L112-L114</f>
        <v>0</v>
      </c>
    </row>
    <row r="116" spans="9:12" x14ac:dyDescent="0.25">
      <c r="I116" s="274" t="s">
        <v>642</v>
      </c>
      <c r="J116" s="274"/>
      <c r="K116" s="274"/>
      <c r="L116" s="14">
        <f>'Adjustments for cash flow'!K15</f>
        <v>0</v>
      </c>
    </row>
    <row r="117" spans="9:12" ht="15.75" thickBot="1" x14ac:dyDescent="0.3">
      <c r="I117" s="274" t="s">
        <v>639</v>
      </c>
      <c r="J117" s="274"/>
      <c r="K117" s="274"/>
      <c r="L117" s="18">
        <f>L116-L115</f>
        <v>0</v>
      </c>
    </row>
    <row r="118" spans="9:12" ht="15.75" thickTop="1" x14ac:dyDescent="0.25"/>
  </sheetData>
  <mergeCells count="1">
    <mergeCell ref="C2:C4"/>
  </mergeCells>
  <conditionalFormatting sqref="D56">
    <cfRule type="cellIs" dxfId="1" priority="1" operator="lessThan">
      <formula>0</formula>
    </cfRule>
    <cfRule type="cellIs" dxfId="0" priority="2" operator="greaterThan">
      <formula>0</formula>
    </cfRule>
  </conditionalFormatting>
  <pageMargins left="0.7" right="0.7" top="0.75" bottom="0.75" header="0.3" footer="0.3"/>
  <pageSetup paperSize="9"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0A511-1E04-47AE-8954-7C886B104073}">
  <dimension ref="A2:P39"/>
  <sheetViews>
    <sheetView zoomScale="80" zoomScaleNormal="80" workbookViewId="0"/>
  </sheetViews>
  <sheetFormatPr defaultRowHeight="15" x14ac:dyDescent="0.25"/>
  <cols>
    <col min="1" max="1" width="17.7109375" customWidth="1"/>
    <col min="2" max="2" width="16" customWidth="1"/>
    <col min="3" max="3" width="15.85546875" customWidth="1"/>
    <col min="4" max="4" width="12.5703125" bestFit="1" customWidth="1"/>
  </cols>
  <sheetData>
    <row r="2" spans="1:6" x14ac:dyDescent="0.25">
      <c r="F2" s="422" t="s">
        <v>1592</v>
      </c>
    </row>
    <row r="3" spans="1:6" x14ac:dyDescent="0.25">
      <c r="A3" t="s">
        <v>676</v>
      </c>
      <c r="D3" s="14"/>
      <c r="F3" s="422" t="s">
        <v>1590</v>
      </c>
    </row>
    <row r="4" spans="1:6" x14ac:dyDescent="0.25">
      <c r="A4" t="s">
        <v>678</v>
      </c>
      <c r="D4" s="14"/>
      <c r="F4" s="422" t="s">
        <v>1653</v>
      </c>
    </row>
    <row r="5" spans="1:6" x14ac:dyDescent="0.25">
      <c r="A5" t="s">
        <v>679</v>
      </c>
      <c r="D5" s="14"/>
      <c r="F5" s="422" t="s">
        <v>1663</v>
      </c>
    </row>
    <row r="6" spans="1:6" x14ac:dyDescent="0.25">
      <c r="A6" t="s">
        <v>515</v>
      </c>
      <c r="D6" s="14"/>
      <c r="F6" s="422" t="s">
        <v>1654</v>
      </c>
    </row>
    <row r="7" spans="1:6" x14ac:dyDescent="0.25">
      <c r="A7" t="s">
        <v>1278</v>
      </c>
      <c r="D7" s="14"/>
      <c r="F7" s="422" t="s">
        <v>1655</v>
      </c>
    </row>
    <row r="8" spans="1:6" x14ac:dyDescent="0.25">
      <c r="D8" s="11">
        <f>SUM(D3:D7)</f>
        <v>0</v>
      </c>
      <c r="F8" s="422" t="s">
        <v>1591</v>
      </c>
    </row>
    <row r="10" spans="1:6" x14ac:dyDescent="0.25">
      <c r="A10" t="s">
        <v>1250</v>
      </c>
      <c r="D10" s="3"/>
    </row>
    <row r="12" spans="1:6" x14ac:dyDescent="0.25">
      <c r="A12" t="s">
        <v>1251</v>
      </c>
    </row>
    <row r="13" spans="1:6" x14ac:dyDescent="0.25">
      <c r="A13" t="s">
        <v>1266</v>
      </c>
      <c r="D13" s="14"/>
      <c r="F13" s="422" t="s">
        <v>1279</v>
      </c>
    </row>
    <row r="14" spans="1:6" x14ac:dyDescent="0.25">
      <c r="A14" t="s">
        <v>1268</v>
      </c>
      <c r="D14" s="14"/>
    </row>
    <row r="15" spans="1:6" x14ac:dyDescent="0.25">
      <c r="A15" t="s">
        <v>1252</v>
      </c>
      <c r="D15" s="14"/>
      <c r="F15" s="422" t="s">
        <v>1261</v>
      </c>
    </row>
    <row r="16" spans="1:6" x14ac:dyDescent="0.25">
      <c r="A16" t="s">
        <v>22</v>
      </c>
      <c r="D16" s="14"/>
      <c r="F16" s="422" t="s">
        <v>1261</v>
      </c>
    </row>
    <row r="17" spans="1:16" x14ac:dyDescent="0.25">
      <c r="A17" t="s">
        <v>1267</v>
      </c>
      <c r="D17" s="14"/>
      <c r="F17" s="422" t="s">
        <v>1656</v>
      </c>
    </row>
    <row r="18" spans="1:16" x14ac:dyDescent="0.25">
      <c r="A18" t="s">
        <v>1657</v>
      </c>
      <c r="D18" s="14"/>
      <c r="F18" s="422" t="s">
        <v>1658</v>
      </c>
    </row>
    <row r="19" spans="1:16" x14ac:dyDescent="0.25">
      <c r="A19" t="s">
        <v>1283</v>
      </c>
      <c r="D19" s="14"/>
      <c r="F19" s="422" t="s">
        <v>1660</v>
      </c>
    </row>
    <row r="20" spans="1:16" x14ac:dyDescent="0.25">
      <c r="A20" t="s">
        <v>1253</v>
      </c>
      <c r="D20" s="14"/>
      <c r="F20" s="422"/>
    </row>
    <row r="21" spans="1:16" x14ac:dyDescent="0.25">
      <c r="A21" t="s">
        <v>1254</v>
      </c>
      <c r="D21" s="14"/>
      <c r="F21" s="422" t="s">
        <v>1269</v>
      </c>
      <c r="L21" t="s">
        <v>1280</v>
      </c>
    </row>
    <row r="22" spans="1:16" x14ac:dyDescent="0.25">
      <c r="A22" t="s">
        <v>1255</v>
      </c>
      <c r="D22" s="12">
        <f>SUM(D13:D21)</f>
        <v>0</v>
      </c>
      <c r="L22" t="s">
        <v>1281</v>
      </c>
    </row>
    <row r="23" spans="1:16" x14ac:dyDescent="0.25">
      <c r="L23" t="s">
        <v>1282</v>
      </c>
    </row>
    <row r="24" spans="1:16" x14ac:dyDescent="0.25">
      <c r="A24" t="s">
        <v>1256</v>
      </c>
      <c r="D24" s="14"/>
    </row>
    <row r="25" spans="1:16" x14ac:dyDescent="0.25">
      <c r="A25" t="s">
        <v>1257</v>
      </c>
      <c r="D25" s="21">
        <f>D14</f>
        <v>0</v>
      </c>
      <c r="L25" t="s">
        <v>1284</v>
      </c>
    </row>
    <row r="26" spans="1:16" x14ac:dyDescent="0.25">
      <c r="A26" t="s">
        <v>1258</v>
      </c>
      <c r="D26" s="21">
        <f>D15</f>
        <v>0</v>
      </c>
      <c r="F26" s="422" t="s">
        <v>1261</v>
      </c>
      <c r="L26" t="s">
        <v>1285</v>
      </c>
    </row>
    <row r="27" spans="1:16" x14ac:dyDescent="0.25">
      <c r="A27" t="s">
        <v>22</v>
      </c>
      <c r="D27" s="21">
        <f>D16</f>
        <v>0</v>
      </c>
      <c r="L27" t="s">
        <v>1659</v>
      </c>
    </row>
    <row r="28" spans="1:16" x14ac:dyDescent="0.25">
      <c r="A28" t="s">
        <v>1259</v>
      </c>
      <c r="D28" s="3"/>
      <c r="L28" t="s">
        <v>1286</v>
      </c>
    </row>
    <row r="29" spans="1:16" x14ac:dyDescent="0.25">
      <c r="A29" s="1" t="s">
        <v>1260</v>
      </c>
      <c r="D29" s="11">
        <f>SUM(D24:D28)</f>
        <v>0</v>
      </c>
    </row>
    <row r="30" spans="1:16" x14ac:dyDescent="0.25">
      <c r="L30" s="422" t="s">
        <v>1660</v>
      </c>
    </row>
    <row r="31" spans="1:16" x14ac:dyDescent="0.25">
      <c r="A31" t="s">
        <v>1262</v>
      </c>
      <c r="L31" t="s">
        <v>1586</v>
      </c>
      <c r="P31" s="3"/>
    </row>
    <row r="32" spans="1:16" x14ac:dyDescent="0.25">
      <c r="A32" t="s">
        <v>1263</v>
      </c>
      <c r="D32" s="368">
        <f>D22</f>
        <v>0</v>
      </c>
      <c r="L32" t="s">
        <v>1587</v>
      </c>
      <c r="P32" s="3"/>
    </row>
    <row r="33" spans="1:16" x14ac:dyDescent="0.25">
      <c r="A33" t="s">
        <v>1264</v>
      </c>
      <c r="D33" s="368">
        <f>D34-D32</f>
        <v>0</v>
      </c>
      <c r="L33" t="s">
        <v>1588</v>
      </c>
      <c r="P33">
        <f>P31-P32</f>
        <v>0</v>
      </c>
    </row>
    <row r="34" spans="1:16" ht="15.75" thickBot="1" x14ac:dyDescent="0.3">
      <c r="A34" t="s">
        <v>1265</v>
      </c>
      <c r="D34" s="94">
        <f>D29</f>
        <v>0</v>
      </c>
    </row>
    <row r="35" spans="1:16" ht="15.75" thickTop="1" x14ac:dyDescent="0.25"/>
    <row r="37" spans="1:16" x14ac:dyDescent="0.25">
      <c r="L37" s="1" t="s">
        <v>1652</v>
      </c>
    </row>
    <row r="38" spans="1:16" x14ac:dyDescent="0.25">
      <c r="L38" t="s">
        <v>1661</v>
      </c>
    </row>
    <row r="39" spans="1:16" x14ac:dyDescent="0.25">
      <c r="L39" t="s">
        <v>1662</v>
      </c>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D9B6DA5-E2D5-4C77-8C0D-A5D37A5AA674}">
          <x14:formula1>
            <xm:f>Inputs!$B$5:$B$6</xm:f>
          </x14:formula1>
          <xm:sqref>D10</xm:sqref>
        </x14:dataValidation>
      </x14:dataValidation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0C2B3-3BBF-415E-A2E3-AE58C76C4FF3}">
  <dimension ref="B1:V90"/>
  <sheetViews>
    <sheetView workbookViewId="0"/>
  </sheetViews>
  <sheetFormatPr defaultRowHeight="15" x14ac:dyDescent="0.25"/>
  <cols>
    <col min="1" max="1" width="5.5703125" customWidth="1"/>
    <col min="2" max="2" width="14.140625" customWidth="1"/>
    <col min="3" max="3" width="12.85546875" customWidth="1"/>
    <col min="4" max="4" width="13.140625" customWidth="1"/>
    <col min="5" max="5" width="24.5703125" bestFit="1" customWidth="1"/>
    <col min="6" max="6" width="15.42578125" customWidth="1"/>
    <col min="7" max="7" width="12.42578125" customWidth="1"/>
    <col min="8" max="12" width="11.140625" customWidth="1"/>
    <col min="13" max="13" width="11.42578125" customWidth="1"/>
    <col min="14" max="14" width="14.140625" customWidth="1"/>
    <col min="17" max="17" width="10.28515625" customWidth="1"/>
    <col min="18" max="18" width="10" customWidth="1"/>
    <col min="20" max="20" width="13.140625" customWidth="1"/>
  </cols>
  <sheetData>
    <row r="1" spans="2:22" ht="15.75" thickBot="1" x14ac:dyDescent="0.3"/>
    <row r="2" spans="2:22" x14ac:dyDescent="0.25">
      <c r="B2" s="75" t="s">
        <v>1095</v>
      </c>
      <c r="C2" s="63"/>
      <c r="D2" s="63"/>
      <c r="E2" s="550" t="s">
        <v>1044</v>
      </c>
      <c r="F2" s="551" t="s">
        <v>1045</v>
      </c>
      <c r="G2" s="2"/>
      <c r="H2" s="182" t="s">
        <v>1096</v>
      </c>
      <c r="I2" s="2"/>
      <c r="J2" s="2"/>
      <c r="K2" s="2"/>
      <c r="L2" s="2"/>
      <c r="O2" s="1" t="s">
        <v>1097</v>
      </c>
      <c r="T2" s="1" t="s">
        <v>1098</v>
      </c>
    </row>
    <row r="3" spans="2:22" x14ac:dyDescent="0.25">
      <c r="B3" s="65" t="s">
        <v>1043</v>
      </c>
      <c r="E3" s="70"/>
      <c r="F3" s="78"/>
      <c r="G3" s="89"/>
      <c r="H3" s="89" t="s">
        <v>1099</v>
      </c>
      <c r="I3" s="89"/>
      <c r="J3" s="89"/>
      <c r="K3" s="35"/>
      <c r="L3" s="89"/>
      <c r="O3" t="s">
        <v>1100</v>
      </c>
      <c r="R3" s="3"/>
      <c r="T3" t="s">
        <v>1101</v>
      </c>
      <c r="U3" s="3"/>
    </row>
    <row r="4" spans="2:22" x14ac:dyDescent="0.25">
      <c r="B4" s="65" t="s">
        <v>1050</v>
      </c>
      <c r="E4" s="70"/>
      <c r="F4" s="78"/>
      <c r="G4" s="89"/>
      <c r="H4" s="89" t="s">
        <v>1102</v>
      </c>
      <c r="I4" s="89"/>
      <c r="J4" s="89"/>
      <c r="K4" s="35"/>
      <c r="L4" s="89"/>
      <c r="O4" t="s">
        <v>1103</v>
      </c>
      <c r="R4" s="3"/>
      <c r="T4" t="s">
        <v>1104</v>
      </c>
      <c r="U4" s="552"/>
    </row>
    <row r="5" spans="2:22" x14ac:dyDescent="0.25">
      <c r="B5" s="65" t="s">
        <v>1046</v>
      </c>
      <c r="E5" s="11">
        <f>E3-E4</f>
        <v>0</v>
      </c>
      <c r="F5" s="79">
        <f>F3-F4</f>
        <v>0</v>
      </c>
      <c r="H5" t="s">
        <v>1105</v>
      </c>
      <c r="K5" s="14"/>
      <c r="L5" t="s">
        <v>1106</v>
      </c>
      <c r="O5" t="s">
        <v>1107</v>
      </c>
      <c r="R5" s="3"/>
      <c r="U5">
        <f>U3*U4</f>
        <v>0</v>
      </c>
    </row>
    <row r="6" spans="2:22" x14ac:dyDescent="0.25">
      <c r="B6" s="65"/>
      <c r="F6" s="68"/>
      <c r="O6" t="s">
        <v>1108</v>
      </c>
      <c r="R6" s="3"/>
      <c r="T6" t="s">
        <v>1109</v>
      </c>
      <c r="U6" s="197">
        <f>U5*0.138</f>
        <v>0</v>
      </c>
    </row>
    <row r="7" spans="2:22" x14ac:dyDescent="0.25">
      <c r="B7" s="65" t="s">
        <v>1064</v>
      </c>
      <c r="F7" s="553"/>
      <c r="G7" s="554"/>
      <c r="H7" s="555" t="s">
        <v>1110</v>
      </c>
      <c r="I7" s="554"/>
      <c r="J7" s="554"/>
      <c r="K7" s="556">
        <f>K3*K5</f>
        <v>0</v>
      </c>
      <c r="L7" s="557" t="s">
        <v>1111</v>
      </c>
      <c r="O7" t="s">
        <v>1112</v>
      </c>
      <c r="R7" s="196"/>
    </row>
    <row r="8" spans="2:22" x14ac:dyDescent="0.25">
      <c r="B8" s="65" t="s">
        <v>1113</v>
      </c>
      <c r="E8" s="674" t="str">
        <f ca="1">IFERROR(_xlfn.FORMULATEXT(F8)," ")</f>
        <v xml:space="preserve"> </v>
      </c>
      <c r="F8" s="78"/>
      <c r="G8" s="694"/>
      <c r="H8" s="558" t="s">
        <v>1114</v>
      </c>
      <c r="I8" s="89"/>
      <c r="J8" s="89"/>
      <c r="K8" s="89">
        <f>K4*K5</f>
        <v>0</v>
      </c>
      <c r="L8" s="559"/>
    </row>
    <row r="9" spans="2:22" x14ac:dyDescent="0.25">
      <c r="B9" s="65" t="s">
        <v>1048</v>
      </c>
      <c r="F9" s="78"/>
      <c r="G9" s="89"/>
      <c r="H9" s="560"/>
      <c r="I9" s="89"/>
      <c r="J9" s="89"/>
      <c r="K9" s="89"/>
      <c r="L9" s="559"/>
      <c r="O9" t="s">
        <v>1115</v>
      </c>
    </row>
    <row r="10" spans="2:22" x14ac:dyDescent="0.25">
      <c r="B10" s="65" t="s">
        <v>1116</v>
      </c>
      <c r="F10" s="78"/>
      <c r="H10" s="89" t="s">
        <v>1117</v>
      </c>
      <c r="I10" s="89"/>
      <c r="J10" s="89"/>
      <c r="K10" s="14">
        <f>16000/12*(K3+K4)</f>
        <v>0</v>
      </c>
      <c r="L10" s="559"/>
    </row>
    <row r="11" spans="2:22" x14ac:dyDescent="0.25">
      <c r="B11" s="65" t="s">
        <v>1118</v>
      </c>
      <c r="F11" s="78"/>
      <c r="H11" s="89"/>
      <c r="I11" s="89"/>
      <c r="J11" s="89"/>
      <c r="K11" s="14"/>
      <c r="L11" s="559"/>
      <c r="Q11" s="15" t="s">
        <v>141</v>
      </c>
      <c r="R11" s="15" t="s">
        <v>141</v>
      </c>
      <c r="T11" s="15"/>
      <c r="U11" s="15" t="s">
        <v>141</v>
      </c>
      <c r="V11" s="15" t="s">
        <v>141</v>
      </c>
    </row>
    <row r="12" spans="2:22" x14ac:dyDescent="0.25">
      <c r="B12" s="65" t="s">
        <v>1049</v>
      </c>
      <c r="F12" s="78"/>
      <c r="G12" s="89"/>
      <c r="O12" t="s">
        <v>1119</v>
      </c>
      <c r="Q12" s="11">
        <f>R3+R4</f>
        <v>0</v>
      </c>
      <c r="T12" t="s">
        <v>1120</v>
      </c>
      <c r="U12" s="197">
        <f>U5+U6</f>
        <v>0</v>
      </c>
    </row>
    <row r="13" spans="2:22" x14ac:dyDescent="0.25">
      <c r="B13" s="65" t="s">
        <v>1121</v>
      </c>
      <c r="F13" s="78"/>
      <c r="O13" t="s">
        <v>1122</v>
      </c>
      <c r="R13" s="197">
        <f>R7</f>
        <v>0</v>
      </c>
      <c r="T13" t="s">
        <v>1123</v>
      </c>
      <c r="V13" s="197">
        <f>U6+U5</f>
        <v>0</v>
      </c>
    </row>
    <row r="14" spans="2:22" x14ac:dyDescent="0.25">
      <c r="B14" s="65" t="s">
        <v>1124</v>
      </c>
      <c r="F14" s="78"/>
      <c r="H14" s="15"/>
      <c r="I14" s="15"/>
      <c r="J14" s="15" t="s">
        <v>141</v>
      </c>
      <c r="K14" s="15" t="s">
        <v>141</v>
      </c>
      <c r="L14" s="15"/>
      <c r="O14" t="s">
        <v>407</v>
      </c>
      <c r="R14" s="11">
        <f>R3+R4-R7</f>
        <v>0</v>
      </c>
    </row>
    <row r="15" spans="2:22" ht="15.75" thickBot="1" x14ac:dyDescent="0.3">
      <c r="B15" s="72" t="s">
        <v>1125</v>
      </c>
      <c r="C15" s="73"/>
      <c r="D15" s="561" t="str">
        <f>"= "&amp;F14&amp;"-"&amp;F13</f>
        <v>= -</v>
      </c>
      <c r="E15" s="73"/>
      <c r="F15" s="562">
        <f>F14-F13</f>
        <v>0</v>
      </c>
      <c r="H15" s="558" t="s">
        <v>1126</v>
      </c>
      <c r="I15" s="89"/>
      <c r="J15" s="89">
        <f>K8</f>
        <v>0</v>
      </c>
      <c r="K15" s="89"/>
      <c r="L15" s="89"/>
    </row>
    <row r="16" spans="2:22" x14ac:dyDescent="0.25">
      <c r="H16" s="563" t="s">
        <v>1052</v>
      </c>
      <c r="K16" s="12">
        <f>K8-K10</f>
        <v>0</v>
      </c>
      <c r="L16" s="89"/>
    </row>
    <row r="17" spans="2:12" x14ac:dyDescent="0.25">
      <c r="B17" s="1" t="s">
        <v>1051</v>
      </c>
      <c r="G17" s="15"/>
      <c r="H17" s="558" t="s">
        <v>1127</v>
      </c>
      <c r="I17" s="89"/>
      <c r="J17" s="89"/>
      <c r="K17" s="89">
        <f>K10</f>
        <v>0</v>
      </c>
      <c r="L17" s="422" t="s">
        <v>1840</v>
      </c>
    </row>
    <row r="18" spans="2:12" x14ac:dyDescent="0.25">
      <c r="E18" s="15" t="s">
        <v>141</v>
      </c>
      <c r="F18" s="15" t="s">
        <v>141</v>
      </c>
      <c r="G18" s="89"/>
      <c r="H18" s="89"/>
      <c r="I18" s="89"/>
      <c r="J18" s="89"/>
      <c r="K18" s="89"/>
      <c r="L18" s="89"/>
    </row>
    <row r="19" spans="2:12" x14ac:dyDescent="0.25">
      <c r="B19" t="s">
        <v>1128</v>
      </c>
      <c r="E19" s="11">
        <f>F9+F10</f>
        <v>0</v>
      </c>
      <c r="F19" s="11"/>
      <c r="G19" s="89"/>
      <c r="H19" s="564" t="s">
        <v>1705</v>
      </c>
      <c r="I19" s="89"/>
      <c r="J19" s="89"/>
      <c r="K19" s="89"/>
      <c r="L19" s="89"/>
    </row>
    <row r="20" spans="2:12" x14ac:dyDescent="0.25">
      <c r="B20" s="3" t="s">
        <v>1836</v>
      </c>
      <c r="E20" s="11"/>
      <c r="F20" s="11">
        <f>F9+F10</f>
        <v>0</v>
      </c>
      <c r="H20" s="564" t="s">
        <v>1703</v>
      </c>
      <c r="I20" s="89"/>
      <c r="J20" s="89"/>
      <c r="K20" s="89"/>
      <c r="L20" s="89"/>
    </row>
    <row r="21" spans="2:12" x14ac:dyDescent="0.25">
      <c r="G21" s="89"/>
      <c r="H21" s="564" t="s">
        <v>1704</v>
      </c>
      <c r="I21" s="89"/>
      <c r="J21" s="89"/>
      <c r="K21" s="89"/>
      <c r="L21" s="89"/>
    </row>
    <row r="22" spans="2:12" x14ac:dyDescent="0.25">
      <c r="E22" s="11"/>
      <c r="F22" s="11"/>
      <c r="G22" s="89"/>
      <c r="H22" s="564"/>
      <c r="I22" s="564"/>
      <c r="J22" s="564"/>
      <c r="K22" s="564"/>
      <c r="L22" s="89"/>
    </row>
    <row r="23" spans="2:12" x14ac:dyDescent="0.25">
      <c r="B23" s="1" t="s">
        <v>1129</v>
      </c>
      <c r="E23" s="11"/>
      <c r="F23" s="11"/>
      <c r="G23" s="89"/>
      <c r="H23" s="564"/>
      <c r="I23" s="564"/>
      <c r="J23" s="564"/>
      <c r="K23" s="564"/>
      <c r="L23" s="89"/>
    </row>
    <row r="24" spans="2:12" x14ac:dyDescent="0.25">
      <c r="B24" t="str" cm="1">
        <f t="array" ref="B24">_xlfn.IFS(F15&lt;0,"DR SPL - Staff costs",F15&gt;0,"CR SPL - Staff costs",F15=0," ")</f>
        <v xml:space="preserve"> </v>
      </c>
      <c r="E24" s="11">
        <f>IF($F$15&lt;0,-$F$15,0)</f>
        <v>0</v>
      </c>
      <c r="F24" s="11">
        <f>IF($F$15&gt;0,$F$15,0)</f>
        <v>0</v>
      </c>
      <c r="G24" s="89"/>
      <c r="H24" s="564"/>
      <c r="I24" s="564"/>
      <c r="J24" s="564"/>
      <c r="K24" s="564"/>
      <c r="L24" s="89"/>
    </row>
    <row r="25" spans="2:12" x14ac:dyDescent="0.25">
      <c r="B25" t="s">
        <v>1054</v>
      </c>
      <c r="E25" s="11">
        <f>F14+F12</f>
        <v>0</v>
      </c>
      <c r="F25" s="11"/>
      <c r="G25" s="89"/>
      <c r="H25" s="564"/>
      <c r="I25" s="564"/>
      <c r="J25" s="564"/>
      <c r="K25" s="564"/>
      <c r="L25" s="89"/>
    </row>
    <row r="26" spans="2:12" x14ac:dyDescent="0.25">
      <c r="B26" t="s">
        <v>1053</v>
      </c>
      <c r="E26" s="11"/>
      <c r="F26" s="11">
        <f>F13+F12</f>
        <v>0</v>
      </c>
      <c r="G26" s="89"/>
      <c r="H26" s="564"/>
      <c r="I26" s="564"/>
      <c r="J26" s="564"/>
      <c r="K26" s="564"/>
      <c r="L26" s="89"/>
    </row>
    <row r="27" spans="2:12" x14ac:dyDescent="0.25">
      <c r="E27" s="11"/>
      <c r="F27" s="11"/>
      <c r="G27" s="89"/>
      <c r="H27" s="89"/>
      <c r="I27" s="89"/>
      <c r="J27" s="89"/>
      <c r="K27" s="89"/>
      <c r="L27" s="89"/>
    </row>
    <row r="28" spans="2:12" x14ac:dyDescent="0.25">
      <c r="E28" s="11"/>
      <c r="F28" s="11"/>
      <c r="G28" s="89"/>
      <c r="H28" s="89"/>
      <c r="I28" s="89"/>
      <c r="J28" s="89"/>
      <c r="K28" s="89"/>
      <c r="L28" s="89"/>
    </row>
    <row r="29" spans="2:12" x14ac:dyDescent="0.25">
      <c r="B29" s="1" t="s">
        <v>1055</v>
      </c>
      <c r="E29" s="11"/>
      <c r="F29" s="11"/>
      <c r="G29" s="89"/>
    </row>
    <row r="30" spans="2:12" x14ac:dyDescent="0.25">
      <c r="B30" s="422" t="s">
        <v>1706</v>
      </c>
      <c r="E30" s="11"/>
      <c r="F30" s="11"/>
      <c r="G30" s="89"/>
    </row>
    <row r="31" spans="2:12" x14ac:dyDescent="0.25">
      <c r="B31" t="s">
        <v>1056</v>
      </c>
      <c r="E31" s="11">
        <f>F8+F11</f>
        <v>0</v>
      </c>
      <c r="F31" s="11"/>
      <c r="G31" s="89"/>
    </row>
    <row r="32" spans="2:12" x14ac:dyDescent="0.25">
      <c r="B32" t="s">
        <v>1057</v>
      </c>
      <c r="E32" s="11"/>
      <c r="F32" s="11">
        <f>F8+F11</f>
        <v>0</v>
      </c>
      <c r="H32" s="15"/>
      <c r="I32" s="15"/>
      <c r="J32" s="15"/>
      <c r="K32" s="15"/>
      <c r="L32" s="15"/>
    </row>
    <row r="33" spans="2:12" x14ac:dyDescent="0.25">
      <c r="H33" s="89"/>
      <c r="I33" s="89"/>
      <c r="J33" s="89"/>
      <c r="K33" s="89"/>
      <c r="L33" s="89"/>
    </row>
    <row r="34" spans="2:12" x14ac:dyDescent="0.25">
      <c r="B34" s="1" t="s">
        <v>1058</v>
      </c>
    </row>
    <row r="35" spans="2:12" x14ac:dyDescent="0.25">
      <c r="B35" s="422" t="s">
        <v>1707</v>
      </c>
    </row>
    <row r="36" spans="2:12" x14ac:dyDescent="0.25">
      <c r="B36" s="1"/>
      <c r="E36" t="s">
        <v>1062</v>
      </c>
      <c r="F36" t="s">
        <v>1063</v>
      </c>
      <c r="G36" s="15"/>
      <c r="H36" s="12"/>
      <c r="I36" s="12"/>
      <c r="J36" s="12"/>
      <c r="K36" s="12"/>
      <c r="L36" s="12"/>
    </row>
    <row r="37" spans="2:12" x14ac:dyDescent="0.25">
      <c r="D37" t="s">
        <v>1060</v>
      </c>
      <c r="E37" s="15" t="s">
        <v>141</v>
      </c>
      <c r="F37" s="15" t="s">
        <v>141</v>
      </c>
      <c r="G37" s="89"/>
      <c r="H37" s="12"/>
      <c r="I37" s="12"/>
      <c r="J37" s="12"/>
      <c r="K37" s="12"/>
      <c r="L37" s="12"/>
    </row>
    <row r="38" spans="2:12" x14ac:dyDescent="0.25">
      <c r="B38" t="s">
        <v>573</v>
      </c>
      <c r="E38" s="11">
        <f>F3</f>
        <v>0</v>
      </c>
      <c r="F38" s="11">
        <f>F4</f>
        <v>0</v>
      </c>
      <c r="H38" s="12"/>
      <c r="I38" s="12"/>
      <c r="J38" s="12"/>
      <c r="K38" s="12"/>
      <c r="L38" s="12"/>
    </row>
    <row r="39" spans="2:12" x14ac:dyDescent="0.25">
      <c r="B39" t="s">
        <v>1059</v>
      </c>
      <c r="C39" s="748">
        <v>44652</v>
      </c>
      <c r="D39" s="189"/>
      <c r="E39" s="12">
        <f>D39*F9</f>
        <v>0</v>
      </c>
      <c r="F39">
        <v>0</v>
      </c>
      <c r="G39" s="12"/>
    </row>
    <row r="40" spans="2:12" x14ac:dyDescent="0.25">
      <c r="B40" t="s">
        <v>1130</v>
      </c>
      <c r="D40" s="189"/>
      <c r="E40" s="12">
        <f>F10*D40</f>
        <v>0</v>
      </c>
      <c r="F40" s="12">
        <f>D40*F11</f>
        <v>0</v>
      </c>
      <c r="G40" s="12"/>
    </row>
    <row r="41" spans="2:12" x14ac:dyDescent="0.25">
      <c r="B41" t="s">
        <v>1049</v>
      </c>
      <c r="D41" s="189"/>
      <c r="E41" s="12">
        <f>-($D$41*$F$12)</f>
        <v>0</v>
      </c>
      <c r="F41" s="12">
        <f>-($D$41*$F$12)</f>
        <v>0</v>
      </c>
      <c r="G41" s="12"/>
    </row>
    <row r="42" spans="2:12" x14ac:dyDescent="0.25">
      <c r="B42" t="s">
        <v>1131</v>
      </c>
      <c r="D42" s="189"/>
      <c r="E42" s="12">
        <f>D42*-F13</f>
        <v>0</v>
      </c>
      <c r="F42" s="12">
        <f>D42*-F14</f>
        <v>0</v>
      </c>
      <c r="G42" s="12"/>
    </row>
    <row r="43" spans="2:12" x14ac:dyDescent="0.25">
      <c r="B43" t="s">
        <v>1061</v>
      </c>
      <c r="E43" s="538">
        <f>SUM(E38:E42)</f>
        <v>0</v>
      </c>
      <c r="F43" s="538">
        <f>SUM(F38:F42)</f>
        <v>0</v>
      </c>
      <c r="G43" s="12"/>
    </row>
    <row r="44" spans="2:12" ht="15.75" thickBot="1" x14ac:dyDescent="0.3">
      <c r="B44" t="s">
        <v>1065</v>
      </c>
      <c r="E44" s="94">
        <f>E43*F7</f>
        <v>0</v>
      </c>
      <c r="F44" s="94">
        <f>F43*F7</f>
        <v>0</v>
      </c>
      <c r="H44" s="12"/>
      <c r="I44" s="12"/>
      <c r="J44" s="12"/>
      <c r="K44" s="12"/>
      <c r="L44" s="12"/>
    </row>
    <row r="45" spans="2:12" ht="15.75" thickTop="1" x14ac:dyDescent="0.25">
      <c r="E45" s="695" t="str">
        <f>E43&amp;" * "&amp;$F$7*100&amp;"%"</f>
        <v>0 * 0%</v>
      </c>
      <c r="F45" s="695" t="str">
        <f>F43&amp;" * "&amp;$F$7*100&amp;"%"</f>
        <v>0 * 0%</v>
      </c>
      <c r="H45" s="12"/>
      <c r="I45" s="12"/>
      <c r="J45" s="12"/>
      <c r="K45" s="12"/>
      <c r="L45" s="12"/>
    </row>
    <row r="46" spans="2:12" ht="15.75" thickBot="1" x14ac:dyDescent="0.3">
      <c r="B46" t="s">
        <v>1837</v>
      </c>
      <c r="E46" s="695"/>
      <c r="F46" s="749">
        <f>E44-F44</f>
        <v>0</v>
      </c>
      <c r="H46" s="12"/>
      <c r="I46" s="12"/>
      <c r="J46" s="12"/>
      <c r="K46" s="12"/>
      <c r="L46" s="12"/>
    </row>
    <row r="47" spans="2:12" ht="15.75" thickTop="1" x14ac:dyDescent="0.25"/>
    <row r="48" spans="2:12" x14ac:dyDescent="0.25">
      <c r="B48" t="str">
        <f>IF(E44&gt;0,"DR Pension account (assets)","CR Pension account (assets)")</f>
        <v>CR Pension account (assets)</v>
      </c>
      <c r="E48" s="12" t="str">
        <f>IF($E$44&gt;0,$E$44," ")</f>
        <v xml:space="preserve"> </v>
      </c>
      <c r="F48" s="12" t="str">
        <f>IF($E$44&lt;0,-$E$44," ")</f>
        <v xml:space="preserve"> </v>
      </c>
      <c r="G48" s="12"/>
    </row>
    <row r="49" spans="2:12" x14ac:dyDescent="0.25">
      <c r="B49" t="str">
        <f>IF(F44&gt;0,"CR Pension account (obligation)","DR Pension account (obligation)")</f>
        <v>DR Pension account (obligation)</v>
      </c>
      <c r="E49" s="12" t="str">
        <f>IF($F$44&lt;0,-$F$44," ")</f>
        <v xml:space="preserve"> </v>
      </c>
      <c r="F49" s="12" t="str">
        <f>IF($F$44&gt;0,$F$44," ")</f>
        <v xml:space="preserve"> </v>
      </c>
      <c r="G49" s="12"/>
    </row>
    <row r="50" spans="2:12" ht="33.6" customHeight="1" x14ac:dyDescent="0.25">
      <c r="B50" t="str">
        <f>IF(E44-F44&lt;0,"DR SPL - Finance costs","CR SPL - Finance income")</f>
        <v>CR SPL - Finance income</v>
      </c>
      <c r="E50" s="12">
        <f>IF($E$44-$F$44&lt;0,-($E$44-$F$44),0)</f>
        <v>0</v>
      </c>
      <c r="F50">
        <f>IF($E$44-$F$44&gt;0,($E$44-$F$44),0)</f>
        <v>0</v>
      </c>
      <c r="G50" s="422"/>
    </row>
    <row r="51" spans="2:12" x14ac:dyDescent="0.25">
      <c r="H51" s="15"/>
      <c r="I51" s="15"/>
      <c r="J51" s="15"/>
      <c r="K51" s="15"/>
      <c r="L51" s="15"/>
    </row>
    <row r="52" spans="2:12" x14ac:dyDescent="0.25">
      <c r="H52" s="89"/>
      <c r="I52" s="89"/>
      <c r="J52" s="89"/>
      <c r="K52" s="89"/>
      <c r="L52" s="89"/>
    </row>
    <row r="53" spans="2:12" x14ac:dyDescent="0.25">
      <c r="B53" s="1" t="s">
        <v>1066</v>
      </c>
    </row>
    <row r="54" spans="2:12" x14ac:dyDescent="0.25">
      <c r="E54" t="s">
        <v>1067</v>
      </c>
      <c r="F54" t="s">
        <v>1068</v>
      </c>
      <c r="G54" s="15"/>
      <c r="H54" s="12"/>
      <c r="I54" s="12"/>
      <c r="J54" s="12"/>
      <c r="K54" s="12"/>
      <c r="L54" s="12"/>
    </row>
    <row r="55" spans="2:12" x14ac:dyDescent="0.25">
      <c r="E55" s="15" t="s">
        <v>141</v>
      </c>
      <c r="F55" s="15" t="s">
        <v>141</v>
      </c>
      <c r="G55" s="89"/>
      <c r="H55" s="12"/>
      <c r="I55" s="12"/>
      <c r="J55" s="12"/>
      <c r="K55" s="12"/>
      <c r="L55" s="12"/>
    </row>
    <row r="56" spans="2:12" x14ac:dyDescent="0.25">
      <c r="B56" t="s">
        <v>573</v>
      </c>
      <c r="E56" s="11">
        <f>F3</f>
        <v>0</v>
      </c>
      <c r="F56" s="11">
        <f>F4</f>
        <v>0</v>
      </c>
      <c r="H56" s="12"/>
      <c r="I56" s="12"/>
      <c r="J56" s="12"/>
      <c r="K56" s="12"/>
      <c r="L56" s="12"/>
    </row>
    <row r="57" spans="2:12" x14ac:dyDescent="0.25">
      <c r="B57" t="s">
        <v>1069</v>
      </c>
      <c r="E57" s="12">
        <f>F9+F10</f>
        <v>0</v>
      </c>
      <c r="G57" s="12"/>
      <c r="H57" s="12"/>
      <c r="I57" s="12"/>
      <c r="J57" s="12"/>
      <c r="K57" s="12"/>
      <c r="L57" s="12"/>
    </row>
    <row r="58" spans="2:12" x14ac:dyDescent="0.25">
      <c r="B58" t="s">
        <v>1049</v>
      </c>
      <c r="E58" s="12">
        <f>-F12</f>
        <v>0</v>
      </c>
      <c r="F58" s="12">
        <f>-F12</f>
        <v>0</v>
      </c>
      <c r="G58" s="12"/>
      <c r="H58" s="12"/>
      <c r="I58" s="12"/>
      <c r="J58" s="12"/>
      <c r="K58" s="12"/>
      <c r="L58" s="12"/>
    </row>
    <row r="59" spans="2:12" x14ac:dyDescent="0.25">
      <c r="B59" t="s">
        <v>1131</v>
      </c>
      <c r="E59" s="12">
        <f>-F13</f>
        <v>0</v>
      </c>
      <c r="F59" s="12">
        <f>-F14</f>
        <v>0</v>
      </c>
      <c r="G59" s="12"/>
      <c r="H59" s="89"/>
      <c r="I59" s="89"/>
      <c r="J59" s="89"/>
      <c r="K59" s="89"/>
      <c r="L59" s="89"/>
    </row>
    <row r="60" spans="2:12" x14ac:dyDescent="0.25">
      <c r="B60" t="s">
        <v>1047</v>
      </c>
      <c r="F60" s="12">
        <f>F8</f>
        <v>0</v>
      </c>
      <c r="G60" s="12"/>
      <c r="H60" s="89"/>
      <c r="I60" s="89"/>
      <c r="J60" s="89"/>
      <c r="K60" s="89"/>
      <c r="L60" s="89"/>
    </row>
    <row r="61" spans="2:12" x14ac:dyDescent="0.25">
      <c r="B61" t="s">
        <v>1132</v>
      </c>
      <c r="F61" s="12">
        <f>F11</f>
        <v>0</v>
      </c>
      <c r="G61" s="12"/>
      <c r="H61" s="12"/>
      <c r="I61" s="12"/>
      <c r="J61" s="12"/>
      <c r="K61" s="12"/>
      <c r="L61" s="12"/>
    </row>
    <row r="62" spans="2:12" x14ac:dyDescent="0.25">
      <c r="B62" t="s">
        <v>1070</v>
      </c>
      <c r="E62" s="12">
        <f>E44</f>
        <v>0</v>
      </c>
      <c r="F62" s="12">
        <f>F44</f>
        <v>0</v>
      </c>
      <c r="G62" s="12"/>
    </row>
    <row r="63" spans="2:12" x14ac:dyDescent="0.25">
      <c r="E63" s="195">
        <f>SUM(E56:E62)</f>
        <v>0</v>
      </c>
      <c r="F63" s="195">
        <f>SUM(F56:F62)</f>
        <v>0</v>
      </c>
      <c r="G63" s="89"/>
    </row>
    <row r="64" spans="2:12" x14ac:dyDescent="0.25">
      <c r="B64" t="s">
        <v>841</v>
      </c>
      <c r="E64" s="11">
        <f>E3</f>
        <v>0</v>
      </c>
      <c r="F64" s="11">
        <f>E4</f>
        <v>0</v>
      </c>
      <c r="G64" s="12"/>
      <c r="H64" s="15"/>
      <c r="I64" s="15"/>
      <c r="J64" s="15"/>
      <c r="K64" s="15"/>
      <c r="L64" s="15"/>
    </row>
    <row r="65" spans="2:12" ht="15.75" thickBot="1" x14ac:dyDescent="0.3">
      <c r="B65" t="s">
        <v>1071</v>
      </c>
      <c r="E65" s="94">
        <f>E64-E63</f>
        <v>0</v>
      </c>
      <c r="F65" s="94">
        <f>F64-F63</f>
        <v>0</v>
      </c>
      <c r="H65" s="12"/>
      <c r="I65" s="12"/>
      <c r="J65" s="12"/>
      <c r="K65" s="12"/>
      <c r="L65" s="12"/>
    </row>
    <row r="66" spans="2:12" ht="15.75" thickTop="1" x14ac:dyDescent="0.25">
      <c r="H66" s="12"/>
      <c r="I66" s="12"/>
      <c r="J66" s="12"/>
      <c r="K66" s="12"/>
      <c r="L66" s="12"/>
    </row>
    <row r="67" spans="2:12" x14ac:dyDescent="0.25">
      <c r="B67" t="s">
        <v>1133</v>
      </c>
      <c r="C67" t="str">
        <f>E65&amp;" - "&amp;F65&amp;" = £"&amp;(E65-F65)</f>
        <v>0 - 0 = £0</v>
      </c>
      <c r="G67" s="15"/>
      <c r="H67" s="12"/>
      <c r="I67" s="12"/>
      <c r="J67" s="12"/>
      <c r="K67" s="12"/>
      <c r="L67" s="12"/>
    </row>
    <row r="68" spans="2:12" x14ac:dyDescent="0.25">
      <c r="E68" s="15" t="s">
        <v>141</v>
      </c>
      <c r="F68" s="15" t="s">
        <v>141</v>
      </c>
      <c r="G68" s="12"/>
    </row>
    <row r="69" spans="2:12" x14ac:dyDescent="0.25">
      <c r="B69" t="str">
        <f>IF(E65&gt;0,"DR Pension account (assets)","CR Pension account (assets)")</f>
        <v>CR Pension account (assets)</v>
      </c>
      <c r="E69" s="12" t="str">
        <f>IF($E$65&gt;0,$E$65," ")</f>
        <v xml:space="preserve"> </v>
      </c>
      <c r="F69" s="12" t="str">
        <f>IF($E$65&lt;0,-$E$65," ")</f>
        <v xml:space="preserve"> </v>
      </c>
      <c r="G69" s="12"/>
    </row>
    <row r="70" spans="2:12" x14ac:dyDescent="0.25">
      <c r="B70" t="str">
        <f>IF(F65&gt;0,"CR Pension account (obligation)","DR Pension account (obligation)")</f>
        <v>DR Pension account (obligation)</v>
      </c>
      <c r="E70" s="12" t="str">
        <f>IF($F$65&lt;0,-$F$65," ")</f>
        <v xml:space="preserve"> </v>
      </c>
      <c r="F70" s="12" t="str">
        <f>IF($F$65&gt;0,$F$65," ")</f>
        <v xml:space="preserve"> </v>
      </c>
      <c r="G70" s="12"/>
    </row>
    <row r="71" spans="2:12" x14ac:dyDescent="0.25">
      <c r="B71" t="str">
        <f>IF((E65-F65)&gt;0,"CR Retained earnings","DR Retained earnings")</f>
        <v>DR Retained earnings</v>
      </c>
      <c r="E71" s="12">
        <f>IF(($E$65-$F$65)&lt;0,-($E$65-$F$65),0)</f>
        <v>0</v>
      </c>
      <c r="F71" s="12">
        <f>IF(($E$65-$F$65)&gt;0,$E$65-$F$65,0)</f>
        <v>0</v>
      </c>
    </row>
    <row r="75" spans="2:12" x14ac:dyDescent="0.25">
      <c r="B75" s="422" t="s">
        <v>1838</v>
      </c>
    </row>
    <row r="76" spans="2:12" ht="15.75" thickBot="1" x14ac:dyDescent="0.3">
      <c r="B76" t="str">
        <f>IF((SUM(E24+E31+E50)-SUM(F24+F31+F50))&gt;0,"Total defined benefit pension expense","Total defined benefit pension income")</f>
        <v>Total defined benefit pension income</v>
      </c>
      <c r="F76" s="565">
        <f>ABS(SUM(E24+E31+E50)-SUM(F24+F31+F50))</f>
        <v>0</v>
      </c>
    </row>
    <row r="77" spans="2:12" ht="15.75" thickTop="1" x14ac:dyDescent="0.25">
      <c r="B77" s="1"/>
      <c r="F77" s="221"/>
    </row>
    <row r="78" spans="2:12" x14ac:dyDescent="0.25">
      <c r="B78" s="1" t="s">
        <v>1134</v>
      </c>
    </row>
    <row r="79" spans="2:12" x14ac:dyDescent="0.25">
      <c r="B79" s="1" t="s">
        <v>4</v>
      </c>
    </row>
    <row r="80" spans="2:12" ht="15.75" thickBot="1" x14ac:dyDescent="0.3">
      <c r="B80" t="s">
        <v>1135</v>
      </c>
      <c r="F80" s="565">
        <f>F71-E71</f>
        <v>0</v>
      </c>
    </row>
    <row r="81" spans="2:8" ht="15.75" thickTop="1" x14ac:dyDescent="0.25"/>
    <row r="82" spans="2:8" x14ac:dyDescent="0.25">
      <c r="B82" s="1" t="s">
        <v>73</v>
      </c>
    </row>
    <row r="83" spans="2:8" ht="15.75" thickBot="1" x14ac:dyDescent="0.3">
      <c r="B83" t="s">
        <v>1136</v>
      </c>
      <c r="F83" s="565">
        <f>IF(F64&lt;E64,-(F64-E64),0)</f>
        <v>0</v>
      </c>
      <c r="H83" s="422" t="s">
        <v>1839</v>
      </c>
    </row>
    <row r="84" spans="2:8" ht="15.75" thickTop="1" x14ac:dyDescent="0.25"/>
    <row r="85" spans="2:8" x14ac:dyDescent="0.25">
      <c r="B85" s="566" t="s">
        <v>1137</v>
      </c>
      <c r="C85" s="191"/>
      <c r="D85" s="191"/>
      <c r="E85" s="191"/>
      <c r="F85" s="191"/>
    </row>
    <row r="86" spans="2:8" ht="15.75" thickBot="1" x14ac:dyDescent="0.3">
      <c r="B86" s="567" t="s">
        <v>1138</v>
      </c>
      <c r="C86" s="191"/>
      <c r="D86" s="191"/>
      <c r="E86" s="191"/>
      <c r="F86" s="565">
        <f>IF(F64&gt;E64,F64-E64,0)</f>
        <v>0</v>
      </c>
    </row>
    <row r="87" spans="2:8" ht="15.75" thickTop="1" x14ac:dyDescent="0.25"/>
    <row r="90" spans="2:8" x14ac:dyDescent="0.25">
      <c r="B90" t="s">
        <v>1139</v>
      </c>
    </row>
  </sheetData>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F60381-FAF9-4433-890A-FF13998983AF}">
  <sheetPr>
    <tabColor theme="7" tint="0.79998168889431442"/>
  </sheetPr>
  <dimension ref="A2:P156"/>
  <sheetViews>
    <sheetView zoomScale="70" zoomScaleNormal="70" workbookViewId="0"/>
  </sheetViews>
  <sheetFormatPr defaultRowHeight="15" x14ac:dyDescent="0.25"/>
  <cols>
    <col min="1" max="1" width="42.5703125" customWidth="1"/>
    <col min="2" max="2" width="28.28515625" customWidth="1"/>
    <col min="3" max="3" width="16.140625" customWidth="1"/>
    <col min="4" max="4" width="16.85546875" customWidth="1"/>
    <col min="5" max="5" width="15.42578125" bestFit="1" customWidth="1"/>
    <col min="6" max="6" width="15.42578125" customWidth="1"/>
    <col min="7" max="7" width="16.7109375" customWidth="1"/>
    <col min="8" max="8" width="14.42578125" bestFit="1" customWidth="1"/>
    <col min="10" max="10" width="9.5703125" customWidth="1"/>
    <col min="11" max="11" width="15.42578125" customWidth="1"/>
    <col min="12" max="12" width="15" customWidth="1"/>
    <col min="13" max="14" width="14.42578125" bestFit="1" customWidth="1"/>
  </cols>
  <sheetData>
    <row r="2" spans="1:14" ht="18.75" x14ac:dyDescent="0.3">
      <c r="A2" s="686" t="s">
        <v>1466</v>
      </c>
      <c r="B2" s="661"/>
      <c r="C2" s="661"/>
      <c r="D2" s="661"/>
      <c r="E2" s="661"/>
      <c r="F2" s="661"/>
      <c r="G2" s="661"/>
      <c r="H2" s="661"/>
      <c r="I2" s="661"/>
      <c r="J2" s="661"/>
      <c r="K2" s="661"/>
      <c r="L2" s="661"/>
    </row>
    <row r="3" spans="1:14" x14ac:dyDescent="0.25">
      <c r="A3" s="422" t="s">
        <v>1956</v>
      </c>
      <c r="N3" s="422" t="s">
        <v>1857</v>
      </c>
    </row>
    <row r="4" spans="1:14" x14ac:dyDescent="0.25">
      <c r="A4" s="422" t="s">
        <v>1669</v>
      </c>
      <c r="N4" s="422" t="s">
        <v>1858</v>
      </c>
    </row>
    <row r="5" spans="1:14" x14ac:dyDescent="0.25">
      <c r="A5" s="422" t="s">
        <v>1957</v>
      </c>
      <c r="N5" s="422"/>
    </row>
    <row r="6" spans="1:14" x14ac:dyDescent="0.25">
      <c r="A6" s="422" t="s">
        <v>1960</v>
      </c>
      <c r="N6" s="422"/>
    </row>
    <row r="7" spans="1:14" x14ac:dyDescent="0.25">
      <c r="A7" t="s">
        <v>1469</v>
      </c>
      <c r="C7" s="3"/>
      <c r="N7" s="422" t="s">
        <v>1851</v>
      </c>
    </row>
    <row r="8" spans="1:14" x14ac:dyDescent="0.25">
      <c r="A8" t="s">
        <v>1468</v>
      </c>
      <c r="C8" s="14"/>
    </row>
    <row r="9" spans="1:14" x14ac:dyDescent="0.25">
      <c r="A9" t="s">
        <v>1467</v>
      </c>
      <c r="C9" s="3"/>
      <c r="N9" s="422" t="str">
        <f>"At year end, the share option scheme is at the end of year x of a "&amp;C9&amp;" year vesting period and therefore x/"&amp;C9&amp;" of the total fair value should be accounted for:"</f>
        <v>At year end, the share option scheme is at the end of year x of a  year vesting period and therefore x/ of the total fair value should be accounted for:</v>
      </c>
    </row>
    <row r="10" spans="1:14" x14ac:dyDescent="0.25">
      <c r="A10" t="s">
        <v>1470</v>
      </c>
      <c r="C10" s="196"/>
      <c r="N10" s="422"/>
    </row>
    <row r="11" spans="1:14" x14ac:dyDescent="0.25">
      <c r="N11" s="422" t="s">
        <v>1852</v>
      </c>
    </row>
    <row r="12" spans="1:14" x14ac:dyDescent="0.25">
      <c r="A12" t="s">
        <v>1471</v>
      </c>
      <c r="C12" s="651" t="e">
        <f>(C7*C8*C10)/C9</f>
        <v>#DIV/0!</v>
      </c>
      <c r="N12" s="422"/>
    </row>
    <row r="13" spans="1:14" x14ac:dyDescent="0.25">
      <c r="C13" s="651"/>
      <c r="N13" s="422" t="s">
        <v>1853</v>
      </c>
    </row>
    <row r="14" spans="1:14" x14ac:dyDescent="0.25">
      <c r="A14" s="422" t="s">
        <v>1670</v>
      </c>
      <c r="C14" s="651"/>
      <c r="N14" s="422" t="s">
        <v>1852</v>
      </c>
    </row>
    <row r="15" spans="1:14" x14ac:dyDescent="0.25">
      <c r="A15" s="422" t="s">
        <v>1958</v>
      </c>
    </row>
    <row r="16" spans="1:14" ht="15.75" thickBot="1" x14ac:dyDescent="0.3">
      <c r="A16" s="422" t="s">
        <v>1959</v>
      </c>
    </row>
    <row r="17" spans="1:13" x14ac:dyDescent="0.25">
      <c r="A17" s="652" t="s">
        <v>1474</v>
      </c>
      <c r="B17" s="653" t="s">
        <v>1472</v>
      </c>
      <c r="C17" s="63" t="s">
        <v>1473</v>
      </c>
      <c r="D17" s="63" t="s">
        <v>276</v>
      </c>
      <c r="E17" s="653" t="s">
        <v>80</v>
      </c>
      <c r="F17" s="654" t="s">
        <v>208</v>
      </c>
      <c r="H17" s="75" t="s">
        <v>1476</v>
      </c>
      <c r="I17" s="63"/>
      <c r="J17" s="63"/>
      <c r="K17" s="63"/>
      <c r="L17" s="64"/>
    </row>
    <row r="18" spans="1:13" x14ac:dyDescent="0.25">
      <c r="A18" s="65"/>
      <c r="B18" s="66"/>
      <c r="C18" s="66"/>
      <c r="D18" s="66"/>
      <c r="E18" s="67" t="s">
        <v>10</v>
      </c>
      <c r="F18" s="126" t="s">
        <v>10</v>
      </c>
      <c r="H18" s="65"/>
      <c r="I18" s="66"/>
      <c r="J18" s="66"/>
      <c r="K18" s="66"/>
      <c r="L18" s="68"/>
      <c r="M18" s="422" t="s">
        <v>1961</v>
      </c>
    </row>
    <row r="19" spans="1:13" x14ac:dyDescent="0.25">
      <c r="A19" s="65">
        <v>1</v>
      </c>
      <c r="B19" s="49"/>
      <c r="C19" s="85">
        <f>B19*$C$8</f>
        <v>0</v>
      </c>
      <c r="D19" s="85">
        <f>C19*$C$10</f>
        <v>0</v>
      </c>
      <c r="E19" s="85" t="e">
        <f>D19/$C$9*A19</f>
        <v>#DIV/0!</v>
      </c>
      <c r="F19" s="71" t="e">
        <f>E19</f>
        <v>#DIV/0!</v>
      </c>
      <c r="H19" s="879">
        <v>1</v>
      </c>
      <c r="I19" s="66" t="s">
        <v>1475</v>
      </c>
      <c r="J19" s="66"/>
      <c r="K19" s="17" t="e">
        <f>F19</f>
        <v>#DIV/0!</v>
      </c>
      <c r="L19" s="68"/>
      <c r="M19" s="422" t="s">
        <v>1675</v>
      </c>
    </row>
    <row r="20" spans="1:13" s="183" customFormat="1" x14ac:dyDescent="0.25">
      <c r="A20" s="185"/>
      <c r="B20" s="151" t="str">
        <f ca="1">IFERROR(_xlfn.FORMULATEXT(B19)," ")</f>
        <v xml:space="preserve"> </v>
      </c>
      <c r="C20" s="111"/>
      <c r="D20" s="111"/>
      <c r="E20" s="111"/>
      <c r="F20" s="140"/>
      <c r="H20" s="879"/>
      <c r="I20" s="151" t="s">
        <v>882</v>
      </c>
      <c r="J20" s="151"/>
      <c r="K20" s="151"/>
      <c r="L20" s="140" t="e">
        <f>F19</f>
        <v>#DIV/0!</v>
      </c>
    </row>
    <row r="21" spans="1:13" x14ac:dyDescent="0.25">
      <c r="A21" s="65">
        <v>2</v>
      </c>
      <c r="B21" s="49"/>
      <c r="C21" s="85">
        <f>B21*$C$8</f>
        <v>0</v>
      </c>
      <c r="D21" s="85">
        <f>C21*$C$10</f>
        <v>0</v>
      </c>
      <c r="E21" s="85" t="e">
        <f>D21/$C$9*A21</f>
        <v>#DIV/0!</v>
      </c>
      <c r="F21" s="71" t="e">
        <f>E21-E19</f>
        <v>#DIV/0!</v>
      </c>
      <c r="H21" s="879">
        <v>2</v>
      </c>
      <c r="I21" s="66" t="s">
        <v>1475</v>
      </c>
      <c r="J21" s="66"/>
      <c r="K21" s="17" t="e">
        <f>F21</f>
        <v>#DIV/0!</v>
      </c>
      <c r="L21" s="68"/>
    </row>
    <row r="22" spans="1:13" s="183" customFormat="1" x14ac:dyDescent="0.25">
      <c r="A22" s="185"/>
      <c r="B22" s="687" t="str">
        <f ca="1">IFERROR(_xlfn.FORMULATEXT(B21)," ")</f>
        <v xml:space="preserve"> </v>
      </c>
      <c r="C22" s="111"/>
      <c r="D22" s="111"/>
      <c r="E22" s="111"/>
      <c r="F22" s="140"/>
      <c r="H22" s="879"/>
      <c r="I22" s="151" t="s">
        <v>882</v>
      </c>
      <c r="J22" s="151"/>
      <c r="K22" s="151"/>
      <c r="L22" s="140" t="e">
        <f>F21</f>
        <v>#DIV/0!</v>
      </c>
    </row>
    <row r="23" spans="1:13" x14ac:dyDescent="0.25">
      <c r="A23" s="65">
        <v>3</v>
      </c>
      <c r="B23" s="49"/>
      <c r="C23" s="85">
        <f>B23*$C$8</f>
        <v>0</v>
      </c>
      <c r="D23" s="85">
        <f>C23*$C$10</f>
        <v>0</v>
      </c>
      <c r="E23" s="85" t="e">
        <f>D23/$C$9*A23</f>
        <v>#DIV/0!</v>
      </c>
      <c r="F23" s="71" t="e">
        <f>E23-E21</f>
        <v>#DIV/0!</v>
      </c>
      <c r="H23" s="879">
        <v>3</v>
      </c>
      <c r="I23" s="66" t="s">
        <v>1475</v>
      </c>
      <c r="J23" s="66"/>
      <c r="K23" s="17" t="e">
        <f>F23</f>
        <v>#DIV/0!</v>
      </c>
      <c r="L23" s="68"/>
    </row>
    <row r="24" spans="1:13" ht="15.75" thickBot="1" x14ac:dyDescent="0.3">
      <c r="A24" s="72"/>
      <c r="B24" s="73" t="str">
        <f ca="1">IFERROR(_xlfn.FORMULATEXT(B23)," ")</f>
        <v xml:space="preserve"> </v>
      </c>
      <c r="C24" s="73"/>
      <c r="D24" s="73"/>
      <c r="E24" s="73"/>
      <c r="F24" s="82"/>
      <c r="H24" s="880"/>
      <c r="I24" s="655" t="s">
        <v>882</v>
      </c>
      <c r="J24" s="73"/>
      <c r="K24" s="73"/>
      <c r="L24" s="110" t="e">
        <f>F23</f>
        <v>#DIV/0!</v>
      </c>
    </row>
    <row r="25" spans="1:13" x14ac:dyDescent="0.25">
      <c r="A25" s="66"/>
      <c r="B25" s="66"/>
      <c r="C25" s="66"/>
      <c r="D25" s="66"/>
      <c r="E25" s="66"/>
      <c r="F25" s="66"/>
      <c r="H25" s="657"/>
      <c r="I25" s="151"/>
      <c r="J25" s="66"/>
      <c r="K25" s="66"/>
      <c r="L25" s="17"/>
    </row>
    <row r="26" spans="1:13" x14ac:dyDescent="0.25">
      <c r="A26" s="623" t="s">
        <v>1481</v>
      </c>
      <c r="B26" s="624"/>
      <c r="C26" s="624"/>
    </row>
    <row r="27" spans="1:13" x14ac:dyDescent="0.25">
      <c r="A27" s="422" t="s">
        <v>1676</v>
      </c>
    </row>
    <row r="28" spans="1:13" x14ac:dyDescent="0.25">
      <c r="A28" t="s">
        <v>1482</v>
      </c>
      <c r="B28" s="762" t="e">
        <f>SUM(K18:K24)</f>
        <v>#DIV/0!</v>
      </c>
    </row>
    <row r="30" spans="1:13" x14ac:dyDescent="0.25">
      <c r="A30" t="s">
        <v>1483</v>
      </c>
      <c r="B30" s="368"/>
    </row>
    <row r="31" spans="1:13" x14ac:dyDescent="0.25">
      <c r="A31" t="s">
        <v>1484</v>
      </c>
      <c r="B31" s="3"/>
    </row>
    <row r="32" spans="1:13" x14ac:dyDescent="0.25">
      <c r="A32" t="s">
        <v>1488</v>
      </c>
      <c r="B32" s="14"/>
      <c r="C32" s="422" t="str">
        <f ca="1">IFERROR(_xlfn.FORMULATEXT(B32)," ")</f>
        <v xml:space="preserve"> </v>
      </c>
    </row>
    <row r="33" spans="1:3" x14ac:dyDescent="0.25">
      <c r="A33" t="s">
        <v>1489</v>
      </c>
      <c r="B33" s="35"/>
    </row>
    <row r="35" spans="1:3" x14ac:dyDescent="0.25">
      <c r="A35" t="s">
        <v>17</v>
      </c>
      <c r="B35" s="11">
        <f>B32*B31</f>
        <v>0</v>
      </c>
    </row>
    <row r="36" spans="1:3" x14ac:dyDescent="0.25">
      <c r="A36" t="s">
        <v>678</v>
      </c>
      <c r="B36" s="11">
        <f>(B30-B31)*B32</f>
        <v>0</v>
      </c>
    </row>
    <row r="37" spans="1:3" x14ac:dyDescent="0.25">
      <c r="B37" s="538">
        <f>SUM(B35:B36)</f>
        <v>0</v>
      </c>
    </row>
    <row r="39" spans="1:3" x14ac:dyDescent="0.25">
      <c r="A39" s="3" t="s">
        <v>289</v>
      </c>
      <c r="B39" s="12">
        <f>B37</f>
        <v>0</v>
      </c>
    </row>
    <row r="40" spans="1:3" x14ac:dyDescent="0.25">
      <c r="A40" t="s">
        <v>370</v>
      </c>
      <c r="C40" s="12">
        <f>B35</f>
        <v>0</v>
      </c>
    </row>
    <row r="41" spans="1:3" x14ac:dyDescent="0.25">
      <c r="A41" t="s">
        <v>371</v>
      </c>
      <c r="C41" s="12">
        <f>B36</f>
        <v>0</v>
      </c>
    </row>
    <row r="45" spans="1:3" x14ac:dyDescent="0.25">
      <c r="A45" s="9" t="s">
        <v>1485</v>
      </c>
    </row>
    <row r="46" spans="1:3" x14ac:dyDescent="0.25">
      <c r="A46" t="s">
        <v>1486</v>
      </c>
      <c r="B46" s="12" t="e">
        <f>$B$33*SUM($K$19:$K$24)</f>
        <v>#DIV/0!</v>
      </c>
    </row>
    <row r="47" spans="1:3" x14ac:dyDescent="0.25">
      <c r="A47" t="s">
        <v>1487</v>
      </c>
      <c r="C47" s="12" t="e">
        <f>$B$33*SUM($K$19:$K$24)</f>
        <v>#DIV/0!</v>
      </c>
    </row>
    <row r="50" spans="1:14" x14ac:dyDescent="0.25">
      <c r="A50" s="623" t="s">
        <v>1490</v>
      </c>
      <c r="B50" s="624"/>
      <c r="C50" s="624"/>
    </row>
    <row r="51" spans="1:14" x14ac:dyDescent="0.25">
      <c r="A51" t="s">
        <v>1486</v>
      </c>
      <c r="B51" s="12" t="e">
        <f>(1-B33)*SUM($K$19:$K$24)</f>
        <v>#DIV/0!</v>
      </c>
    </row>
    <row r="52" spans="1:14" x14ac:dyDescent="0.25">
      <c r="A52" t="s">
        <v>1487</v>
      </c>
      <c r="C52" s="12" t="e">
        <f>(1-C34)*SUM($K$19:$K$24)</f>
        <v>#DIV/0!</v>
      </c>
    </row>
    <row r="59" spans="1:14" ht="18.75" x14ac:dyDescent="0.3">
      <c r="A59" s="686" t="s">
        <v>1477</v>
      </c>
      <c r="B59" s="661"/>
      <c r="C59" s="661"/>
      <c r="D59" s="661"/>
      <c r="E59" s="661"/>
      <c r="F59" s="661"/>
      <c r="G59" s="661"/>
    </row>
    <row r="60" spans="1:14" x14ac:dyDescent="0.25">
      <c r="A60" t="s">
        <v>1469</v>
      </c>
      <c r="C60" s="3"/>
      <c r="N60" s="422" t="s">
        <v>1848</v>
      </c>
    </row>
    <row r="61" spans="1:14" x14ac:dyDescent="0.25">
      <c r="A61" t="s">
        <v>1468</v>
      </c>
      <c r="C61" s="14"/>
      <c r="N61" s="422" t="s">
        <v>1849</v>
      </c>
    </row>
    <row r="62" spans="1:14" x14ac:dyDescent="0.25">
      <c r="A62" t="s">
        <v>1467</v>
      </c>
      <c r="C62" s="3"/>
      <c r="N62" s="422"/>
    </row>
    <row r="63" spans="1:14" x14ac:dyDescent="0.25">
      <c r="N63" s="422"/>
    </row>
    <row r="64" spans="1:14" x14ac:dyDescent="0.25">
      <c r="B64" t="s">
        <v>1479</v>
      </c>
      <c r="C64" t="s">
        <v>1478</v>
      </c>
      <c r="D64" t="s">
        <v>1847</v>
      </c>
      <c r="N64" s="422" t="s">
        <v>1850</v>
      </c>
    </row>
    <row r="65" spans="1:14" x14ac:dyDescent="0.25">
      <c r="A65" t="s">
        <v>1470</v>
      </c>
      <c r="B65" s="3"/>
      <c r="C65" s="650"/>
      <c r="D65" s="650"/>
      <c r="N65" s="422"/>
    </row>
    <row r="66" spans="1:14" x14ac:dyDescent="0.25">
      <c r="N66" s="422" t="s">
        <v>1851</v>
      </c>
    </row>
    <row r="67" spans="1:14" x14ac:dyDescent="0.25">
      <c r="A67" t="s">
        <v>1480</v>
      </c>
      <c r="D67" s="15" t="s">
        <v>1847</v>
      </c>
      <c r="N67" s="422"/>
    </row>
    <row r="68" spans="1:14" x14ac:dyDescent="0.25">
      <c r="N68" s="422" t="str">
        <f>"At year end, the share option scheme is at the end of year x of a "&amp;C62&amp;" year vesting period and therefore x/"&amp;C62&amp;" of the total fair value should be accounted for:"</f>
        <v>At year end, the share option scheme is at the end of year x of a  year vesting period and therefore x/ of the total fair value should be accounted for:</v>
      </c>
    </row>
    <row r="69" spans="1:14" x14ac:dyDescent="0.25">
      <c r="A69" t="s">
        <v>1471</v>
      </c>
      <c r="D69" s="651" cm="1">
        <f t="array" ref="D69">(C60*C61*_xlfn.IFS(D67="scenario 1",B65,D67="scenario 2",C65,D67="scenario 3",D65))</f>
        <v>0</v>
      </c>
      <c r="N69" s="422"/>
    </row>
    <row r="70" spans="1:14" x14ac:dyDescent="0.25">
      <c r="N70" s="422" t="s">
        <v>1852</v>
      </c>
    </row>
    <row r="71" spans="1:14" ht="15.75" thickBot="1" x14ac:dyDescent="0.3">
      <c r="N71" s="422"/>
    </row>
    <row r="72" spans="1:14" x14ac:dyDescent="0.25">
      <c r="A72" s="652" t="s">
        <v>1474</v>
      </c>
      <c r="B72" s="653" t="s">
        <v>1472</v>
      </c>
      <c r="C72" s="63" t="s">
        <v>1473</v>
      </c>
      <c r="D72" s="63" t="s">
        <v>276</v>
      </c>
      <c r="E72" s="63" t="s">
        <v>80</v>
      </c>
      <c r="F72" s="64" t="s">
        <v>208</v>
      </c>
      <c r="H72" s="75" t="s">
        <v>1476</v>
      </c>
      <c r="I72" s="63"/>
      <c r="J72" s="63"/>
      <c r="K72" s="63"/>
      <c r="L72" s="64"/>
      <c r="N72" s="422" t="s">
        <v>1853</v>
      </c>
    </row>
    <row r="73" spans="1:14" x14ac:dyDescent="0.25">
      <c r="A73" s="65"/>
      <c r="B73" s="66"/>
      <c r="C73" s="66"/>
      <c r="D73" s="67" t="s">
        <v>141</v>
      </c>
      <c r="E73" s="67" t="s">
        <v>141</v>
      </c>
      <c r="F73" s="126" t="s">
        <v>141</v>
      </c>
      <c r="H73" s="65"/>
      <c r="I73" s="66"/>
      <c r="J73" s="66"/>
      <c r="K73" s="66"/>
      <c r="L73" s="68"/>
      <c r="N73" s="422" t="s">
        <v>1852</v>
      </c>
    </row>
    <row r="74" spans="1:14" x14ac:dyDescent="0.25">
      <c r="A74" s="65">
        <v>1</v>
      </c>
      <c r="B74" s="70"/>
      <c r="C74" s="85"/>
      <c r="D74" s="85" cm="1">
        <f t="array" ref="D74">C74*_xlfn.IFS($D$67="scenario 1",$B$65,$D$67="scenario 2",$C$65,$D$67="scenario 3",$D$65)</f>
        <v>0</v>
      </c>
      <c r="E74" s="85" t="e">
        <f>D74/$C$62*A74</f>
        <v>#DIV/0!</v>
      </c>
      <c r="F74" s="71" t="e">
        <f>E74</f>
        <v>#DIV/0!</v>
      </c>
      <c r="H74" s="879">
        <v>1</v>
      </c>
      <c r="I74" s="66" t="s">
        <v>1475</v>
      </c>
      <c r="J74" s="66"/>
      <c r="K74" s="17" t="e">
        <f>F74</f>
        <v>#DIV/0!</v>
      </c>
      <c r="L74" s="68"/>
      <c r="N74" s="422"/>
    </row>
    <row r="75" spans="1:14" x14ac:dyDescent="0.25">
      <c r="A75" s="185"/>
      <c r="B75" s="151"/>
      <c r="C75" s="111"/>
      <c r="D75" s="111"/>
      <c r="E75" s="66"/>
      <c r="F75" s="140"/>
      <c r="H75" s="879"/>
      <c r="I75" s="151" t="s">
        <v>882</v>
      </c>
      <c r="J75" s="151"/>
      <c r="K75" s="151"/>
      <c r="L75" s="140" t="e">
        <f>F74</f>
        <v>#DIV/0!</v>
      </c>
      <c r="N75" s="422"/>
    </row>
    <row r="76" spans="1:14" x14ac:dyDescent="0.25">
      <c r="A76" s="65">
        <v>2</v>
      </c>
      <c r="B76" s="70"/>
      <c r="C76" s="85"/>
      <c r="D76" s="85" cm="1">
        <f t="array" ref="D76">C76*_xlfn.IFS($D$67="scenario 1",$B$65,$D$67="scenario 2",$C$65,$D$67="scenario 3",$D$65)</f>
        <v>0</v>
      </c>
      <c r="E76" s="85" t="e">
        <f>D76/$C$62*A76</f>
        <v>#DIV/0!</v>
      </c>
      <c r="F76" s="71" t="e">
        <f>E76-E74</f>
        <v>#DIV/0!</v>
      </c>
      <c r="H76" s="879">
        <v>2</v>
      </c>
      <c r="I76" s="66" t="s">
        <v>1475</v>
      </c>
      <c r="J76" s="66"/>
      <c r="K76" s="17" t="e">
        <f>F76</f>
        <v>#DIV/0!</v>
      </c>
      <c r="L76" s="68"/>
    </row>
    <row r="77" spans="1:14" x14ac:dyDescent="0.25">
      <c r="A77" s="185"/>
      <c r="B77" s="151"/>
      <c r="C77" s="111"/>
      <c r="D77" s="111"/>
      <c r="E77" s="111"/>
      <c r="F77" s="140"/>
      <c r="H77" s="879"/>
      <c r="I77" s="151" t="s">
        <v>882</v>
      </c>
      <c r="J77" s="151"/>
      <c r="K77" s="151"/>
      <c r="L77" s="140" t="e">
        <f>F76</f>
        <v>#DIV/0!</v>
      </c>
    </row>
    <row r="78" spans="1:14" x14ac:dyDescent="0.25">
      <c r="A78" s="65">
        <v>3</v>
      </c>
      <c r="B78" s="49"/>
      <c r="C78" s="85">
        <f>B78*$C$61</f>
        <v>0</v>
      </c>
      <c r="D78" s="85" cm="1">
        <f t="array" ref="D78">C78*_xlfn.IFS($D$67="scenario 1",$B$65,$D$67="scenario 2",$C$65,$D$67="scenario 3",$D$65)</f>
        <v>0</v>
      </c>
      <c r="E78" s="85" t="e">
        <f>D78/$C$62*A78</f>
        <v>#DIV/0!</v>
      </c>
      <c r="F78" s="71" t="e">
        <f>E78-E76</f>
        <v>#DIV/0!</v>
      </c>
      <c r="H78" s="879">
        <v>3</v>
      </c>
      <c r="I78" s="66" t="s">
        <v>1475</v>
      </c>
      <c r="J78" s="66"/>
      <c r="K78" s="17" t="e">
        <f>F78</f>
        <v>#DIV/0!</v>
      </c>
      <c r="L78" s="68"/>
    </row>
    <row r="79" spans="1:14" ht="15.75" thickBot="1" x14ac:dyDescent="0.3">
      <c r="A79" s="72"/>
      <c r="B79" s="73"/>
      <c r="C79" s="73"/>
      <c r="D79" s="73"/>
      <c r="E79" s="73"/>
      <c r="F79" s="82"/>
      <c r="H79" s="880"/>
      <c r="I79" s="655" t="s">
        <v>882</v>
      </c>
      <c r="J79" s="73"/>
      <c r="K79" s="73"/>
      <c r="L79" s="110" t="e">
        <f>F78</f>
        <v>#DIV/0!</v>
      </c>
    </row>
    <row r="82" spans="1:3" x14ac:dyDescent="0.25">
      <c r="A82" s="623" t="s">
        <v>1481</v>
      </c>
      <c r="B82" s="624"/>
      <c r="C82" s="624"/>
    </row>
    <row r="83" spans="1:3" x14ac:dyDescent="0.25">
      <c r="A83" t="s">
        <v>1482</v>
      </c>
      <c r="B83" s="368" t="e">
        <f>E76</f>
        <v>#DIV/0!</v>
      </c>
    </row>
    <row r="85" spans="1:3" x14ac:dyDescent="0.25">
      <c r="A85" t="s">
        <v>1483</v>
      </c>
      <c r="B85" s="368"/>
    </row>
    <row r="86" spans="1:3" x14ac:dyDescent="0.25">
      <c r="A86" t="s">
        <v>1484</v>
      </c>
      <c r="B86" s="3"/>
    </row>
    <row r="87" spans="1:3" x14ac:dyDescent="0.25">
      <c r="A87" t="s">
        <v>1488</v>
      </c>
      <c r="B87" s="14"/>
    </row>
    <row r="88" spans="1:3" x14ac:dyDescent="0.25">
      <c r="A88" t="s">
        <v>1489</v>
      </c>
      <c r="B88" s="656" t="e">
        <f>B87/C61</f>
        <v>#DIV/0!</v>
      </c>
    </row>
    <row r="90" spans="1:3" x14ac:dyDescent="0.25">
      <c r="A90" t="s">
        <v>17</v>
      </c>
      <c r="B90" s="11">
        <f>B87*B86</f>
        <v>0</v>
      </c>
    </row>
    <row r="91" spans="1:3" x14ac:dyDescent="0.25">
      <c r="A91" t="s">
        <v>678</v>
      </c>
      <c r="B91" s="11">
        <f>(B85-B86)*B87</f>
        <v>0</v>
      </c>
    </row>
    <row r="92" spans="1:3" x14ac:dyDescent="0.25">
      <c r="B92" s="12">
        <f>SUM(B90:B91)</f>
        <v>0</v>
      </c>
    </row>
    <row r="94" spans="1:3" x14ac:dyDescent="0.25">
      <c r="A94" s="3"/>
      <c r="B94" s="12">
        <f>B92</f>
        <v>0</v>
      </c>
    </row>
    <row r="95" spans="1:3" x14ac:dyDescent="0.25">
      <c r="A95" t="s">
        <v>370</v>
      </c>
      <c r="C95" s="12">
        <f>B90</f>
        <v>0</v>
      </c>
    </row>
    <row r="96" spans="1:3" x14ac:dyDescent="0.25">
      <c r="A96" t="s">
        <v>371</v>
      </c>
      <c r="C96" s="12">
        <f>B91</f>
        <v>0</v>
      </c>
    </row>
    <row r="100" spans="1:14" x14ac:dyDescent="0.25">
      <c r="A100" s="9" t="s">
        <v>1485</v>
      </c>
    </row>
    <row r="101" spans="1:14" x14ac:dyDescent="0.25">
      <c r="A101" t="s">
        <v>1486</v>
      </c>
      <c r="B101" s="12" t="e">
        <f>$B$88*$E$76</f>
        <v>#DIV/0!</v>
      </c>
    </row>
    <row r="102" spans="1:14" x14ac:dyDescent="0.25">
      <c r="A102" t="s">
        <v>1487</v>
      </c>
      <c r="C102" s="12" t="e">
        <f>$B$88*$E$76</f>
        <v>#DIV/0!</v>
      </c>
    </row>
    <row r="105" spans="1:14" x14ac:dyDescent="0.25">
      <c r="A105" s="623" t="s">
        <v>1490</v>
      </c>
      <c r="B105" s="624"/>
      <c r="C105" s="624"/>
    </row>
    <row r="106" spans="1:14" x14ac:dyDescent="0.25">
      <c r="A106" t="s">
        <v>1486</v>
      </c>
      <c r="B106" s="12" t="e">
        <f>(1-$B$88)*$E$76</f>
        <v>#DIV/0!</v>
      </c>
    </row>
    <row r="107" spans="1:14" x14ac:dyDescent="0.25">
      <c r="A107" t="s">
        <v>1487</v>
      </c>
      <c r="C107" s="12" t="e">
        <f>(1-$B$88)*$E$76</f>
        <v>#DIV/0!</v>
      </c>
    </row>
    <row r="111" spans="1:14" ht="21" x14ac:dyDescent="0.35">
      <c r="A111" s="659" t="s">
        <v>1491</v>
      </c>
      <c r="B111" s="661"/>
      <c r="C111" s="661"/>
      <c r="D111" s="661"/>
      <c r="E111" s="661"/>
      <c r="F111" s="661"/>
      <c r="G111" s="661"/>
      <c r="H111" s="661"/>
      <c r="I111" s="661"/>
      <c r="J111" s="661"/>
      <c r="K111" s="661"/>
      <c r="L111" s="661"/>
      <c r="M111" s="661"/>
      <c r="N111" s="661"/>
    </row>
    <row r="112" spans="1:14" x14ac:dyDescent="0.25">
      <c r="A112" s="422" t="s">
        <v>1954</v>
      </c>
      <c r="B112" s="66"/>
      <c r="C112" s="66"/>
      <c r="D112" s="66"/>
      <c r="E112" s="66"/>
      <c r="F112" s="66"/>
      <c r="G112" s="66"/>
      <c r="H112" s="66"/>
      <c r="I112" s="66"/>
      <c r="J112" s="66"/>
      <c r="K112" s="66"/>
      <c r="L112" s="66"/>
      <c r="M112" s="66"/>
      <c r="N112" s="66"/>
    </row>
    <row r="113" spans="1:14" x14ac:dyDescent="0.25">
      <c r="A113" s="422" t="s">
        <v>1698</v>
      </c>
      <c r="B113" s="66"/>
      <c r="C113" s="66"/>
      <c r="D113" s="66"/>
      <c r="E113" s="66"/>
      <c r="F113" s="66"/>
      <c r="G113" s="66"/>
      <c r="H113" s="66"/>
      <c r="I113" s="66"/>
      <c r="J113" s="66"/>
      <c r="K113" s="66"/>
      <c r="L113" s="66"/>
      <c r="M113" s="66"/>
      <c r="N113" s="66"/>
    </row>
    <row r="114" spans="1:14" ht="21" x14ac:dyDescent="0.35">
      <c r="A114" s="692"/>
      <c r="B114" s="66"/>
      <c r="C114" s="66"/>
      <c r="D114" s="66"/>
      <c r="E114" s="66"/>
      <c r="F114" s="66"/>
      <c r="G114" s="66"/>
      <c r="H114" s="66"/>
      <c r="I114" s="66"/>
      <c r="J114" s="66"/>
      <c r="K114" s="66"/>
      <c r="L114" s="66"/>
      <c r="M114" s="66"/>
      <c r="N114" s="66"/>
    </row>
    <row r="115" spans="1:14" x14ac:dyDescent="0.25">
      <c r="A115" t="s">
        <v>368</v>
      </c>
      <c r="B115" s="14"/>
    </row>
    <row r="116" spans="1:14" x14ac:dyDescent="0.25">
      <c r="A116" t="s">
        <v>1484</v>
      </c>
      <c r="B116" s="3"/>
    </row>
    <row r="117" spans="1:14" x14ac:dyDescent="0.25">
      <c r="A117" t="s">
        <v>1493</v>
      </c>
      <c r="B117" s="3"/>
      <c r="G117" s="422"/>
    </row>
    <row r="118" spans="1:14" x14ac:dyDescent="0.25">
      <c r="A118" t="s">
        <v>1492</v>
      </c>
      <c r="B118" s="746"/>
      <c r="G118" s="422"/>
    </row>
    <row r="119" spans="1:14" x14ac:dyDescent="0.25">
      <c r="A119" t="s">
        <v>1494</v>
      </c>
      <c r="B119" s="14"/>
      <c r="G119" s="422"/>
    </row>
    <row r="120" spans="1:14" x14ac:dyDescent="0.25">
      <c r="G120" s="422"/>
    </row>
    <row r="121" spans="1:14" x14ac:dyDescent="0.25">
      <c r="A121" s="422" t="str">
        <f>IF(B118="Yes","As we know the fair value of the asset received, the market value of equity is not relevant. The asset should be recognised at its fair value of £"&amp;B119,"We do not know the FV of the asset received, therefore we must measure at the market value of the equity")</f>
        <v>We do not know the FV of the asset received, therefore we must measure at the market value of the equity</v>
      </c>
    </row>
    <row r="122" spans="1:14" x14ac:dyDescent="0.25">
      <c r="A122" s="422" t="s">
        <v>1699</v>
      </c>
      <c r="G122" s="422"/>
    </row>
    <row r="123" spans="1:14" x14ac:dyDescent="0.25">
      <c r="G123" s="422"/>
    </row>
    <row r="124" spans="1:14" x14ac:dyDescent="0.25">
      <c r="A124" t="s">
        <v>17</v>
      </c>
      <c r="B124" s="11">
        <f>B115*B116</f>
        <v>0</v>
      </c>
      <c r="C124" s="11"/>
      <c r="G124" s="422"/>
    </row>
    <row r="125" spans="1:14" x14ac:dyDescent="0.25">
      <c r="A125" t="s">
        <v>678</v>
      </c>
      <c r="B125" s="11">
        <f>IF(B118="Yes",B128-C129,(B117-B116)*B115)</f>
        <v>0</v>
      </c>
      <c r="C125" s="11"/>
      <c r="G125" s="422"/>
    </row>
    <row r="126" spans="1:14" ht="15.75" thickBot="1" x14ac:dyDescent="0.3">
      <c r="A126" t="s">
        <v>1496</v>
      </c>
      <c r="B126" s="18">
        <f>B119</f>
        <v>0</v>
      </c>
      <c r="C126" s="11"/>
      <c r="G126" s="422"/>
    </row>
    <row r="127" spans="1:14" ht="15.75" thickTop="1" x14ac:dyDescent="0.25">
      <c r="B127" s="11"/>
      <c r="C127" s="11"/>
      <c r="G127" s="422"/>
    </row>
    <row r="128" spans="1:14" x14ac:dyDescent="0.25">
      <c r="A128" t="s">
        <v>1495</v>
      </c>
      <c r="B128" s="11">
        <f>B126</f>
        <v>0</v>
      </c>
      <c r="C128" s="11"/>
    </row>
    <row r="129" spans="1:14" x14ac:dyDescent="0.25">
      <c r="A129" t="s">
        <v>370</v>
      </c>
      <c r="B129" s="11"/>
      <c r="C129" s="11">
        <f>B115*B116</f>
        <v>0</v>
      </c>
    </row>
    <row r="130" spans="1:14" x14ac:dyDescent="0.25">
      <c r="A130" t="s">
        <v>371</v>
      </c>
      <c r="B130" s="11"/>
      <c r="C130" s="11">
        <f>B128-C129</f>
        <v>0</v>
      </c>
    </row>
    <row r="131" spans="1:14" x14ac:dyDescent="0.25">
      <c r="G131" s="422"/>
    </row>
    <row r="132" spans="1:14" x14ac:dyDescent="0.25">
      <c r="A132" s="422" t="str">
        <f>"The shares issued should be recognised at their nominal value of £"&amp;B124&amp;", with £"&amp;B125&amp;" recognised in the share premium account"</f>
        <v>The shares issued should be recognised at their nominal value of £0, with £0 recognised in the share premium account</v>
      </c>
    </row>
    <row r="133" spans="1:14" x14ac:dyDescent="0.25">
      <c r="A133" s="422" t="s">
        <v>1955</v>
      </c>
    </row>
    <row r="135" spans="1:14" ht="21" x14ac:dyDescent="0.35">
      <c r="A135" s="659" t="s">
        <v>1497</v>
      </c>
      <c r="B135" s="660" t="s">
        <v>1500</v>
      </c>
      <c r="C135" s="661"/>
      <c r="D135" s="661"/>
      <c r="E135" s="661"/>
      <c r="F135" s="661"/>
      <c r="G135" s="661"/>
      <c r="H135" s="661"/>
      <c r="I135" s="661"/>
      <c r="J135" s="661"/>
      <c r="K135" s="661"/>
      <c r="L135" s="661"/>
      <c r="M135" s="661"/>
      <c r="N135" s="661"/>
    </row>
    <row r="136" spans="1:14" x14ac:dyDescent="0.25">
      <c r="A136" t="s">
        <v>1498</v>
      </c>
    </row>
    <row r="138" spans="1:14" x14ac:dyDescent="0.25">
      <c r="A138" t="s">
        <v>1504</v>
      </c>
      <c r="B138" s="14"/>
      <c r="D138" s="422" t="s">
        <v>1854</v>
      </c>
    </row>
    <row r="139" spans="1:14" x14ac:dyDescent="0.25">
      <c r="A139" t="s">
        <v>1674</v>
      </c>
      <c r="B139" s="14"/>
      <c r="D139" s="422" t="s">
        <v>1855</v>
      </c>
      <c r="G139" s="3" t="s">
        <v>1852</v>
      </c>
    </row>
    <row r="140" spans="1:14" x14ac:dyDescent="0.25">
      <c r="A140" t="s">
        <v>1506</v>
      </c>
      <c r="B140" s="3"/>
      <c r="D140" s="422" t="str">
        <f>"Cash settled share based payments should be remeasured at the FV at each reporting date which is … per SAR at year end. At this date, xx out of the "&amp;B140&amp;" year vesting period is complete."</f>
        <v>Cash settled share based payments should be remeasured at the FV at each reporting date which is … per SAR at year end. At this date, xx out of the  year vesting period is complete.</v>
      </c>
    </row>
    <row r="141" spans="1:14" x14ac:dyDescent="0.25">
      <c r="D141" s="750" t="str">
        <f>"The liability to record at year end is "&amp;G139&amp;" employees * "&amp;B139&amp;" SAR * £"&amp;D148&amp;" * X/"&amp;B140&amp;" = "&amp;G148</f>
        <v>The liability to record at year end is *calc* employees *  SAR * £ * X/ = 0</v>
      </c>
      <c r="E141" s="3"/>
      <c r="F141" s="3"/>
      <c r="G141" s="3"/>
      <c r="H141" s="3"/>
    </row>
    <row r="142" spans="1:14" x14ac:dyDescent="0.25">
      <c r="D142" s="750" t="str">
        <f>"The increase of £"&amp;H148&amp;" needs to be recorded"</f>
        <v>The increase of £-788333 needs to be recorded</v>
      </c>
      <c r="E142" s="3"/>
      <c r="F142" s="3"/>
    </row>
    <row r="143" spans="1:14" ht="15.75" thickBot="1" x14ac:dyDescent="0.3"/>
    <row r="144" spans="1:14" x14ac:dyDescent="0.25">
      <c r="A144" s="652" t="s">
        <v>1474</v>
      </c>
      <c r="B144" s="653" t="s">
        <v>1472</v>
      </c>
      <c r="C144" s="63" t="s">
        <v>1379</v>
      </c>
      <c r="D144" s="63" t="s">
        <v>1505</v>
      </c>
      <c r="E144" s="63" t="s">
        <v>1507</v>
      </c>
      <c r="F144" s="658" t="s">
        <v>1508</v>
      </c>
      <c r="G144" s="653" t="s">
        <v>1501</v>
      </c>
      <c r="H144" s="654" t="s">
        <v>208</v>
      </c>
      <c r="J144" s="75" t="s">
        <v>1476</v>
      </c>
      <c r="K144" s="63"/>
      <c r="L144" s="63"/>
      <c r="M144" s="63"/>
      <c r="N144" s="64"/>
    </row>
    <row r="145" spans="1:16" x14ac:dyDescent="0.25">
      <c r="A145" s="65"/>
      <c r="B145" s="66"/>
      <c r="C145" s="66"/>
      <c r="D145" s="66"/>
      <c r="E145" s="66"/>
      <c r="F145" s="66"/>
      <c r="G145" s="67" t="s">
        <v>10</v>
      </c>
      <c r="H145" s="126" t="s">
        <v>10</v>
      </c>
      <c r="J145" s="65"/>
      <c r="K145" s="66"/>
      <c r="L145" s="66"/>
      <c r="M145" s="66"/>
      <c r="N145" s="68"/>
      <c r="P145" s="422" t="s">
        <v>1677</v>
      </c>
    </row>
    <row r="146" spans="1:16" x14ac:dyDescent="0.25">
      <c r="A146" s="65">
        <v>1</v>
      </c>
      <c r="B146" s="49"/>
      <c r="C146" s="85">
        <f>B146*$B$139</f>
        <v>0</v>
      </c>
      <c r="D146" s="49"/>
      <c r="E146" s="85">
        <f>C146*D146</f>
        <v>0</v>
      </c>
      <c r="F146" s="66" t="str">
        <f>A146&amp;"/"&amp;$B$140</f>
        <v>1/</v>
      </c>
      <c r="G146" s="85">
        <v>788333</v>
      </c>
      <c r="H146" s="71">
        <f>G146</f>
        <v>788333</v>
      </c>
      <c r="J146" s="879">
        <v>1</v>
      </c>
      <c r="K146" s="66" t="s">
        <v>1475</v>
      </c>
      <c r="L146" s="66"/>
      <c r="M146" s="17">
        <f>H146</f>
        <v>788333</v>
      </c>
      <c r="N146" s="68"/>
      <c r="P146" s="422" t="s">
        <v>1678</v>
      </c>
    </row>
    <row r="147" spans="1:16" x14ac:dyDescent="0.25">
      <c r="A147" s="185"/>
      <c r="B147" s="151"/>
      <c r="C147" s="111"/>
      <c r="D147" s="66"/>
      <c r="E147" s="111"/>
      <c r="F147" s="66"/>
      <c r="G147" s="111"/>
      <c r="H147" s="140"/>
      <c r="J147" s="879"/>
      <c r="K147" s="151" t="s">
        <v>1499</v>
      </c>
      <c r="L147" s="151"/>
      <c r="M147" s="151"/>
      <c r="N147" s="140">
        <f>H146</f>
        <v>788333</v>
      </c>
    </row>
    <row r="148" spans="1:16" x14ac:dyDescent="0.25">
      <c r="A148" s="65">
        <v>2</v>
      </c>
      <c r="B148" s="49"/>
      <c r="C148" s="85">
        <f>B148*$B$139</f>
        <v>0</v>
      </c>
      <c r="D148" s="49"/>
      <c r="E148" s="85">
        <f>C148*D148</f>
        <v>0</v>
      </c>
      <c r="F148" s="66" t="str">
        <f>A148&amp;"/"&amp;$B$140</f>
        <v>2/</v>
      </c>
      <c r="G148" s="85">
        <f>E148/3*A148</f>
        <v>0</v>
      </c>
      <c r="H148" s="71">
        <f>G148-G146</f>
        <v>-788333</v>
      </c>
      <c r="J148" s="879">
        <v>2</v>
      </c>
      <c r="K148" s="66" t="s">
        <v>1475</v>
      </c>
      <c r="L148" s="66"/>
      <c r="M148" s="17">
        <f>H148</f>
        <v>-788333</v>
      </c>
      <c r="N148" s="68"/>
    </row>
    <row r="149" spans="1:16" x14ac:dyDescent="0.25">
      <c r="A149" s="185"/>
      <c r="B149" s="151"/>
      <c r="C149" s="111"/>
      <c r="D149" s="66"/>
      <c r="E149" s="111"/>
      <c r="F149" s="66"/>
      <c r="G149" s="111"/>
      <c r="H149" s="140"/>
      <c r="J149" s="879"/>
      <c r="K149" s="151" t="s">
        <v>1499</v>
      </c>
      <c r="L149" s="151"/>
      <c r="M149" s="151"/>
      <c r="N149" s="140">
        <f>H148</f>
        <v>-788333</v>
      </c>
    </row>
    <row r="150" spans="1:16" x14ac:dyDescent="0.25">
      <c r="A150" s="65">
        <v>3</v>
      </c>
      <c r="B150" s="49"/>
      <c r="C150" s="85">
        <f>B150*$B$139</f>
        <v>0</v>
      </c>
      <c r="D150" s="49"/>
      <c r="E150" s="85">
        <f>C150*D150</f>
        <v>0</v>
      </c>
      <c r="F150" s="66" t="str">
        <f>A150&amp;"/"&amp;$B$140</f>
        <v>3/</v>
      </c>
      <c r="G150" s="85">
        <f>E150/3*A150</f>
        <v>0</v>
      </c>
      <c r="H150" s="71">
        <f>G150-G148</f>
        <v>0</v>
      </c>
      <c r="J150" s="879">
        <v>3</v>
      </c>
      <c r="K150" s="66" t="s">
        <v>1475</v>
      </c>
      <c r="L150" s="66"/>
      <c r="M150" s="17">
        <f>H150</f>
        <v>0</v>
      </c>
      <c r="N150" s="68"/>
    </row>
    <row r="151" spans="1:16" ht="15.75" thickBot="1" x14ac:dyDescent="0.3">
      <c r="A151" s="72"/>
      <c r="B151" s="73"/>
      <c r="C151" s="73"/>
      <c r="D151" s="73"/>
      <c r="E151" s="73"/>
      <c r="F151" s="73"/>
      <c r="G151" s="73"/>
      <c r="H151" s="82"/>
      <c r="J151" s="880"/>
      <c r="K151" s="655" t="s">
        <v>1499</v>
      </c>
      <c r="L151" s="73"/>
      <c r="M151" s="73"/>
      <c r="N151" s="110">
        <f>H150</f>
        <v>0</v>
      </c>
    </row>
    <row r="153" spans="1:16" x14ac:dyDescent="0.25">
      <c r="A153" s="422" t="s">
        <v>1679</v>
      </c>
    </row>
    <row r="154" spans="1:16" x14ac:dyDescent="0.25">
      <c r="A154" t="s">
        <v>1502</v>
      </c>
      <c r="J154" s="422" t="s">
        <v>1856</v>
      </c>
    </row>
    <row r="155" spans="1:16" x14ac:dyDescent="0.25">
      <c r="A155" t="s">
        <v>1503</v>
      </c>
      <c r="B155" s="12">
        <f>G150</f>
        <v>0</v>
      </c>
    </row>
    <row r="156" spans="1:16" x14ac:dyDescent="0.25">
      <c r="A156" s="3" t="s">
        <v>407</v>
      </c>
      <c r="C156" s="12">
        <f>G150</f>
        <v>0</v>
      </c>
    </row>
  </sheetData>
  <mergeCells count="9">
    <mergeCell ref="J150:J151"/>
    <mergeCell ref="H74:H75"/>
    <mergeCell ref="H76:H77"/>
    <mergeCell ref="H78:H79"/>
    <mergeCell ref="H19:H20"/>
    <mergeCell ref="H21:H22"/>
    <mergeCell ref="H23:H24"/>
    <mergeCell ref="J146:J147"/>
    <mergeCell ref="J148:J149"/>
  </mergeCells>
  <dataValidations count="1">
    <dataValidation type="list" allowBlank="1" showInputMessage="1" showErrorMessage="1" sqref="D67" xr:uid="{69025BB5-0333-4A46-9FB9-BE3ED76426C2}">
      <formula1>$B$64:$D$64</formula1>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C1903A32-31BA-4994-91B3-582F7B1D583C}">
          <x14:formula1>
            <xm:f>Inputs!$B$5:$B$6</xm:f>
          </x14:formula1>
          <xm:sqref>B118</xm:sqref>
        </x14:dataValidation>
      </x14:dataValidations>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C89C00-4023-4A3E-A335-02AEAA7C63D9}">
  <dimension ref="A1:J64"/>
  <sheetViews>
    <sheetView zoomScale="70" zoomScaleNormal="70" workbookViewId="0"/>
  </sheetViews>
  <sheetFormatPr defaultRowHeight="15" x14ac:dyDescent="0.25"/>
  <cols>
    <col min="1" max="1" width="11.28515625" customWidth="1"/>
    <col min="3" max="3" width="13.140625" customWidth="1"/>
    <col min="4" max="4" width="18.85546875" customWidth="1"/>
    <col min="5" max="5" width="17.5703125" customWidth="1"/>
    <col min="6" max="6" width="11" bestFit="1" customWidth="1"/>
    <col min="7" max="7" width="13.140625" bestFit="1" customWidth="1"/>
  </cols>
  <sheetData>
    <row r="1" spans="1:10" x14ac:dyDescent="0.25">
      <c r="A1" s="1" t="s">
        <v>1233</v>
      </c>
      <c r="G1" t="s">
        <v>1240</v>
      </c>
    </row>
    <row r="2" spans="1:10" x14ac:dyDescent="0.25">
      <c r="A2" t="s">
        <v>1231</v>
      </c>
      <c r="D2" s="589"/>
      <c r="H2" t="s">
        <v>1238</v>
      </c>
      <c r="I2" t="s">
        <v>1239</v>
      </c>
    </row>
    <row r="3" spans="1:10" x14ac:dyDescent="0.25">
      <c r="A3" t="s">
        <v>1237</v>
      </c>
      <c r="D3" s="589"/>
      <c r="G3" s="14"/>
      <c r="H3" s="3"/>
      <c r="I3" s="3"/>
    </row>
    <row r="4" spans="1:10" ht="15.75" thickBot="1" x14ac:dyDescent="0.3">
      <c r="D4" s="592">
        <f>SUM(D2:D3)</f>
        <v>0</v>
      </c>
    </row>
    <row r="5" spans="1:10" ht="15.75" thickTop="1" x14ac:dyDescent="0.25">
      <c r="A5" t="s">
        <v>1241</v>
      </c>
      <c r="D5" s="589"/>
      <c r="J5" s="422" t="s">
        <v>1962</v>
      </c>
    </row>
    <row r="6" spans="1:10" x14ac:dyDescent="0.25">
      <c r="D6" s="590"/>
    </row>
    <row r="7" spans="1:10" x14ac:dyDescent="0.25">
      <c r="A7" s="422" t="s">
        <v>1617</v>
      </c>
      <c r="D7" s="590"/>
    </row>
    <row r="8" spans="1:10" x14ac:dyDescent="0.25">
      <c r="A8" s="422" t="s">
        <v>1609</v>
      </c>
      <c r="D8" s="590"/>
    </row>
    <row r="9" spans="1:10" x14ac:dyDescent="0.25">
      <c r="A9" s="422" t="s">
        <v>1610</v>
      </c>
      <c r="D9" s="590"/>
    </row>
    <row r="10" spans="1:10" x14ac:dyDescent="0.25">
      <c r="A10" s="674" t="str">
        <f>IF((D2+D3)&gt;D5,"Distributable profits plus proceeds from the share issue is equal to "&amp;D2+D3&amp;", which is greater than the purchase price of "&amp;D5&amp;" and so the purchase is legal","Distributable profits of "&amp;D2+D3&amp;" are less than the purchase price of "&amp;D5&amp;" and so the purchase is not legal")</f>
        <v>Distributable profits of 0 are less than the purchase price of  and so the purchase is not legal</v>
      </c>
    </row>
    <row r="12" spans="1:10" x14ac:dyDescent="0.25">
      <c r="A12" s="1" t="s">
        <v>1232</v>
      </c>
    </row>
    <row r="13" spans="1:10" x14ac:dyDescent="0.25">
      <c r="A13" t="s">
        <v>1275</v>
      </c>
      <c r="D13" s="27"/>
    </row>
    <row r="14" spans="1:10" x14ac:dyDescent="0.25">
      <c r="A14" t="s">
        <v>1224</v>
      </c>
      <c r="D14" s="588"/>
    </row>
    <row r="16" spans="1:10" x14ac:dyDescent="0.25">
      <c r="A16" t="s">
        <v>1226</v>
      </c>
      <c r="D16" s="586">
        <f>D13*D14</f>
        <v>0</v>
      </c>
    </row>
    <row r="17" spans="1:7" x14ac:dyDescent="0.25">
      <c r="A17" t="s">
        <v>1225</v>
      </c>
      <c r="D17" s="587">
        <f>D5-D16</f>
        <v>0</v>
      </c>
    </row>
    <row r="18" spans="1:7" x14ac:dyDescent="0.25">
      <c r="D18" s="587"/>
    </row>
    <row r="19" spans="1:7" x14ac:dyDescent="0.25">
      <c r="A19" t="s">
        <v>1227</v>
      </c>
      <c r="D19" s="586">
        <f>D16</f>
        <v>0</v>
      </c>
    </row>
    <row r="20" spans="1:7" x14ac:dyDescent="0.25">
      <c r="A20" t="s">
        <v>1228</v>
      </c>
      <c r="D20" s="587">
        <f>D17</f>
        <v>0</v>
      </c>
    </row>
    <row r="21" spans="1:7" x14ac:dyDescent="0.25">
      <c r="A21" s="3" t="s">
        <v>373</v>
      </c>
      <c r="E21" s="587">
        <f>D5</f>
        <v>0</v>
      </c>
    </row>
    <row r="22" spans="1:7" x14ac:dyDescent="0.25">
      <c r="E22" s="587"/>
    </row>
    <row r="23" spans="1:7" x14ac:dyDescent="0.25">
      <c r="A23" s="1" t="s">
        <v>1234</v>
      </c>
      <c r="E23" s="587"/>
    </row>
    <row r="24" spans="1:7" x14ac:dyDescent="0.25">
      <c r="A24" s="9" t="s">
        <v>17</v>
      </c>
      <c r="C24" s="37" t="str">
        <f>G3&amp;"* £"&amp;H3</f>
        <v>* £</v>
      </c>
      <c r="E24" s="587">
        <f>G3*H3</f>
        <v>0</v>
      </c>
      <c r="G24" s="422" t="s">
        <v>1560</v>
      </c>
    </row>
    <row r="25" spans="1:7" x14ac:dyDescent="0.25">
      <c r="A25" s="9" t="s">
        <v>678</v>
      </c>
      <c r="C25" s="37" t="str">
        <f>G3&amp;"* £"&amp;I3</f>
        <v>* £</v>
      </c>
      <c r="E25" s="587">
        <f>G3*I3</f>
        <v>0</v>
      </c>
    </row>
    <row r="26" spans="1:7" ht="15.75" thickBot="1" x14ac:dyDescent="0.3">
      <c r="A26" s="9" t="s">
        <v>1612</v>
      </c>
      <c r="E26" s="591">
        <f>SUM(E24:E25)</f>
        <v>0</v>
      </c>
    </row>
    <row r="27" spans="1:7" ht="15.75" thickTop="1" x14ac:dyDescent="0.25">
      <c r="A27" s="1"/>
      <c r="E27" s="587"/>
    </row>
    <row r="28" spans="1:7" x14ac:dyDescent="0.25">
      <c r="A28" s="675" t="s">
        <v>289</v>
      </c>
      <c r="D28" s="587">
        <f>E26</f>
        <v>0</v>
      </c>
    </row>
    <row r="29" spans="1:7" x14ac:dyDescent="0.25">
      <c r="A29" s="9" t="s">
        <v>370</v>
      </c>
      <c r="E29" s="587">
        <f>E24</f>
        <v>0</v>
      </c>
    </row>
    <row r="30" spans="1:7" x14ac:dyDescent="0.25">
      <c r="A30" s="9" t="s">
        <v>371</v>
      </c>
      <c r="E30" s="587">
        <f>E25</f>
        <v>0</v>
      </c>
    </row>
    <row r="31" spans="1:7" x14ac:dyDescent="0.25">
      <c r="A31" s="1"/>
      <c r="E31" s="587"/>
    </row>
    <row r="32" spans="1:7" x14ac:dyDescent="0.25">
      <c r="A32" s="1"/>
      <c r="E32" s="587"/>
    </row>
    <row r="33" spans="1:7" x14ac:dyDescent="0.25">
      <c r="A33" s="1" t="s">
        <v>1235</v>
      </c>
      <c r="E33" s="593"/>
    </row>
    <row r="34" spans="1:7" x14ac:dyDescent="0.25">
      <c r="A34" s="9" t="s">
        <v>1276</v>
      </c>
      <c r="E34" s="596" t="s">
        <v>148</v>
      </c>
    </row>
    <row r="35" spans="1:7" x14ac:dyDescent="0.25">
      <c r="A35" s="422" t="s">
        <v>1247</v>
      </c>
      <c r="E35" s="593"/>
    </row>
    <row r="36" spans="1:7" x14ac:dyDescent="0.25">
      <c r="A36" s="422" t="s">
        <v>1248</v>
      </c>
      <c r="E36" s="593"/>
    </row>
    <row r="37" spans="1:7" x14ac:dyDescent="0.25">
      <c r="A37" s="422" t="s">
        <v>1611</v>
      </c>
      <c r="E37" s="593"/>
    </row>
    <row r="38" spans="1:7" x14ac:dyDescent="0.25">
      <c r="A38" s="422" t="s">
        <v>1966</v>
      </c>
      <c r="E38" s="593"/>
    </row>
    <row r="39" spans="1:7" x14ac:dyDescent="0.25">
      <c r="A39" s="1"/>
      <c r="E39" s="593"/>
    </row>
    <row r="40" spans="1:7" x14ac:dyDescent="0.25">
      <c r="A40" s="1" t="s">
        <v>1246</v>
      </c>
      <c r="E40" s="594"/>
      <c r="G40" s="422" t="s">
        <v>1244</v>
      </c>
    </row>
    <row r="41" spans="1:7" x14ac:dyDescent="0.25">
      <c r="A41" s="1"/>
      <c r="G41" s="422"/>
    </row>
    <row r="42" spans="1:7" x14ac:dyDescent="0.25">
      <c r="A42" s="9" t="s">
        <v>1245</v>
      </c>
      <c r="E42" s="595"/>
      <c r="G42" s="422"/>
    </row>
    <row r="43" spans="1:7" x14ac:dyDescent="0.25">
      <c r="A43" s="9" t="s">
        <v>1243</v>
      </c>
      <c r="E43" s="593">
        <f>E30</f>
        <v>0</v>
      </c>
    </row>
    <row r="44" spans="1:7" x14ac:dyDescent="0.25">
      <c r="A44" s="1" t="s">
        <v>1242</v>
      </c>
      <c r="E44" s="593">
        <f>SUM(E42:E43)</f>
        <v>0</v>
      </c>
    </row>
    <row r="45" spans="1:7" x14ac:dyDescent="0.25">
      <c r="A45" s="1"/>
      <c r="E45" s="593"/>
    </row>
    <row r="46" spans="1:7" x14ac:dyDescent="0.25">
      <c r="A46" s="422" t="s">
        <v>1249</v>
      </c>
      <c r="E46" s="593"/>
    </row>
    <row r="47" spans="1:7" x14ac:dyDescent="0.25">
      <c r="A47" s="9" t="s">
        <v>994</v>
      </c>
      <c r="D47" s="587" cm="1">
        <f t="array" ref="D47">_xlfn.IFS(AND(E40&lt;E44,E34="Yes"),E40,E34="No",0,AND(E40&gt;E44,E34="Yes"),E44)</f>
        <v>0</v>
      </c>
    </row>
    <row r="48" spans="1:7" x14ac:dyDescent="0.25">
      <c r="A48" t="s">
        <v>708</v>
      </c>
      <c r="D48" s="587">
        <f>D20-D47</f>
        <v>0</v>
      </c>
    </row>
    <row r="49" spans="1:6" x14ac:dyDescent="0.25">
      <c r="A49" t="s">
        <v>1229</v>
      </c>
      <c r="E49" s="587">
        <f>D20</f>
        <v>0</v>
      </c>
    </row>
    <row r="50" spans="1:6" x14ac:dyDescent="0.25">
      <c r="E50" s="587"/>
    </row>
    <row r="51" spans="1:6" x14ac:dyDescent="0.25">
      <c r="A51" s="1" t="s">
        <v>1236</v>
      </c>
    </row>
    <row r="52" spans="1:6" x14ac:dyDescent="0.25">
      <c r="A52" s="422" t="s">
        <v>1967</v>
      </c>
    </row>
    <row r="53" spans="1:6" x14ac:dyDescent="0.25">
      <c r="A53" s="1"/>
    </row>
    <row r="54" spans="1:6" x14ac:dyDescent="0.25">
      <c r="A54" s="9" t="s">
        <v>1277</v>
      </c>
      <c r="E54" s="586">
        <f>D19</f>
        <v>0</v>
      </c>
    </row>
    <row r="55" spans="1:6" x14ac:dyDescent="0.25">
      <c r="A55" s="9" t="s">
        <v>21</v>
      </c>
      <c r="E55" s="587">
        <f>E26</f>
        <v>0</v>
      </c>
    </row>
    <row r="56" spans="1:6" x14ac:dyDescent="0.25">
      <c r="A56" s="1" t="s">
        <v>1613</v>
      </c>
      <c r="E56" s="587">
        <f>E55-E54</f>
        <v>0</v>
      </c>
      <c r="F56" s="674" t="str">
        <f>"=("&amp;E55&amp;"-"&amp;E54&amp;")"</f>
        <v>=(0-0)</v>
      </c>
    </row>
    <row r="57" spans="1:6" x14ac:dyDescent="0.25">
      <c r="A57" s="1"/>
    </row>
    <row r="58" spans="1:6" x14ac:dyDescent="0.25">
      <c r="A58" t="s">
        <v>708</v>
      </c>
      <c r="D58" s="586" cm="1">
        <f t="array" ref="D58">_xlfn.IFS(AND(D16&gt;E26,E34="Yes"),D16-E26,AND(D16&lt;E26,E34="Yes"),0,E34="No",D16)</f>
        <v>0</v>
      </c>
    </row>
    <row r="59" spans="1:6" x14ac:dyDescent="0.25">
      <c r="A59" t="s">
        <v>1230</v>
      </c>
      <c r="E59" s="586" cm="1">
        <f t="array" ref="E59">_xlfn.IFS(AND(D16&gt;E26,E34="Yes"),D16-E26,AND(D16&lt;E26,E34="Yes"),0,E34="No",D16)</f>
        <v>0</v>
      </c>
    </row>
    <row r="62" spans="1:6" x14ac:dyDescent="0.25">
      <c r="A62" s="1" t="s">
        <v>1616</v>
      </c>
    </row>
    <row r="63" spans="1:6" x14ac:dyDescent="0.25">
      <c r="A63" s="422" t="s">
        <v>1614</v>
      </c>
    </row>
    <row r="64" spans="1:6" x14ac:dyDescent="0.25">
      <c r="A64" s="422" t="s">
        <v>1615</v>
      </c>
    </row>
  </sheetData>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90F0F740-CCD8-425F-AA47-A6640624119F}">
          <x14:formula1>
            <xm:f>Inputs!$B$5:$B$6</xm:f>
          </x14:formula1>
          <xm:sqref>E34</xm:sqref>
        </x14:dataValidation>
      </x14:dataValidations>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420C0-A45A-47EB-8EE8-6401E5364D6D}">
  <dimension ref="A1:N44"/>
  <sheetViews>
    <sheetView zoomScale="80" zoomScaleNormal="80" workbookViewId="0">
      <selection activeCell="B25" sqref="B25"/>
    </sheetView>
  </sheetViews>
  <sheetFormatPr defaultRowHeight="15" x14ac:dyDescent="0.25"/>
  <cols>
    <col min="1" max="1" width="27.7109375" customWidth="1"/>
    <col min="2" max="2" width="14.140625" customWidth="1"/>
    <col min="3" max="3" width="2" customWidth="1"/>
    <col min="4" max="4" width="14.140625" customWidth="1"/>
  </cols>
  <sheetData>
    <row r="1" spans="1:14" x14ac:dyDescent="0.25">
      <c r="A1" s="1" t="s">
        <v>1555</v>
      </c>
      <c r="N1" s="499" t="s">
        <v>1796</v>
      </c>
    </row>
    <row r="2" spans="1:14" x14ac:dyDescent="0.25">
      <c r="A2" t="s">
        <v>1548</v>
      </c>
      <c r="B2" s="3"/>
      <c r="C2" t="s">
        <v>1550</v>
      </c>
      <c r="D2" s="670"/>
    </row>
    <row r="3" spans="1:14" x14ac:dyDescent="0.25">
      <c r="A3" t="s">
        <v>1549</v>
      </c>
      <c r="B3" s="3"/>
    </row>
    <row r="4" spans="1:14" x14ac:dyDescent="0.25">
      <c r="A4" t="s">
        <v>1552</v>
      </c>
      <c r="B4" s="14"/>
    </row>
    <row r="5" spans="1:14" x14ac:dyDescent="0.25">
      <c r="A5" t="s">
        <v>1551</v>
      </c>
      <c r="B5" s="189"/>
    </row>
    <row r="6" spans="1:14" x14ac:dyDescent="0.25">
      <c r="A6" t="s">
        <v>1484</v>
      </c>
      <c r="B6" s="588"/>
    </row>
    <row r="9" spans="1:14" x14ac:dyDescent="0.25">
      <c r="A9" t="s">
        <v>1553</v>
      </c>
      <c r="B9" s="12" t="e">
        <f>(B4/D2)*B2*B5</f>
        <v>#DIV/0!</v>
      </c>
      <c r="D9" s="422" t="str">
        <f>"="&amp;B4&amp;"/"&amp;D2&amp;"*"&amp;B2&amp;"*"&amp;B5</f>
        <v>=/**</v>
      </c>
    </row>
    <row r="10" spans="1:14" x14ac:dyDescent="0.25">
      <c r="A10" t="s">
        <v>154</v>
      </c>
      <c r="B10" s="12" t="e">
        <f>B9*B3</f>
        <v>#DIV/0!</v>
      </c>
    </row>
    <row r="12" spans="1:14" x14ac:dyDescent="0.25">
      <c r="A12" t="e">
        <f>"Share capital (£"&amp;B6&amp;"*"&amp;B9&amp;")"</f>
        <v>#DIV/0!</v>
      </c>
      <c r="B12" s="12" t="e">
        <f>B6*B9</f>
        <v>#DIV/0!</v>
      </c>
    </row>
    <row r="13" spans="1:14" x14ac:dyDescent="0.25">
      <c r="A13" t="s">
        <v>678</v>
      </c>
      <c r="B13" s="12" t="e">
        <f>B10-B9</f>
        <v>#DIV/0!</v>
      </c>
    </row>
    <row r="14" spans="1:14" ht="15.75" thickBot="1" x14ac:dyDescent="0.3">
      <c r="A14" t="s">
        <v>154</v>
      </c>
      <c r="B14" s="94" t="e">
        <f>SUM(B12:B13)</f>
        <v>#DIV/0!</v>
      </c>
    </row>
    <row r="15" spans="1:14" ht="15.75" thickTop="1" x14ac:dyDescent="0.25"/>
    <row r="16" spans="1:14" x14ac:dyDescent="0.25">
      <c r="A16" s="3" t="s">
        <v>1554</v>
      </c>
      <c r="B16" s="12" t="e">
        <f>B14</f>
        <v>#DIV/0!</v>
      </c>
    </row>
    <row r="17" spans="1:12" x14ac:dyDescent="0.25">
      <c r="A17" t="s">
        <v>370</v>
      </c>
      <c r="D17" s="12" t="e">
        <f>B12</f>
        <v>#DIV/0!</v>
      </c>
    </row>
    <row r="18" spans="1:12" x14ac:dyDescent="0.25">
      <c r="A18" t="s">
        <v>371</v>
      </c>
      <c r="D18" s="12" t="e">
        <f>B13</f>
        <v>#DIV/0!</v>
      </c>
    </row>
    <row r="22" spans="1:12" x14ac:dyDescent="0.25">
      <c r="A22" s="1" t="s">
        <v>21</v>
      </c>
      <c r="L22" t="s">
        <v>1797</v>
      </c>
    </row>
    <row r="23" spans="1:12" x14ac:dyDescent="0.25">
      <c r="A23" t="s">
        <v>1556</v>
      </c>
      <c r="B23" s="14">
        <v>1500</v>
      </c>
    </row>
    <row r="24" spans="1:12" x14ac:dyDescent="0.25">
      <c r="A24" t="s">
        <v>1557</v>
      </c>
      <c r="B24" s="588">
        <v>1</v>
      </c>
    </row>
    <row r="25" spans="1:12" x14ac:dyDescent="0.25">
      <c r="A25" t="s">
        <v>1558</v>
      </c>
      <c r="B25" s="650"/>
    </row>
    <row r="26" spans="1:12" x14ac:dyDescent="0.25">
      <c r="A26" t="s">
        <v>1559</v>
      </c>
      <c r="B26" s="3"/>
    </row>
    <row r="28" spans="1:12" x14ac:dyDescent="0.25">
      <c r="A28" t="s">
        <v>1794</v>
      </c>
      <c r="B28" s="11">
        <f>B23*B25-B26</f>
        <v>0</v>
      </c>
    </row>
    <row r="29" spans="1:12" x14ac:dyDescent="0.25">
      <c r="A29" t="s">
        <v>1795</v>
      </c>
      <c r="B29" s="11">
        <f>IF(B26&lt;(B25-B24)*B23,0,B26)</f>
        <v>0</v>
      </c>
    </row>
    <row r="30" spans="1:12" x14ac:dyDescent="0.25">
      <c r="A30" t="s">
        <v>370</v>
      </c>
      <c r="D30" s="11">
        <f>B23*B24</f>
        <v>1500</v>
      </c>
    </row>
    <row r="31" spans="1:12" x14ac:dyDescent="0.25">
      <c r="A31" t="s">
        <v>371</v>
      </c>
      <c r="D31" s="11">
        <f>IF(B26&lt;(B25-B24)*B23,(B25-B24)*B23-B26,(B25-B24)*B23)</f>
        <v>-1500</v>
      </c>
    </row>
    <row r="33" spans="1:8" x14ac:dyDescent="0.25">
      <c r="A33" s="1" t="s">
        <v>1694</v>
      </c>
    </row>
    <row r="34" spans="1:8" x14ac:dyDescent="0.25">
      <c r="A34" s="422" t="s">
        <v>1700</v>
      </c>
    </row>
    <row r="35" spans="1:8" x14ac:dyDescent="0.25">
      <c r="A35" s="422" t="s">
        <v>1701</v>
      </c>
    </row>
    <row r="36" spans="1:8" x14ac:dyDescent="0.25">
      <c r="A36" t="s">
        <v>1548</v>
      </c>
      <c r="B36" s="3"/>
      <c r="C36" t="s">
        <v>1550</v>
      </c>
      <c r="D36" s="670"/>
    </row>
    <row r="38" spans="1:8" x14ac:dyDescent="0.25">
      <c r="A38" t="s">
        <v>1695</v>
      </c>
      <c r="B38" s="14"/>
      <c r="H38" s="1" t="s">
        <v>1798</v>
      </c>
    </row>
    <row r="39" spans="1:8" x14ac:dyDescent="0.25">
      <c r="A39" t="s">
        <v>1557</v>
      </c>
      <c r="B39" s="14"/>
    </row>
    <row r="41" spans="1:8" x14ac:dyDescent="0.25">
      <c r="A41" t="s">
        <v>1696</v>
      </c>
      <c r="B41" s="12" t="e">
        <f>B38/D36*B36</f>
        <v>#DIV/0!</v>
      </c>
      <c r="D41" s="422" t="str">
        <f>"= ("&amp;B38&amp;"/"&amp;D36&amp;"*"&amp;B36&amp;")"</f>
        <v>= (/*)</v>
      </c>
    </row>
    <row r="43" spans="1:8" x14ac:dyDescent="0.25">
      <c r="A43" t="s">
        <v>1697</v>
      </c>
      <c r="D43" s="11" t="e">
        <f>B41*B39</f>
        <v>#DIV/0!</v>
      </c>
    </row>
    <row r="44" spans="1:8" x14ac:dyDescent="0.25">
      <c r="A44" t="s">
        <v>708</v>
      </c>
      <c r="B44" s="11" t="e">
        <f>B41*B39</f>
        <v>#DIV/0!</v>
      </c>
    </row>
  </sheetData>
  <pageMargins left="0.7" right="0.7" top="0.75" bottom="0.75" header="0.3" footer="0.3"/>
  <pageSetup paperSize="9"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8886E-027A-4289-9388-E01E6A05743D}">
  <sheetPr codeName="Sheet3"/>
  <dimension ref="B2:O40"/>
  <sheetViews>
    <sheetView zoomScale="78" workbookViewId="0"/>
  </sheetViews>
  <sheetFormatPr defaultRowHeight="15" x14ac:dyDescent="0.25"/>
  <cols>
    <col min="1" max="1" width="4.140625" customWidth="1"/>
    <col min="2" max="2" width="25.5703125" customWidth="1"/>
    <col min="3" max="3" width="13" bestFit="1" customWidth="1"/>
    <col min="4" max="4" width="13.7109375" bestFit="1" customWidth="1"/>
    <col min="5" max="5" width="15.85546875" bestFit="1" customWidth="1"/>
    <col min="6" max="6" width="17.5703125" bestFit="1" customWidth="1"/>
    <col min="7" max="7" width="12.85546875" customWidth="1"/>
    <col min="15" max="15" width="13" bestFit="1" customWidth="1"/>
  </cols>
  <sheetData>
    <row r="2" spans="2:15" x14ac:dyDescent="0.25">
      <c r="B2" s="1"/>
    </row>
    <row r="3" spans="2:15" x14ac:dyDescent="0.25">
      <c r="B3" s="1" t="s">
        <v>14</v>
      </c>
    </row>
    <row r="4" spans="2:15" x14ac:dyDescent="0.25">
      <c r="B4" s="1" t="str">
        <f>"For the year ended"&amp;" "&amp;Info!C3</f>
        <v xml:space="preserve">For the year ended </v>
      </c>
    </row>
    <row r="5" spans="2:15" x14ac:dyDescent="0.25">
      <c r="L5" s="422" t="s">
        <v>915</v>
      </c>
    </row>
    <row r="6" spans="2:15" x14ac:dyDescent="0.25">
      <c r="C6" s="4" t="s">
        <v>17</v>
      </c>
      <c r="D6" s="4" t="s">
        <v>18</v>
      </c>
      <c r="E6" s="4" t="s">
        <v>19</v>
      </c>
      <c r="F6" s="4" t="s">
        <v>914</v>
      </c>
      <c r="G6" s="4" t="s">
        <v>20</v>
      </c>
      <c r="L6" s="422" t="s">
        <v>913</v>
      </c>
    </row>
    <row r="7" spans="2:15" x14ac:dyDescent="0.25">
      <c r="C7" s="5" t="s">
        <v>10</v>
      </c>
      <c r="D7" s="5" t="s">
        <v>10</v>
      </c>
      <c r="E7" s="5" t="s">
        <v>10</v>
      </c>
      <c r="F7" s="5" t="s">
        <v>10</v>
      </c>
      <c r="G7" s="5" t="s">
        <v>10</v>
      </c>
    </row>
    <row r="8" spans="2:15" x14ac:dyDescent="0.25">
      <c r="B8" s="1" t="s">
        <v>15</v>
      </c>
      <c r="C8" s="34"/>
      <c r="D8" s="34"/>
      <c r="E8" s="34"/>
      <c r="F8" s="34"/>
      <c r="G8" s="23">
        <f>SUM(C8:F8)</f>
        <v>0</v>
      </c>
      <c r="O8" s="16" t="s">
        <v>141</v>
      </c>
    </row>
    <row r="9" spans="2:15" x14ac:dyDescent="0.25">
      <c r="B9" s="1" t="s">
        <v>16</v>
      </c>
      <c r="C9" s="23"/>
      <c r="D9" s="23"/>
      <c r="E9" s="23"/>
      <c r="F9" s="23"/>
      <c r="G9" s="23"/>
      <c r="L9" s="1" t="s">
        <v>916</v>
      </c>
      <c r="O9" s="27"/>
    </row>
    <row r="10" spans="2:15" x14ac:dyDescent="0.25">
      <c r="B10" t="s">
        <v>21</v>
      </c>
      <c r="C10" s="34"/>
      <c r="D10" s="34"/>
      <c r="E10" s="34"/>
      <c r="F10" s="34"/>
      <c r="G10" s="23">
        <f>SUM(C10:F10)</f>
        <v>0</v>
      </c>
      <c r="L10" s="3"/>
      <c r="M10" s="3"/>
      <c r="N10" s="3"/>
      <c r="O10" s="3"/>
    </row>
    <row r="11" spans="2:15" x14ac:dyDescent="0.25">
      <c r="B11" t="s">
        <v>22</v>
      </c>
      <c r="C11" s="34"/>
      <c r="D11" s="34"/>
      <c r="E11" s="34"/>
      <c r="F11" s="34"/>
      <c r="G11" s="23">
        <f t="shared" ref="G11:G14" si="0">SUM(C11:F11)</f>
        <v>0</v>
      </c>
      <c r="L11" s="3"/>
      <c r="M11" s="3"/>
      <c r="N11" s="3"/>
      <c r="O11" s="14"/>
    </row>
    <row r="12" spans="2:15" x14ac:dyDescent="0.25">
      <c r="B12" t="s">
        <v>23</v>
      </c>
      <c r="C12" s="34"/>
      <c r="D12" s="34"/>
      <c r="E12" s="34"/>
      <c r="F12" s="34"/>
      <c r="G12" s="23">
        <f t="shared" si="0"/>
        <v>0</v>
      </c>
      <c r="L12" s="3"/>
      <c r="M12" s="3"/>
      <c r="N12" s="3"/>
      <c r="O12" s="14"/>
    </row>
    <row r="13" spans="2:15" x14ac:dyDescent="0.25">
      <c r="B13" t="s">
        <v>24</v>
      </c>
      <c r="C13" s="34"/>
      <c r="D13" s="34"/>
      <c r="E13" s="34"/>
      <c r="F13" s="34"/>
      <c r="G13" s="23">
        <f t="shared" si="0"/>
        <v>0</v>
      </c>
      <c r="L13" s="3"/>
      <c r="M13" s="3"/>
      <c r="N13" s="3"/>
      <c r="O13" s="14"/>
    </row>
    <row r="14" spans="2:15" x14ac:dyDescent="0.25">
      <c r="B14" t="s">
        <v>909</v>
      </c>
      <c r="C14" s="34"/>
      <c r="D14" s="34"/>
      <c r="E14" s="34"/>
      <c r="F14" s="34"/>
      <c r="G14" s="23">
        <f t="shared" si="0"/>
        <v>0</v>
      </c>
      <c r="L14" s="3"/>
      <c r="M14" s="3"/>
      <c r="N14" s="3"/>
      <c r="O14" s="14"/>
    </row>
    <row r="15" spans="2:15" x14ac:dyDescent="0.25">
      <c r="B15" t="s">
        <v>25</v>
      </c>
      <c r="C15" s="34"/>
      <c r="D15" s="34"/>
      <c r="E15" s="34"/>
      <c r="F15" s="34"/>
      <c r="G15" s="23">
        <f>SUM(C15:F15)</f>
        <v>0</v>
      </c>
      <c r="L15" s="3"/>
      <c r="M15" s="3"/>
      <c r="N15" s="3"/>
      <c r="O15" s="14"/>
    </row>
    <row r="16" spans="2:15" ht="15.75" thickBot="1" x14ac:dyDescent="0.3">
      <c r="B16" s="1" t="str">
        <f>"At "&amp;Info!C3</f>
        <v xml:space="preserve">At </v>
      </c>
      <c r="C16" s="25">
        <f>SUM(C8:C15)</f>
        <v>0</v>
      </c>
      <c r="D16" s="25">
        <f>SUM(D8:D15)</f>
        <v>0</v>
      </c>
      <c r="E16" s="25">
        <f>SUM(E8:E15)</f>
        <v>0</v>
      </c>
      <c r="F16" s="25">
        <f>SUM(F8:F15)</f>
        <v>0</v>
      </c>
      <c r="G16" s="25">
        <f>SUM(G8:G15)</f>
        <v>0</v>
      </c>
      <c r="L16" s="3"/>
      <c r="M16" s="3"/>
      <c r="N16" s="3"/>
      <c r="O16" s="14"/>
    </row>
    <row r="17" spans="2:15" ht="15.75" thickTop="1" x14ac:dyDescent="0.25">
      <c r="L17" s="3"/>
      <c r="M17" s="3"/>
      <c r="N17" s="3"/>
      <c r="O17" s="27"/>
    </row>
    <row r="18" spans="2:15" x14ac:dyDescent="0.25">
      <c r="L18" s="3"/>
      <c r="M18" s="3"/>
      <c r="N18" s="3"/>
      <c r="O18" s="14"/>
    </row>
    <row r="19" spans="2:15" x14ac:dyDescent="0.25">
      <c r="L19" s="3"/>
      <c r="M19" s="3"/>
      <c r="N19" s="3"/>
      <c r="O19" s="14"/>
    </row>
    <row r="20" spans="2:15" x14ac:dyDescent="0.25">
      <c r="C20" s="11"/>
      <c r="L20" s="3"/>
      <c r="M20" s="3"/>
      <c r="N20" s="3"/>
      <c r="O20" s="27"/>
    </row>
    <row r="21" spans="2:15" x14ac:dyDescent="0.25">
      <c r="L21" s="3"/>
      <c r="M21" s="3"/>
      <c r="N21" s="3"/>
      <c r="O21" s="3"/>
    </row>
    <row r="22" spans="2:15" x14ac:dyDescent="0.25">
      <c r="L22" s="3"/>
      <c r="M22" s="3"/>
      <c r="N22" s="3"/>
      <c r="O22" s="27"/>
    </row>
    <row r="23" spans="2:15" x14ac:dyDescent="0.25">
      <c r="E23" s="26"/>
    </row>
    <row r="24" spans="2:15" x14ac:dyDescent="0.25">
      <c r="D24" s="11"/>
    </row>
    <row r="29" spans="2:15" x14ac:dyDescent="0.25">
      <c r="B29" s="8"/>
    </row>
    <row r="32" spans="2:15" x14ac:dyDescent="0.25">
      <c r="B32" s="11"/>
    </row>
    <row r="37" spans="4:4" x14ac:dyDescent="0.25">
      <c r="D37" s="11"/>
    </row>
    <row r="38" spans="4:4" x14ac:dyDescent="0.25">
      <c r="D38" s="11"/>
    </row>
    <row r="40" spans="4:4" x14ac:dyDescent="0.25">
      <c r="D40" s="12"/>
    </row>
  </sheetData>
  <phoneticPr fontId="3" type="noConversion"/>
  <pageMargins left="0.7" right="0.7" top="0.75" bottom="0.75" header="0.3" footer="0.3"/>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833B91-BA3B-4ECE-9779-3C8225DB605B}">
  <dimension ref="A2:T17"/>
  <sheetViews>
    <sheetView workbookViewId="0"/>
  </sheetViews>
  <sheetFormatPr defaultRowHeight="15" x14ac:dyDescent="0.25"/>
  <sheetData>
    <row r="2" spans="1:20" x14ac:dyDescent="0.25">
      <c r="A2" t="s">
        <v>1864</v>
      </c>
      <c r="C2">
        <f>(105+123+850+130+50)*0.12</f>
        <v>150.96</v>
      </c>
      <c r="G2" t="s">
        <v>1627</v>
      </c>
    </row>
    <row r="4" spans="1:20" x14ac:dyDescent="0.25">
      <c r="A4" t="s">
        <v>1875</v>
      </c>
      <c r="D4">
        <v>5</v>
      </c>
      <c r="E4" t="s">
        <v>490</v>
      </c>
    </row>
    <row r="5" spans="1:20" x14ac:dyDescent="0.25">
      <c r="A5" t="s">
        <v>1874</v>
      </c>
      <c r="D5">
        <v>50</v>
      </c>
      <c r="E5" t="s">
        <v>490</v>
      </c>
    </row>
    <row r="7" spans="1:20" x14ac:dyDescent="0.25">
      <c r="A7" t="s">
        <v>1876</v>
      </c>
      <c r="D7">
        <f>5/(50*12)</f>
        <v>8.3333333333333332E-3</v>
      </c>
    </row>
    <row r="9" spans="1:20" x14ac:dyDescent="0.25">
      <c r="A9" t="s">
        <v>1865</v>
      </c>
      <c r="D9">
        <f>C2*D7</f>
        <v>1.258</v>
      </c>
    </row>
    <row r="11" spans="1:20" x14ac:dyDescent="0.25">
      <c r="A11" t="s">
        <v>1866</v>
      </c>
      <c r="D11">
        <v>1</v>
      </c>
    </row>
    <row r="12" spans="1:20" x14ac:dyDescent="0.25">
      <c r="A12" t="s">
        <v>1867</v>
      </c>
      <c r="C12">
        <v>1</v>
      </c>
    </row>
    <row r="16" spans="1:20" x14ac:dyDescent="0.25">
      <c r="T16">
        <f>240/100</f>
        <v>2.4</v>
      </c>
    </row>
    <row r="17" spans="20:20" x14ac:dyDescent="0.25">
      <c r="T17">
        <f>40*T16</f>
        <v>96</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677096-D7A0-4115-B38E-F28AC72D6FD5}">
  <sheetPr codeName="Sheet10"/>
  <dimension ref="J3:J9"/>
  <sheetViews>
    <sheetView topLeftCell="A4" workbookViewId="0">
      <selection activeCell="K10" sqref="K10"/>
    </sheetView>
  </sheetViews>
  <sheetFormatPr defaultRowHeight="15" x14ac:dyDescent="0.25"/>
  <cols>
    <col min="1" max="1" width="13.85546875" customWidth="1"/>
  </cols>
  <sheetData>
    <row r="3" spans="10:10" x14ac:dyDescent="0.25">
      <c r="J3" t="s">
        <v>48</v>
      </c>
    </row>
    <row r="4" spans="10:10" x14ac:dyDescent="0.25">
      <c r="J4" t="s">
        <v>49</v>
      </c>
    </row>
    <row r="5" spans="10:10" x14ac:dyDescent="0.25">
      <c r="J5" t="s">
        <v>50</v>
      </c>
    </row>
    <row r="6" spans="10:10" x14ac:dyDescent="0.25">
      <c r="J6" t="s">
        <v>51</v>
      </c>
    </row>
    <row r="7" spans="10:10" x14ac:dyDescent="0.25">
      <c r="J7" t="s">
        <v>52</v>
      </c>
    </row>
    <row r="8" spans="10:10" x14ac:dyDescent="0.25">
      <c r="J8" t="s">
        <v>53</v>
      </c>
    </row>
    <row r="9" spans="10:10" x14ac:dyDescent="0.25">
      <c r="J9" t="s">
        <v>54</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47</vt:i4>
      </vt:variant>
    </vt:vector>
  </HeadingPairs>
  <TitlesOfParts>
    <vt:vector size="47" baseType="lpstr">
      <vt:lpstr>Contents</vt:lpstr>
      <vt:lpstr>Info</vt:lpstr>
      <vt:lpstr>OCI</vt:lpstr>
      <vt:lpstr>Consol</vt:lpstr>
      <vt:lpstr>Profit and Loss</vt:lpstr>
      <vt:lpstr>ETB</vt:lpstr>
      <vt:lpstr>SoFP</vt:lpstr>
      <vt:lpstr>Consol New</vt:lpstr>
      <vt:lpstr>FV adjustments (consol)</vt:lpstr>
      <vt:lpstr>Associates &amp; JVs</vt:lpstr>
      <vt:lpstr>Accounting for investments</vt:lpstr>
      <vt:lpstr>Fair value model</vt:lpstr>
      <vt:lpstr>FV Measurement</vt:lpstr>
      <vt:lpstr>PPE</vt:lpstr>
      <vt:lpstr>Investment Property</vt:lpstr>
      <vt:lpstr>Held for sale</vt:lpstr>
      <vt:lpstr>Discontinued Operations</vt:lpstr>
      <vt:lpstr>Intangibles</vt:lpstr>
      <vt:lpstr>Tax</vt:lpstr>
      <vt:lpstr>Deferred tax</vt:lpstr>
      <vt:lpstr>Directors remuneration</vt:lpstr>
      <vt:lpstr>Contracts</vt:lpstr>
      <vt:lpstr>Provisions</vt:lpstr>
      <vt:lpstr>FX consolidation</vt:lpstr>
      <vt:lpstr>Impairment</vt:lpstr>
      <vt:lpstr>Financial Assets</vt:lpstr>
      <vt:lpstr>Financial Liabilities</vt:lpstr>
      <vt:lpstr>ECL</vt:lpstr>
      <vt:lpstr>Consolidation Exemptions</vt:lpstr>
      <vt:lpstr>Control over an entity</vt:lpstr>
      <vt:lpstr>Investments</vt:lpstr>
      <vt:lpstr>Inventory</vt:lpstr>
      <vt:lpstr>Leases</vt:lpstr>
      <vt:lpstr>Inputs</vt:lpstr>
      <vt:lpstr>Standards</vt:lpstr>
      <vt:lpstr>AK -&gt;</vt:lpstr>
      <vt:lpstr>Adjustments for cash flow</vt:lpstr>
      <vt:lpstr>SCF (Direct)</vt:lpstr>
      <vt:lpstr>SCF (Indirect)</vt:lpstr>
      <vt:lpstr>Distributable profits</vt:lpstr>
      <vt:lpstr>Staff costs</vt:lpstr>
      <vt:lpstr>Share based payments</vt:lpstr>
      <vt:lpstr>Repurchase of shares</vt:lpstr>
      <vt:lpstr>Issue of shares</vt:lpstr>
      <vt:lpstr>Statement of changes in Equity</vt:lpstr>
      <vt:lpstr>Grant Income</vt:lpstr>
      <vt:lpstr>Variances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elizamassie</dc:creator>
  <cp:lastModifiedBy>Cornish, Bob</cp:lastModifiedBy>
  <dcterms:created xsi:type="dcterms:W3CDTF">2022-06-19T11:34:04Z</dcterms:created>
  <dcterms:modified xsi:type="dcterms:W3CDTF">2023-05-18T11:31:18Z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a60d57e-af5b-4752-ac57-3e4f28ca11dc_Enabled">
    <vt:lpwstr>true</vt:lpwstr>
  </property>
  <property fmtid="{D5CDD505-2E9C-101B-9397-08002B2CF9AE}" pid="3" name="MSIP_Label_ea60d57e-af5b-4752-ac57-3e4f28ca11dc_SetDate">
    <vt:lpwstr>2022-06-19T11:34:07Z</vt:lpwstr>
  </property>
  <property fmtid="{D5CDD505-2E9C-101B-9397-08002B2CF9AE}" pid="4" name="MSIP_Label_ea60d57e-af5b-4752-ac57-3e4f28ca11dc_Method">
    <vt:lpwstr>Standard</vt:lpwstr>
  </property>
  <property fmtid="{D5CDD505-2E9C-101B-9397-08002B2CF9AE}" pid="5" name="MSIP_Label_ea60d57e-af5b-4752-ac57-3e4f28ca11dc_Name">
    <vt:lpwstr>ea60d57e-af5b-4752-ac57-3e4f28ca11dc</vt:lpwstr>
  </property>
  <property fmtid="{D5CDD505-2E9C-101B-9397-08002B2CF9AE}" pid="6" name="MSIP_Label_ea60d57e-af5b-4752-ac57-3e4f28ca11dc_SiteId">
    <vt:lpwstr>36da45f1-dd2c-4d1f-af13-5abe46b99921</vt:lpwstr>
  </property>
  <property fmtid="{D5CDD505-2E9C-101B-9397-08002B2CF9AE}" pid="7" name="MSIP_Label_ea60d57e-af5b-4752-ac57-3e4f28ca11dc_ActionId">
    <vt:lpwstr>c079a2de-cea2-4d5a-b35d-68b33844109b</vt:lpwstr>
  </property>
  <property fmtid="{D5CDD505-2E9C-101B-9397-08002B2CF9AE}" pid="8" name="MSIP_Label_ea60d57e-af5b-4752-ac57-3e4f28ca11dc_ContentBits">
    <vt:lpwstr>0</vt:lpwstr>
  </property>
</Properties>
</file>