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4225" documentId="8_{42836195-9D8A-4966-8E19-3C69090390C3}" xr6:coauthVersionLast="47" xr6:coauthVersionMax="47" xr10:uidLastSave="{84958119-2FFD-4DDF-B3FA-87DFA5C3D6D8}"/>
  <bookViews>
    <workbookView xWindow="3465" yWindow="3465" windowWidth="12420" windowHeight="11385" tabRatio="888" activeTab="1" xr2:uid="{74E3884C-20C6-497F-9078-DF379859A94F}"/>
  </bookViews>
  <sheets>
    <sheet name="Main" sheetId="1" r:id="rId1"/>
    <sheet name="Module 5" sheetId="2" r:id="rId2"/>
    <sheet name="WSE5.1" sheetId="10" r:id="rId3"/>
    <sheet name="WSE5.2" sheetId="12" r:id="rId4"/>
    <sheet name="WSE5.3" sheetId="5" r:id="rId5"/>
    <sheet name="WSE5.4" sheetId="4" r:id="rId6"/>
    <sheet name="WSE5.5" sheetId="7" r:id="rId7"/>
    <sheet name="WSE5.6" sheetId="6" r:id="rId8"/>
    <sheet name="WSE5.7" sheetId="13" r:id="rId9"/>
    <sheet name="WSE5.8" sheetId="9" r:id="rId10"/>
    <sheet name="WSE5.9" sheetId="15" r:id="rId11"/>
    <sheet name="WSE5.10" sheetId="14"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4" l="1"/>
  <c r="E153" i="15"/>
  <c r="E154" i="15"/>
  <c r="F149" i="15"/>
  <c r="F151" i="15" s="1"/>
  <c r="D111" i="15"/>
  <c r="D109" i="15"/>
  <c r="F87" i="15"/>
  <c r="E94" i="15"/>
  <c r="F94" i="15"/>
  <c r="G94" i="15"/>
  <c r="D94" i="15"/>
  <c r="D95" i="15"/>
  <c r="C95" i="15"/>
  <c r="E93" i="15"/>
  <c r="F93" i="15"/>
  <c r="G93" i="15"/>
  <c r="D93" i="15"/>
  <c r="E86" i="15"/>
  <c r="E88" i="15" s="1"/>
  <c r="E90" i="15" s="1"/>
  <c r="F86" i="15"/>
  <c r="G86" i="15"/>
  <c r="G88" i="15" s="1"/>
  <c r="G90" i="15" s="1"/>
  <c r="D108" i="15" s="1"/>
  <c r="D86" i="15"/>
  <c r="D87" i="15"/>
  <c r="F75" i="15"/>
  <c r="C75" i="15"/>
  <c r="D75" i="15" s="1"/>
  <c r="F74" i="15"/>
  <c r="C74" i="15"/>
  <c r="D74" i="15" s="1"/>
  <c r="C73" i="15"/>
  <c r="F72" i="15"/>
  <c r="E71" i="15"/>
  <c r="E75" i="15"/>
  <c r="E74" i="15"/>
  <c r="E72" i="15"/>
  <c r="E70" i="15"/>
  <c r="C72" i="15"/>
  <c r="D72" i="15" s="1"/>
  <c r="C71" i="15"/>
  <c r="D71" i="15" s="1"/>
  <c r="C70" i="15"/>
  <c r="D70" i="15" s="1"/>
  <c r="F71" i="15"/>
  <c r="F70" i="15"/>
  <c r="E64" i="15"/>
  <c r="F65" i="15" s="1"/>
  <c r="C32" i="15"/>
  <c r="D32" i="15"/>
  <c r="E32" i="15"/>
  <c r="F32" i="15"/>
  <c r="D55" i="15"/>
  <c r="C52" i="15"/>
  <c r="F45" i="15"/>
  <c r="D51" i="15" s="1"/>
  <c r="D56" i="15" s="1"/>
  <c r="D48" i="15"/>
  <c r="G73" i="15" s="1"/>
  <c r="D47" i="15"/>
  <c r="F137" i="15"/>
  <c r="E136" i="15"/>
  <c r="F135" i="15"/>
  <c r="E134" i="15"/>
  <c r="E133" i="15"/>
  <c r="D138" i="15"/>
  <c r="B128" i="15"/>
  <c r="D40" i="15"/>
  <c r="E40" i="15"/>
  <c r="D25" i="15"/>
  <c r="E25" i="15"/>
  <c r="F25" i="15"/>
  <c r="C25" i="15"/>
  <c r="D24" i="15"/>
  <c r="E24" i="15"/>
  <c r="F24" i="15"/>
  <c r="C24" i="15"/>
  <c r="D11" i="15"/>
  <c r="E11" i="15"/>
  <c r="C11" i="15"/>
  <c r="F142" i="13"/>
  <c r="E141" i="13"/>
  <c r="D139" i="13"/>
  <c r="D138" i="13"/>
  <c r="D137" i="13"/>
  <c r="D135" i="13"/>
  <c r="D136" i="13"/>
  <c r="E131" i="13"/>
  <c r="D122" i="13"/>
  <c r="F97" i="13"/>
  <c r="E92" i="13"/>
  <c r="D103" i="13"/>
  <c r="D102" i="13"/>
  <c r="E88" i="13"/>
  <c r="F89" i="13" s="1"/>
  <c r="D80" i="13"/>
  <c r="D67" i="12"/>
  <c r="D60" i="13"/>
  <c r="D59" i="13"/>
  <c r="C55" i="13"/>
  <c r="C54" i="13"/>
  <c r="C53" i="13"/>
  <c r="D103" i="15" l="1"/>
  <c r="D115" i="15"/>
  <c r="F88" i="15"/>
  <c r="F90" i="15" s="1"/>
  <c r="D88" i="15"/>
  <c r="D90" i="15" s="1"/>
  <c r="F95" i="15"/>
  <c r="G70" i="15"/>
  <c r="G72" i="15"/>
  <c r="E96" i="15" s="1"/>
  <c r="E97" i="15" s="1"/>
  <c r="E99" i="15" s="1"/>
  <c r="G71" i="15"/>
  <c r="G75" i="15"/>
  <c r="G96" i="15" s="1"/>
  <c r="G97" i="15" s="1"/>
  <c r="G99" i="15" s="1"/>
  <c r="D110" i="15" s="1"/>
  <c r="D112" i="15" s="1"/>
  <c r="E120" i="15" s="1"/>
  <c r="G74" i="15"/>
  <c r="F96" i="15" s="1"/>
  <c r="D57" i="15"/>
  <c r="F60" i="15" s="1"/>
  <c r="D49" i="15"/>
  <c r="F138" i="15"/>
  <c r="E143" i="15" s="1"/>
  <c r="F144" i="15" s="1"/>
  <c r="E138" i="15"/>
  <c r="D140" i="15" s="1"/>
  <c r="D104" i="13"/>
  <c r="E39" i="13"/>
  <c r="E48" i="13" s="1"/>
  <c r="E25" i="13"/>
  <c r="E27" i="13" s="1"/>
  <c r="F25" i="13"/>
  <c r="F27" i="13" s="1"/>
  <c r="F44" i="13" s="1"/>
  <c r="D25" i="13"/>
  <c r="D27" i="13" s="1"/>
  <c r="E33" i="13" s="1"/>
  <c r="D16" i="13"/>
  <c r="E16" i="13"/>
  <c r="C16" i="13"/>
  <c r="D124" i="13"/>
  <c r="E130" i="13" s="1"/>
  <c r="D121" i="13"/>
  <c r="F128" i="13" s="1"/>
  <c r="C116" i="13"/>
  <c r="C115" i="13"/>
  <c r="D114" i="13"/>
  <c r="E118" i="13" s="1"/>
  <c r="F119" i="13" s="1"/>
  <c r="F90" i="13"/>
  <c r="D105" i="13" s="1"/>
  <c r="C86" i="13"/>
  <c r="C85" i="13"/>
  <c r="D85" i="13"/>
  <c r="D81" i="13"/>
  <c r="D83" i="13" s="1"/>
  <c r="E74" i="13"/>
  <c r="F75" i="13" s="1"/>
  <c r="C72" i="13"/>
  <c r="D71" i="13"/>
  <c r="E100" i="12"/>
  <c r="C110" i="12"/>
  <c r="C109" i="12"/>
  <c r="D110" i="12" s="1"/>
  <c r="E110" i="12" s="1"/>
  <c r="C108" i="12"/>
  <c r="E136" i="12"/>
  <c r="F134" i="12"/>
  <c r="D144" i="12" s="1"/>
  <c r="E132" i="12"/>
  <c r="F133" i="12" s="1"/>
  <c r="D126" i="12"/>
  <c r="D123" i="12"/>
  <c r="E135" i="12" s="1"/>
  <c r="D143" i="12" s="1"/>
  <c r="D113" i="12"/>
  <c r="D114" i="12" s="1"/>
  <c r="D106" i="12"/>
  <c r="F98" i="12"/>
  <c r="C92" i="12"/>
  <c r="D92" i="12" s="1"/>
  <c r="D81" i="12"/>
  <c r="D80" i="12"/>
  <c r="C69" i="12"/>
  <c r="F63" i="12"/>
  <c r="D38" i="12"/>
  <c r="D40" i="12" s="1"/>
  <c r="D24" i="12"/>
  <c r="D25" i="12" s="1"/>
  <c r="E32" i="12" s="1"/>
  <c r="D19" i="12"/>
  <c r="C19" i="12"/>
  <c r="F83" i="10"/>
  <c r="E82" i="10"/>
  <c r="F79" i="10"/>
  <c r="F78" i="10"/>
  <c r="E78" i="10"/>
  <c r="E79" i="10" s="1"/>
  <c r="C79" i="10"/>
  <c r="D79" i="10"/>
  <c r="D78" i="10"/>
  <c r="F80" i="10" s="1"/>
  <c r="C78" i="10"/>
  <c r="D68" i="10"/>
  <c r="D69" i="10" s="1"/>
  <c r="E71" i="10" s="1"/>
  <c r="C60" i="10"/>
  <c r="C61" i="10"/>
  <c r="D46" i="10"/>
  <c r="E46" i="10"/>
  <c r="C46" i="10"/>
  <c r="F46" i="10" s="1"/>
  <c r="D43" i="10"/>
  <c r="E43" i="10"/>
  <c r="C43" i="10"/>
  <c r="D27" i="10"/>
  <c r="D28" i="10" s="1"/>
  <c r="D29" i="10"/>
  <c r="E23" i="10"/>
  <c r="F24" i="10" s="1"/>
  <c r="C11" i="10"/>
  <c r="E11" i="10"/>
  <c r="C49" i="10" s="1"/>
  <c r="F11" i="10"/>
  <c r="D11" i="10"/>
  <c r="F148" i="9"/>
  <c r="E147" i="9"/>
  <c r="E145" i="9"/>
  <c r="E144" i="9"/>
  <c r="E143" i="9"/>
  <c r="F140" i="9"/>
  <c r="E139" i="9"/>
  <c r="E138" i="9"/>
  <c r="E135" i="9"/>
  <c r="E134" i="9"/>
  <c r="E131" i="9"/>
  <c r="E111" i="9"/>
  <c r="E110" i="9"/>
  <c r="D96" i="9"/>
  <c r="C88" i="9"/>
  <c r="D75" i="9"/>
  <c r="E66" i="9"/>
  <c r="D62" i="9"/>
  <c r="D64" i="9" s="1"/>
  <c r="D47" i="9"/>
  <c r="D44" i="9"/>
  <c r="D35" i="9"/>
  <c r="D34" i="9"/>
  <c r="D20" i="9"/>
  <c r="D24" i="9" s="1"/>
  <c r="D27" i="9" s="1"/>
  <c r="D58" i="9"/>
  <c r="D60" i="9" s="1"/>
  <c r="E71" i="9" s="1"/>
  <c r="F72" i="9" s="1"/>
  <c r="F23" i="9"/>
  <c r="F24" i="9" s="1"/>
  <c r="F27" i="9" s="1"/>
  <c r="G23" i="9"/>
  <c r="G24" i="9" s="1"/>
  <c r="G28" i="9" s="1"/>
  <c r="E23" i="9"/>
  <c r="E24" i="9" s="1"/>
  <c r="E27" i="9" s="1"/>
  <c r="F20" i="9"/>
  <c r="G20" i="9"/>
  <c r="E20" i="9"/>
  <c r="F44" i="7"/>
  <c r="E43" i="7"/>
  <c r="E42" i="7"/>
  <c r="D38" i="7"/>
  <c r="D32" i="7"/>
  <c r="D17" i="7"/>
  <c r="D29" i="7" s="1"/>
  <c r="D14" i="7"/>
  <c r="D15" i="7" s="1"/>
  <c r="D16" i="7" s="1"/>
  <c r="D58" i="6"/>
  <c r="D32" i="6"/>
  <c r="D35" i="6" s="1"/>
  <c r="D9" i="6"/>
  <c r="E19" i="6" s="1"/>
  <c r="F20" i="6" s="1"/>
  <c r="D318" i="2"/>
  <c r="D313" i="2"/>
  <c r="E325" i="2" s="1"/>
  <c r="D280" i="2"/>
  <c r="D279" i="2"/>
  <c r="D277" i="2"/>
  <c r="D278" i="2" s="1"/>
  <c r="D272" i="2"/>
  <c r="F62" i="5"/>
  <c r="E60" i="5"/>
  <c r="E35" i="5"/>
  <c r="E37" i="5" s="1"/>
  <c r="E40" i="5" s="1"/>
  <c r="E55" i="5" s="1"/>
  <c r="E56" i="5" s="1"/>
  <c r="E58" i="5" s="1"/>
  <c r="D14" i="5"/>
  <c r="D15" i="5" s="1"/>
  <c r="E259" i="2"/>
  <c r="E236" i="2"/>
  <c r="E237" i="2" s="1"/>
  <c r="E233" i="2"/>
  <c r="E242" i="2" s="1"/>
  <c r="E228" i="2"/>
  <c r="E232" i="2" s="1"/>
  <c r="D212" i="2"/>
  <c r="E213" i="2"/>
  <c r="D211" i="2"/>
  <c r="D210" i="2"/>
  <c r="D205" i="2"/>
  <c r="D197" i="2"/>
  <c r="E198" i="2"/>
  <c r="D196" i="2"/>
  <c r="D193" i="2"/>
  <c r="I27" i="4"/>
  <c r="I26" i="4"/>
  <c r="I25" i="4"/>
  <c r="I24" i="4"/>
  <c r="E20" i="4"/>
  <c r="D18" i="4"/>
  <c r="E19" i="4" s="1"/>
  <c r="E21" i="4" s="1"/>
  <c r="H25" i="4"/>
  <c r="H26" i="4"/>
  <c r="H27" i="4"/>
  <c r="H28" i="4"/>
  <c r="H24" i="4"/>
  <c r="G28" i="4"/>
  <c r="J28" i="4" s="1"/>
  <c r="G27" i="4"/>
  <c r="G26" i="4"/>
  <c r="G24" i="4"/>
  <c r="G25" i="4"/>
  <c r="F29" i="4"/>
  <c r="F180" i="2"/>
  <c r="F182" i="2" s="1"/>
  <c r="D178" i="2"/>
  <c r="F178" i="2" s="1"/>
  <c r="D177" i="2"/>
  <c r="F177" i="2" s="1"/>
  <c r="D174" i="2"/>
  <c r="F174" i="2" s="1"/>
  <c r="D173" i="2"/>
  <c r="F173" i="2" s="1"/>
  <c r="E170" i="2"/>
  <c r="E169" i="2"/>
  <c r="E168" i="2"/>
  <c r="D170" i="2"/>
  <c r="D169" i="2"/>
  <c r="D168" i="2"/>
  <c r="B164" i="2"/>
  <c r="D120" i="2"/>
  <c r="D95" i="2"/>
  <c r="D101" i="2" s="1"/>
  <c r="E34" i="2"/>
  <c r="F42" i="2"/>
  <c r="E47" i="2"/>
  <c r="F48" i="2" s="1"/>
  <c r="F169" i="2" l="1"/>
  <c r="F170" i="2"/>
  <c r="D145" i="12"/>
  <c r="D146" i="12" s="1"/>
  <c r="E148" i="12" s="1"/>
  <c r="F149" i="12" s="1"/>
  <c r="F168" i="2"/>
  <c r="F153" i="15"/>
  <c r="F154" i="15" s="1"/>
  <c r="F156" i="15" s="1"/>
  <c r="G157" i="15" s="1"/>
  <c r="D281" i="2"/>
  <c r="E285" i="2" s="1"/>
  <c r="D284" i="2"/>
  <c r="E238" i="2"/>
  <c r="E246" i="2"/>
  <c r="E260" i="2" s="1"/>
  <c r="E261" i="2" s="1"/>
  <c r="F97" i="15"/>
  <c r="F99" i="15" s="1"/>
  <c r="D96" i="15"/>
  <c r="D97" i="15" s="1"/>
  <c r="D99" i="15" s="1"/>
  <c r="G76" i="15"/>
  <c r="D52" i="15"/>
  <c r="D53" i="15" s="1"/>
  <c r="F61" i="15" s="1"/>
  <c r="E59" i="15"/>
  <c r="D105" i="15" s="1"/>
  <c r="D106" i="13"/>
  <c r="D107" i="13" s="1"/>
  <c r="E109" i="13" s="1"/>
  <c r="F110" i="13" s="1"/>
  <c r="D86" i="13"/>
  <c r="D72" i="13"/>
  <c r="F40" i="13"/>
  <c r="E38" i="13" s="1"/>
  <c r="E47" i="13" s="1"/>
  <c r="E43" i="13"/>
  <c r="E46" i="13" s="1"/>
  <c r="F34" i="13"/>
  <c r="C56" i="13"/>
  <c r="D57" i="13" s="1"/>
  <c r="D61" i="13" s="1"/>
  <c r="E63" i="13" s="1"/>
  <c r="F64" i="13" s="1"/>
  <c r="E129" i="13"/>
  <c r="D115" i="13"/>
  <c r="D116" i="13" s="1"/>
  <c r="E91" i="13"/>
  <c r="F93" i="13" s="1"/>
  <c r="D109" i="12"/>
  <c r="E109" i="12" s="1"/>
  <c r="E117" i="12" s="1"/>
  <c r="F118" i="12" s="1"/>
  <c r="E137" i="12"/>
  <c r="D26" i="12"/>
  <c r="E43" i="12"/>
  <c r="F44" i="12" s="1"/>
  <c r="E99" i="12"/>
  <c r="D93" i="12"/>
  <c r="D95" i="12" s="1"/>
  <c r="E101" i="12" s="1"/>
  <c r="D115" i="12"/>
  <c r="E71" i="12"/>
  <c r="F74" i="12" s="1"/>
  <c r="D68" i="12"/>
  <c r="E84" i="12" s="1"/>
  <c r="F85" i="12" s="1"/>
  <c r="D62" i="10"/>
  <c r="D63" i="10" s="1"/>
  <c r="D65" i="10" s="1"/>
  <c r="F73" i="10" s="1"/>
  <c r="C50" i="10"/>
  <c r="E52" i="10" s="1"/>
  <c r="F53" i="10" s="1"/>
  <c r="E32" i="10"/>
  <c r="F33" i="10" s="1"/>
  <c r="E72" i="10"/>
  <c r="D30" i="10"/>
  <c r="E36" i="10" s="1"/>
  <c r="F37" i="10" s="1"/>
  <c r="E132" i="9"/>
  <c r="E133" i="9" s="1"/>
  <c r="D86" i="9"/>
  <c r="E112" i="9"/>
  <c r="E116" i="9" s="1"/>
  <c r="F117" i="9" s="1"/>
  <c r="D97" i="9"/>
  <c r="D102" i="9" s="1"/>
  <c r="D76" i="9"/>
  <c r="D77" i="9" s="1"/>
  <c r="D79" i="9" s="1"/>
  <c r="E81" i="9" s="1"/>
  <c r="F82" i="9" s="1"/>
  <c r="F67" i="9"/>
  <c r="F68" i="9" s="1"/>
  <c r="D45" i="9"/>
  <c r="D36" i="9"/>
  <c r="E38" i="9" s="1"/>
  <c r="F39" i="9" s="1"/>
  <c r="D18" i="7"/>
  <c r="E20" i="7"/>
  <c r="D28" i="7"/>
  <c r="D30" i="7" s="1"/>
  <c r="E62" i="6"/>
  <c r="F40" i="6"/>
  <c r="E24" i="6"/>
  <c r="F25" i="6" s="1"/>
  <c r="F28" i="6" s="1"/>
  <c r="D31" i="6" s="1"/>
  <c r="D33" i="6" s="1"/>
  <c r="E38" i="6" s="1"/>
  <c r="D36" i="6"/>
  <c r="E47" i="6"/>
  <c r="F48" i="6" s="1"/>
  <c r="E44" i="6"/>
  <c r="F45" i="6" s="1"/>
  <c r="D52" i="6"/>
  <c r="D314" i="2"/>
  <c r="D316" i="2" s="1"/>
  <c r="E234" i="2"/>
  <c r="E241" i="2" s="1"/>
  <c r="F243" i="2" s="1"/>
  <c r="E253" i="2"/>
  <c r="F254" i="2" s="1"/>
  <c r="E199" i="2"/>
  <c r="E214" i="2"/>
  <c r="E61" i="5"/>
  <c r="F63" i="5" s="1"/>
  <c r="D16" i="5"/>
  <c r="D18" i="5" s="1"/>
  <c r="E21" i="5" s="1"/>
  <c r="F22" i="5" s="1"/>
  <c r="E38" i="5"/>
  <c r="E25" i="5"/>
  <c r="E30" i="5" s="1"/>
  <c r="F41" i="5"/>
  <c r="J27" i="4"/>
  <c r="J26" i="4"/>
  <c r="J25" i="4"/>
  <c r="J24" i="4"/>
  <c r="F179" i="2" l="1"/>
  <c r="D282" i="2"/>
  <c r="E286" i="2" s="1"/>
  <c r="F247" i="2"/>
  <c r="D114" i="15"/>
  <c r="D116" i="15" s="1"/>
  <c r="F123" i="15" s="1"/>
  <c r="E78" i="15"/>
  <c r="F79" i="15" s="1"/>
  <c r="D104" i="15"/>
  <c r="D106" i="15" s="1"/>
  <c r="F49" i="13"/>
  <c r="D123" i="13"/>
  <c r="D125" i="13" s="1"/>
  <c r="D69" i="12"/>
  <c r="D28" i="12"/>
  <c r="F74" i="10"/>
  <c r="D98" i="9"/>
  <c r="D100" i="9" s="1"/>
  <c r="D46" i="9"/>
  <c r="D48" i="9" s="1"/>
  <c r="D51" i="9"/>
  <c r="E21" i="7"/>
  <c r="F22" i="7" s="1"/>
  <c r="D54" i="6"/>
  <c r="E63" i="6" s="1"/>
  <c r="F65" i="6" s="1"/>
  <c r="D59" i="6"/>
  <c r="D60" i="6" s="1"/>
  <c r="F64" i="6" s="1"/>
  <c r="E39" i="6"/>
  <c r="D319" i="2"/>
  <c r="D320" i="2" s="1"/>
  <c r="E326" i="2" s="1"/>
  <c r="E26" i="5"/>
  <c r="E29" i="5" s="1"/>
  <c r="F31" i="5" s="1"/>
  <c r="J29" i="4"/>
  <c r="D322" i="2" l="1"/>
  <c r="E327" i="2" s="1"/>
  <c r="F328" i="2" s="1"/>
  <c r="E121" i="15"/>
  <c r="D118" i="15"/>
  <c r="F122" i="15" s="1"/>
  <c r="F33" i="12"/>
  <c r="E31" i="12" s="1"/>
  <c r="E121" i="9"/>
  <c r="E123" i="9" s="1"/>
  <c r="F124" i="9" s="1"/>
  <c r="E103" i="9"/>
  <c r="E104" i="9" s="1"/>
  <c r="D50" i="9"/>
  <c r="E52" i="9" s="1"/>
  <c r="D85" i="9" s="1"/>
  <c r="D87" i="9" s="1"/>
  <c r="D88" i="9" s="1"/>
  <c r="E90" i="9" s="1"/>
  <c r="F91" i="9" s="1"/>
  <c r="E24" i="7"/>
  <c r="D34" i="7"/>
  <c r="E47" i="5"/>
  <c r="F48" i="5" s="1"/>
  <c r="F25" i="7" l="1"/>
  <c r="D35" i="7"/>
  <c r="D36" i="7" s="1"/>
  <c r="E41" i="7"/>
  <c r="E65" i="5"/>
  <c r="E67" i="5" s="1"/>
  <c r="F68" i="5" s="1"/>
</calcChain>
</file>

<file path=xl/sharedStrings.xml><?xml version="1.0" encoding="utf-8"?>
<sst xmlns="http://schemas.openxmlformats.org/spreadsheetml/2006/main" count="944" uniqueCount="667">
  <si>
    <t>WSE5.1</t>
  </si>
  <si>
    <t>WSE5.2</t>
  </si>
  <si>
    <t>WSE5.3</t>
  </si>
  <si>
    <t>WSE5.4</t>
  </si>
  <si>
    <t>WSE5.5</t>
  </si>
  <si>
    <t>WSE5.6</t>
  </si>
  <si>
    <t>WSE5.7</t>
  </si>
  <si>
    <t>WSE5.8</t>
  </si>
  <si>
    <t>WSE5.9</t>
  </si>
  <si>
    <t>WSE5.10</t>
  </si>
  <si>
    <t>Main</t>
  </si>
  <si>
    <t>ignore  chapters 30, 33, 34 and 36</t>
  </si>
  <si>
    <t>Activity 1</t>
  </si>
  <si>
    <t>dr</t>
  </si>
  <si>
    <t>cr</t>
  </si>
  <si>
    <t>dr PPE - cost</t>
  </si>
  <si>
    <t>dr SPL - repairs</t>
  </si>
  <si>
    <t>cr Suspense</t>
  </si>
  <si>
    <t>being correction to expenditure on production line</t>
  </si>
  <si>
    <t>P&amp;L  -other income</t>
  </si>
  <si>
    <t>dr PPE - AD</t>
  </si>
  <si>
    <t>dr SPL - loss on disposal</t>
  </si>
  <si>
    <t>cr PPE - cost</t>
  </si>
  <si>
    <t>Beiong correction ot dispoal of replaced part</t>
  </si>
  <si>
    <t>dr SPL - depr'n</t>
  </si>
  <si>
    <t>cr PPE - Ad</t>
  </si>
  <si>
    <t>beinb depreciation of replacment part.</t>
  </si>
  <si>
    <t>got a few things right.  Got the depr'n pro-rate correct</t>
  </si>
  <si>
    <t>got the carry value and loss on sale</t>
  </si>
  <si>
    <t>need to dial in the nuance of th equestion</t>
  </si>
  <si>
    <t>come up with a method to extract the key part of the question - just practice!!!</t>
  </si>
  <si>
    <t>use SPL, not P&amp;L</t>
  </si>
  <si>
    <t>Example 2</t>
  </si>
  <si>
    <t>YE</t>
  </si>
  <si>
    <t>Asset A</t>
  </si>
  <si>
    <t>`</t>
  </si>
  <si>
    <t>cost in USD</t>
  </si>
  <si>
    <t>cost in GBP</t>
  </si>
  <si>
    <t>non-refundable tax</t>
  </si>
  <si>
    <t>import duties</t>
  </si>
  <si>
    <t>installation cost</t>
  </si>
  <si>
    <t>less dicsount</t>
  </si>
  <si>
    <t>testing</t>
  </si>
  <si>
    <t>Asset B</t>
  </si>
  <si>
    <t>commeced</t>
  </si>
  <si>
    <t>completed</t>
  </si>
  <si>
    <t>opening costs incurrenct</t>
  </si>
  <si>
    <t>&lt;even though payment made before  - all the cost rolled on until the asset complete.  Accruals made at year ends torealise AUC</t>
  </si>
  <si>
    <t>payments made in the year</t>
  </si>
  <si>
    <t>cost outstanding at YE</t>
  </si>
  <si>
    <t>architects</t>
  </si>
  <si>
    <t>engineers</t>
  </si>
  <si>
    <t>own staff cost</t>
  </si>
  <si>
    <t>ignore market value rate</t>
  </si>
  <si>
    <t>gen o/h</t>
  </si>
  <si>
    <t>cannot capitalise general overhead</t>
  </si>
  <si>
    <t>cannot include estimed markup on labour.  This is the htheory of the firm.  That work done cheaper in house</t>
  </si>
  <si>
    <t>good job on this one.   90% correct.</t>
  </si>
  <si>
    <t>Activity 2</t>
  </si>
  <si>
    <t>Chemical Plant</t>
  </si>
  <si>
    <t>cost</t>
  </si>
  <si>
    <t>cr construction account</t>
  </si>
  <si>
    <t>decom cost</t>
  </si>
  <si>
    <t>spillage</t>
  </si>
  <si>
    <t>&lt;operating mistake - SPL</t>
  </si>
  <si>
    <t>cr SFP - decom liab</t>
  </si>
  <si>
    <t>cr contruction account</t>
  </si>
  <si>
    <t>dr SPL - spillage cost</t>
  </si>
  <si>
    <t>cr SFP - prov'n</t>
  </si>
  <si>
    <t>good job.  Missed the spillage cost cost to a liab</t>
  </si>
  <si>
    <t>note the estimated future clean up cost</t>
  </si>
  <si>
    <t>this chould go into the decom prov'n</t>
  </si>
  <si>
    <t>Activity 3</t>
  </si>
  <si>
    <t>WARI on o/d</t>
  </si>
  <si>
    <t>interest charge</t>
  </si>
  <si>
    <t>Payments to contractors</t>
  </si>
  <si>
    <t>Payments to architects</t>
  </si>
  <si>
    <t>Payments to staff</t>
  </si>
  <si>
    <t>Totla potentially available borrowing cost</t>
  </si>
  <si>
    <t>Totla capitalised borrowing cost</t>
  </si>
  <si>
    <t>Lower of the two numebrs</t>
  </si>
  <si>
    <t>Example 3</t>
  </si>
  <si>
    <t xml:space="preserve">Cardiff </t>
  </si>
  <si>
    <t>Lanc</t>
  </si>
  <si>
    <t xml:space="preserve">carry </t>
  </si>
  <si>
    <t>AD</t>
  </si>
  <si>
    <t>remaing useful life</t>
  </si>
  <si>
    <t>gain on sale</t>
  </si>
  <si>
    <t>&lt;&lt;&lt;had this as a loss in first instance which was wrong.  Corrected later on in journals</t>
  </si>
  <si>
    <t>dr PPE - Lanc</t>
  </si>
  <si>
    <t>cr PPE - Cardiff</t>
  </si>
  <si>
    <t>dr AD - Cardiff</t>
  </si>
  <si>
    <t>cr SPL - gain on sale</t>
  </si>
  <si>
    <t>Property</t>
  </si>
  <si>
    <t>Land</t>
  </si>
  <si>
    <t>carry</t>
  </si>
  <si>
    <t>cash consideration</t>
  </si>
  <si>
    <t>dr PPE - land cost</t>
  </si>
  <si>
    <t>dr cash</t>
  </si>
  <si>
    <t>cr PPE - prop cost</t>
  </si>
  <si>
    <t>dr AD - prop</t>
  </si>
  <si>
    <t xml:space="preserve">cr - SPL gain on sale </t>
  </si>
  <si>
    <t>being gain on disposal of property</t>
  </si>
  <si>
    <t>full marks✔✔✔✔</t>
  </si>
  <si>
    <t>Example 4</t>
  </si>
  <si>
    <t>Cost</t>
  </si>
  <si>
    <t>Carrying amount</t>
  </si>
  <si>
    <t>reval  - MV</t>
  </si>
  <si>
    <t>uplift</t>
  </si>
  <si>
    <t>write back AD</t>
  </si>
  <si>
    <t>Depr'n charge</t>
  </si>
  <si>
    <t>NBV</t>
  </si>
  <si>
    <t>dr PPE  -AD</t>
  </si>
  <si>
    <t>cr reval surplua</t>
  </si>
  <si>
    <t>being reval of head office at 01/01/2025</t>
  </si>
  <si>
    <t>cr PPE- AD</t>
  </si>
  <si>
    <t>being depr'n charge for thbe year ended 31/12/2025</t>
  </si>
  <si>
    <t>annual transfer = 1/16 x £2,700 = £ 169k</t>
  </si>
  <si>
    <t>dr reval rsv</t>
  </si>
  <si>
    <t>cr RE</t>
  </si>
  <si>
    <t>requirement 2</t>
  </si>
  <si>
    <t>FV at 01/01/2025</t>
  </si>
  <si>
    <t>Deprecation charge</t>
  </si>
  <si>
    <t>NBV at YE 31/12/2025</t>
  </si>
  <si>
    <t>maybe got 40% of marks - to be revisiting and practiced.  Journals just need practice is all.</t>
  </si>
  <si>
    <t>Activity 4</t>
  </si>
  <si>
    <t>carrying amount</t>
  </si>
  <si>
    <t>reval - MV</t>
  </si>
  <si>
    <t>reval losses</t>
  </si>
  <si>
    <t>remaining useful life</t>
  </si>
  <si>
    <t>years</t>
  </si>
  <si>
    <t>depr'n charge</t>
  </si>
  <si>
    <t>theoretical depr'n charge</t>
  </si>
  <si>
    <t>FV</t>
  </si>
  <si>
    <t>Revaluation increase</t>
  </si>
  <si>
    <t>Theoretical NBV if no reval</t>
  </si>
  <si>
    <t>Amount credited to P&amp;L</t>
  </si>
  <si>
    <t>Amount to credit reval rsv</t>
  </si>
  <si>
    <t xml:space="preserve">dr PPE </t>
  </si>
  <si>
    <t>cr SPL - gain on reval</t>
  </si>
  <si>
    <t>cr reval surplus</t>
  </si>
  <si>
    <t>Activity 5</t>
  </si>
  <si>
    <t>reval FV</t>
  </si>
  <si>
    <t>reval increase</t>
  </si>
  <si>
    <t>useful life</t>
  </si>
  <si>
    <t>Revalation decrease</t>
  </si>
  <si>
    <t>reval surp</t>
  </si>
  <si>
    <t>Annual transfers</t>
  </si>
  <si>
    <t>Amount debited to SPL</t>
  </si>
  <si>
    <t>dr-  PPE -AD</t>
  </si>
  <si>
    <t>dr  -reval surpo</t>
  </si>
  <si>
    <t>Dr - SPL reval decrease</t>
  </si>
  <si>
    <t>cr property cost</t>
  </si>
  <si>
    <t>being reval decrease on property</t>
  </si>
  <si>
    <t xml:space="preserve">Victor </t>
  </si>
  <si>
    <t>nothing is fully depreciated</t>
  </si>
  <si>
    <t xml:space="preserve">PPE as at </t>
  </si>
  <si>
    <t>Builindgs</t>
  </si>
  <si>
    <t>P&amp;M</t>
  </si>
  <si>
    <t>MV</t>
  </si>
  <si>
    <t>all payments recorded as credits in the suspense account</t>
  </si>
  <si>
    <t>so the correcting jounral will begin with dr suspense</t>
  </si>
  <si>
    <t>Depr'n charged monthly with full months charge in month of purchase</t>
  </si>
  <si>
    <t>Building</t>
  </si>
  <si>
    <t>land</t>
  </si>
  <si>
    <t>Dr - PPE Land</t>
  </si>
  <si>
    <t>cr - suspense</t>
  </si>
  <si>
    <t>half out of 1</t>
  </si>
  <si>
    <t>Buildings</t>
  </si>
  <si>
    <t>noral depr'n</t>
  </si>
  <si>
    <t>2marks</t>
  </si>
  <si>
    <t>dr PPE - bulidngs</t>
  </si>
  <si>
    <t>cr PPE suspense</t>
  </si>
  <si>
    <t>depreciation charge in the 7 months to YE</t>
  </si>
  <si>
    <t>dr - SPL - depr'n</t>
  </si>
  <si>
    <t>cr - AD  -buildings</t>
  </si>
  <si>
    <t>half mark</t>
  </si>
  <si>
    <t>Addition</t>
  </si>
  <si>
    <t>Flow meter</t>
  </si>
  <si>
    <t>Conveyor system</t>
  </si>
  <si>
    <t>storage tanks</t>
  </si>
  <si>
    <t>date</t>
  </si>
  <si>
    <t>months</t>
  </si>
  <si>
    <t>Depr charge</t>
  </si>
  <si>
    <t>normal depr  - 20% Reducing balance</t>
  </si>
  <si>
    <t>depr charge</t>
  </si>
  <si>
    <t>dr - SPL depr</t>
  </si>
  <si>
    <t>cr - P&amp;M AD</t>
  </si>
  <si>
    <t>3 out of 3.5  - transposition error</t>
  </si>
  <si>
    <t>Motor Vehicles</t>
  </si>
  <si>
    <t>lorry disposal</t>
  </si>
  <si>
    <t xml:space="preserve">cost </t>
  </si>
  <si>
    <t>0 marks - got the date calc wrong.  Did it to year end rather than the disposal date - simple mistake.  But just need to be aware and watch out for dates</t>
  </si>
  <si>
    <t>Proceeds</t>
  </si>
  <si>
    <t>cr -suspense accountg</t>
  </si>
  <si>
    <t>Adjustment to cost</t>
  </si>
  <si>
    <t>Dr MV Cost</t>
  </si>
  <si>
    <t>dr - AD</t>
  </si>
  <si>
    <t>cr - gain on sale</t>
  </si>
  <si>
    <t>cr suspense</t>
  </si>
  <si>
    <t>being correction to disposal and additoion on 02/11/2024</t>
  </si>
  <si>
    <t>Depreciation</t>
  </si>
  <si>
    <t>depreciation to date of disposal</t>
  </si>
  <si>
    <t>nil marks did not get this far</t>
  </si>
  <si>
    <t>Depreciation of motor vehicles</t>
  </si>
  <si>
    <t>dr - SPL depreciation charge</t>
  </si>
  <si>
    <t>cr MV AD</t>
  </si>
  <si>
    <t>being depreciation of motor vehicles</t>
  </si>
  <si>
    <t>POQ ltd</t>
  </si>
  <si>
    <t xml:space="preserve">buildings and computer equipment goes in as admin </t>
  </si>
  <si>
    <t>p&amp;M goes in as COS</t>
  </si>
  <si>
    <t>no depr'n charge made this year</t>
  </si>
  <si>
    <t>Land cost</t>
  </si>
  <si>
    <t>Building cost</t>
  </si>
  <si>
    <t>dr - land and buildings - cost</t>
  </si>
  <si>
    <t>dr - land and buildings - AD</t>
  </si>
  <si>
    <t>cr - revaluation surplus</t>
  </si>
  <si>
    <t>Remaining L&amp;B journals</t>
  </si>
  <si>
    <t>Dr - SPL - admin expenses</t>
  </si>
  <si>
    <t>CR - AD L&amp;B</t>
  </si>
  <si>
    <t>Plant and machinery</t>
  </si>
  <si>
    <t>Factory came into used on 01/02/2026 - cannot capitalise any borrowings past this point</t>
  </si>
  <si>
    <t>Description</t>
  </si>
  <si>
    <t>Transportation costs</t>
  </si>
  <si>
    <t>Installation costs</t>
  </si>
  <si>
    <t>Testing costs</t>
  </si>
  <si>
    <t>Costs incurred</t>
  </si>
  <si>
    <t>Company staff cost</t>
  </si>
  <si>
    <t>test products</t>
  </si>
  <si>
    <t>The cost (£55k) above less the revenue earned from selling the products can be capitalised.</t>
  </si>
  <si>
    <t>training</t>
  </si>
  <si>
    <t>training and prepatory expenses cannot be expensed</t>
  </si>
  <si>
    <t>early losses</t>
  </si>
  <si>
    <t>early operational losses cannot be capitalised</t>
  </si>
  <si>
    <t>all cost incurred have been debited to SPL - capital expenses so a big correcting journal is required</t>
  </si>
  <si>
    <t>to credit capital expense and debit balances to the correct accounts</t>
  </si>
  <si>
    <t>cr - revenue</t>
  </si>
  <si>
    <t>dr - SPL - capital expenses</t>
  </si>
  <si>
    <t>being correction of the sale of test products.  This just goes to revenue and has no bearing on the capital expenses account</t>
  </si>
  <si>
    <t>cost of the factory</t>
  </si>
  <si>
    <t>dr - PPE cost</t>
  </si>
  <si>
    <t>dr - SPL - training cost</t>
  </si>
  <si>
    <t>cr - sale of test products</t>
  </si>
  <si>
    <t>cr - capital expenses</t>
  </si>
  <si>
    <t>being correction of new production facility and reallocation of trainign expenses.</t>
  </si>
  <si>
    <t>normal depreciation journal</t>
  </si>
  <si>
    <t>charge</t>
  </si>
  <si>
    <t>dr - SPL Cost of sales</t>
  </si>
  <si>
    <t>cr - AD</t>
  </si>
  <si>
    <t>being deprecation charge on the existing P&amp;M balance</t>
  </si>
  <si>
    <t>Motor vehicles</t>
  </si>
  <si>
    <t>Loss on sale</t>
  </si>
  <si>
    <t>cr - MV cost</t>
  </si>
  <si>
    <t>dr - other income</t>
  </si>
  <si>
    <t>dr - loss on sale</t>
  </si>
  <si>
    <t>&lt;&lt;&lt; should put the loss on sale here to COGS in the same way the depreciation for this asset class goes to COGS.</t>
  </si>
  <si>
    <t>normal MV depreciation</t>
  </si>
  <si>
    <t>depreciation to feb 2026</t>
  </si>
  <si>
    <t>depreciation afer feb 2026</t>
  </si>
  <si>
    <t>MV less disposal</t>
  </si>
  <si>
    <t>dr  - SPL cos</t>
  </si>
  <si>
    <t>cr  = MV AD</t>
  </si>
  <si>
    <t>Computer equipment</t>
  </si>
  <si>
    <t>replacement cost</t>
  </si>
  <si>
    <t>what should happen</t>
  </si>
  <si>
    <t>dr - NEW PC</t>
  </si>
  <si>
    <t>cr - suspense account</t>
  </si>
  <si>
    <t>cr - old PC</t>
  </si>
  <si>
    <t>dr - suspense account</t>
  </si>
  <si>
    <t>dr - admin expenses loss on sale</t>
  </si>
  <si>
    <t>being correction to disposal of server</t>
  </si>
  <si>
    <t>additions</t>
  </si>
  <si>
    <t>AD add back</t>
  </si>
  <si>
    <t>Less disaposals</t>
  </si>
  <si>
    <t>dr SPL - adming</t>
  </si>
  <si>
    <t>cr - computer equipment - AD</t>
  </si>
  <si>
    <t>XYZ ltd</t>
  </si>
  <si>
    <t>R1</t>
  </si>
  <si>
    <t>(1 mark for part one)</t>
  </si>
  <si>
    <t>reval of property at 30/06/2024</t>
  </si>
  <si>
    <t xml:space="preserve">property </t>
  </si>
  <si>
    <t>usefule life</t>
  </si>
  <si>
    <t>years straight line</t>
  </si>
  <si>
    <t>annual depr'n charge pre reval</t>
  </si>
  <si>
    <t>NBV at reval date</t>
  </si>
  <si>
    <t>(transposition error - copied wrong number)</t>
  </si>
  <si>
    <t>(0.5 marks)</t>
  </si>
  <si>
    <t>current journals</t>
  </si>
  <si>
    <t>dr bank</t>
  </si>
  <si>
    <t>cr SPL - other income</t>
  </si>
  <si>
    <t>reval surpl</t>
  </si>
  <si>
    <t>dr cost</t>
  </si>
  <si>
    <t>Dr AD</t>
  </si>
  <si>
    <t>cr reval surp</t>
  </si>
  <si>
    <t>R2</t>
  </si>
  <si>
    <t>2 marks for R2</t>
  </si>
  <si>
    <t>new cost</t>
  </si>
  <si>
    <t>depr'n sl charge</t>
  </si>
  <si>
    <t>NBV as at 01/07/2015</t>
  </si>
  <si>
    <t>dr - SPL depr'n</t>
  </si>
  <si>
    <t>cr PPE - AD</t>
  </si>
  <si>
    <t>being depr'n charge for the year</t>
  </si>
  <si>
    <t>Add in working here for annual transfer</t>
  </si>
  <si>
    <t>Annual transfer = 1/47 years x £106k = £2k</t>
  </si>
  <si>
    <t>(missed half mark)</t>
  </si>
  <si>
    <t>being annual transfer of reval reserve</t>
  </si>
  <si>
    <t>R3</t>
  </si>
  <si>
    <t>(0.5 marks) out of 3.  to bne revitied.</t>
  </si>
  <si>
    <t xml:space="preserve">Cost </t>
  </si>
  <si>
    <t>Gain on disposal</t>
  </si>
  <si>
    <t>dr SPL - other income</t>
  </si>
  <si>
    <t>cr PPE - Cost</t>
  </si>
  <si>
    <t>CR SPL - gain on disposal</t>
  </si>
  <si>
    <t>revaluatoin surplus</t>
  </si>
  <si>
    <t>106-2</t>
  </si>
  <si>
    <t>dr - reval surplus</t>
  </si>
  <si>
    <t>cr - RE</t>
  </si>
  <si>
    <t>Need to focus on the correcting jounrals.  Can generally figure out the journals.</t>
  </si>
  <si>
    <t>need to practice correcting when they've posted to the wrong place.</t>
  </si>
  <si>
    <t>Gibson</t>
  </si>
  <si>
    <t>capitalised cost of processing plant at 31 march 2015</t>
  </si>
  <si>
    <t>commenced</t>
  </si>
  <si>
    <t>completion</t>
  </si>
  <si>
    <t>early 2026</t>
  </si>
  <si>
    <t>interest charge on payments to construcoitn companu</t>
  </si>
  <si>
    <t>all other charge interest</t>
  </si>
  <si>
    <t>Payments</t>
  </si>
  <si>
    <t>bank</t>
  </si>
  <si>
    <t>accruals</t>
  </si>
  <si>
    <t>Pro fees accrual</t>
  </si>
  <si>
    <t xml:space="preserve">cr </t>
  </si>
  <si>
    <t>Capitlaised interest (see below)</t>
  </si>
  <si>
    <t>SPL - finance cost</t>
  </si>
  <si>
    <t>Total capitalised cost</t>
  </si>
  <si>
    <t xml:space="preserve">dr </t>
  </si>
  <si>
    <t>property cost</t>
  </si>
  <si>
    <t>Borrowing cost</t>
  </si>
  <si>
    <t>******7 months because of the downin of tools in February</t>
  </si>
  <si>
    <t>Purchase of land and site clearance costs</t>
  </si>
  <si>
    <t>First payment to construction company</t>
  </si>
  <si>
    <t>Second payment to construction company</t>
  </si>
  <si>
    <t>Purchase of machinery</t>
  </si>
  <si>
    <t>Purchase of chemical distillation plant</t>
  </si>
  <si>
    <t>&lt;&lt;&lt;&lt;after the febrruary delay so calc as normal</t>
  </si>
  <si>
    <t>Totla borroeing cost</t>
  </si>
  <si>
    <t>Restricted to borrowing cost incurrred - lower of two numbers</t>
  </si>
  <si>
    <t>mostly ok.  Got all the dates wrong - which was weird.  Just need to nail down formatting</t>
  </si>
  <si>
    <t>only half a mark for th edate bit</t>
  </si>
  <si>
    <t>did well.  Only dates and layout.</t>
  </si>
  <si>
    <t>over 50% of the marks</t>
  </si>
  <si>
    <t>decision to restrct to amount paid</t>
  </si>
  <si>
    <t>decision to restriict marks is where all marks come from</t>
  </si>
  <si>
    <t>Grates plc</t>
  </si>
  <si>
    <t>probaly getting  2.5 marks out of 4 here.  Foucs attention on the last part of the question.  But actually doing alright on PPE and reval.  Will come with more practice.</t>
  </si>
  <si>
    <t>journals to record reval of the hotels as 31/12/2025 and 31/12/2017</t>
  </si>
  <si>
    <t>depr'n</t>
  </si>
  <si>
    <t>SL</t>
  </si>
  <si>
    <t>residual value</t>
  </si>
  <si>
    <t>reval</t>
  </si>
  <si>
    <t>Dr - PPE - AD</t>
  </si>
  <si>
    <t>DR PPE- Cost</t>
  </si>
  <si>
    <t>cr - reval reserve</t>
  </si>
  <si>
    <t>dr reval surp</t>
  </si>
  <si>
    <t>&lt;&lt;&lt;watch out for residual values and adjust the remaining useful life</t>
  </si>
  <si>
    <t>Reval decrease</t>
  </si>
  <si>
    <t>revaluation surplus</t>
  </si>
  <si>
    <t>annual transfer</t>
  </si>
  <si>
    <t>annual amount expensed to SPL</t>
  </si>
  <si>
    <t>dr - reval surp</t>
  </si>
  <si>
    <t>dr - SPL revaluatoin decrease</t>
  </si>
  <si>
    <t>dr - property AD</t>
  </si>
  <si>
    <t>cr Property cost</t>
  </si>
  <si>
    <t>Hance Ltd</t>
  </si>
  <si>
    <t>3 out of 6 marks gained. - practice reval reversals</t>
  </si>
  <si>
    <t>annual depr'n charge</t>
  </si>
  <si>
    <t>dr PPE - Cost</t>
  </si>
  <si>
    <t>cr Bank</t>
  </si>
  <si>
    <t>(0.5 mark)</t>
  </si>
  <si>
    <t>being purchase of the building</t>
  </si>
  <si>
    <t>cr PPE AD</t>
  </si>
  <si>
    <t>Derpr'n year 1</t>
  </si>
  <si>
    <t>and so on until 31/12/2026</t>
  </si>
  <si>
    <t>AD balance at 31/12/2026</t>
  </si>
  <si>
    <t>Dr - SPL revaluatoin decrease</t>
  </si>
  <si>
    <t>Dr - PPE AD</t>
  </si>
  <si>
    <t>missed mark</t>
  </si>
  <si>
    <t>being revaluatoin decrease on property at 31/12/2026</t>
  </si>
  <si>
    <t>cr - PPE AD</t>
  </si>
  <si>
    <t>for three more years</t>
  </si>
  <si>
    <t>good practice to do the cost - AD = NBV</t>
  </si>
  <si>
    <t>FV - reval</t>
  </si>
  <si>
    <t>eval increase</t>
  </si>
  <si>
    <t>no more marks gained below here</t>
  </si>
  <si>
    <t>Theoretical carrying amount</t>
  </si>
  <si>
    <t>reversal of revaluation decrease</t>
  </si>
  <si>
    <t>dr PPE -cost</t>
  </si>
  <si>
    <t>cr - reversal of revaluation decrease</t>
  </si>
  <si>
    <t>cr revaluation reserve</t>
  </si>
  <si>
    <t>Lawrie Ltd</t>
  </si>
  <si>
    <t xml:space="preserve">All payments recorded in SPL - capital expenditure </t>
  </si>
  <si>
    <t>all receipts in SPL - other income</t>
  </si>
  <si>
    <t>assume nil residual value</t>
  </si>
  <si>
    <t>company does not make annual transfers from the revaluation surplud to RE</t>
  </si>
  <si>
    <t>L&amp;B</t>
  </si>
  <si>
    <t>IT</t>
  </si>
  <si>
    <t>Land and buildings</t>
  </si>
  <si>
    <t>Revaluation</t>
  </si>
  <si>
    <t>Property A</t>
  </si>
  <si>
    <t>Property B</t>
  </si>
  <si>
    <t>reval increase/(decrease)</t>
  </si>
  <si>
    <t>-</t>
  </si>
  <si>
    <t>Journals</t>
  </si>
  <si>
    <t>dr - land cost</t>
  </si>
  <si>
    <t>&lt;&lt;&lt;&lt; think the markscheme is wrong</t>
  </si>
  <si>
    <t>cr - revaluation reserve</t>
  </si>
  <si>
    <t>It is writing the increase in the land back against AD</t>
  </si>
  <si>
    <t>being increase in the value of the land</t>
  </si>
  <si>
    <t>However, land will not have and AD balance to write back against.</t>
  </si>
  <si>
    <t>Propery A</t>
  </si>
  <si>
    <t>dr - cost</t>
  </si>
  <si>
    <t>dr - SPL revaluation decerease</t>
  </si>
  <si>
    <t>cr - Cost</t>
  </si>
  <si>
    <t>dr SPL - revaluation decrease</t>
  </si>
  <si>
    <t>Dr land and buildings - cost</t>
  </si>
  <si>
    <t>Dr land and buildings -  AD</t>
  </si>
  <si>
    <t>buildings</t>
  </si>
  <si>
    <t>less land</t>
  </si>
  <si>
    <t>less PropA</t>
  </si>
  <si>
    <t>less PropB</t>
  </si>
  <si>
    <t>Depr'n of prop A</t>
  </si>
  <si>
    <t>Depr'n of prop N</t>
  </si>
  <si>
    <t>dr- SPL depr'n charge</t>
  </si>
  <si>
    <t>Plant and Machinery</t>
  </si>
  <si>
    <t>new equipment</t>
  </si>
  <si>
    <t xml:space="preserve">Depr charge </t>
  </si>
  <si>
    <t>Thing to take away is to do the cost and depreciation seperately</t>
  </si>
  <si>
    <t>don';t do the depreciation journals in amongst the cost journals.</t>
  </si>
  <si>
    <t>dr PPE cost</t>
  </si>
  <si>
    <t>cr - SPL - capital expenditure</t>
  </si>
  <si>
    <t>being correction of new equipment purchase journal</t>
  </si>
  <si>
    <t>Hoist</t>
  </si>
  <si>
    <t>gain on disposal</t>
  </si>
  <si>
    <t>new hoist</t>
  </si>
  <si>
    <t>dr PPE new hoist</t>
  </si>
  <si>
    <t>cr SPL - capital expenditure</t>
  </si>
  <si>
    <t>cr PPE - old hoist</t>
  </si>
  <si>
    <t>dr- AD</t>
  </si>
  <si>
    <t>dr - SPL - other income</t>
  </si>
  <si>
    <t>cr - SPL gain on sale</t>
  </si>
  <si>
    <t>being correction of disposal and sale of hoists</t>
  </si>
  <si>
    <t>dr - SPL admin expense</t>
  </si>
  <si>
    <t>cr - SPL  -capital expenditure</t>
  </si>
  <si>
    <t>being correction od maintenance cost.  Should not be capitalised</t>
  </si>
  <si>
    <t>cost open</t>
  </si>
  <si>
    <t xml:space="preserve">additons </t>
  </si>
  <si>
    <t>disposals</t>
  </si>
  <si>
    <t>closing cost</t>
  </si>
  <si>
    <t>10% depr rate</t>
  </si>
  <si>
    <t>Dr - SPL depreciation</t>
  </si>
  <si>
    <t>Dr - IT Cost</t>
  </si>
  <si>
    <t>cr - SPL capitla expendutire</t>
  </si>
  <si>
    <t>Loss on disposal</t>
  </si>
  <si>
    <t>cr - IT cost</t>
  </si>
  <si>
    <t>dr - IT AD</t>
  </si>
  <si>
    <t>dr - loss on disposal</t>
  </si>
  <si>
    <t>being correction of disposal of 10 computers</t>
  </si>
  <si>
    <t>open cost</t>
  </si>
  <si>
    <t>closing</t>
  </si>
  <si>
    <t>dr - SPL depr'm</t>
  </si>
  <si>
    <t>cr - IT AD</t>
  </si>
  <si>
    <t>Palace Trading</t>
  </si>
  <si>
    <t>key thing with this question is to do each asset seperately.  Doing it all as a table does not work.</t>
  </si>
  <si>
    <t xml:space="preserve">YE </t>
  </si>
  <si>
    <t>incorporated 1/8/2021</t>
  </si>
  <si>
    <t>revalued PPE at the end of each year</t>
  </si>
  <si>
    <t>reval exercise</t>
  </si>
  <si>
    <t>months from feb to Jul</t>
  </si>
  <si>
    <t xml:space="preserve">months </t>
  </si>
  <si>
    <t>depreciation charge half yearly</t>
  </si>
  <si>
    <t>depr'n rates</t>
  </si>
  <si>
    <t>charge 6m to 31/01/2025</t>
  </si>
  <si>
    <t>Other NCA</t>
  </si>
  <si>
    <t>FV increase</t>
  </si>
  <si>
    <t>FV decrease</t>
  </si>
  <si>
    <t>udeful life/years</t>
  </si>
  <si>
    <t>Stop here and go on to post the journals one asset at a time</t>
  </si>
  <si>
    <t>DR - Land - cost</t>
  </si>
  <si>
    <t>CR  - reval reserve</t>
  </si>
  <si>
    <t>being reval increase on land</t>
  </si>
  <si>
    <t>Dr - buildings cost</t>
  </si>
  <si>
    <t>Dr - AD</t>
  </si>
  <si>
    <t>bing reval increase on buildings</t>
  </si>
  <si>
    <t xml:space="preserve"> </t>
  </si>
  <si>
    <t>Disposals</t>
  </si>
  <si>
    <t>cost - original</t>
  </si>
  <si>
    <t>fv</t>
  </si>
  <si>
    <t xml:space="preserve">FV </t>
  </si>
  <si>
    <t>dr - suspense</t>
  </si>
  <si>
    <t>cr- building cost</t>
  </si>
  <si>
    <t>cr - SPL gain on disposaal</t>
  </si>
  <si>
    <t>being correction to disposal of building</t>
  </si>
  <si>
    <t>building FV</t>
  </si>
  <si>
    <t>less disposal</t>
  </si>
  <si>
    <t>depr'n charge as portion of useful life remaingin (50 year)</t>
  </si>
  <si>
    <t>6/600</t>
  </si>
  <si>
    <t>dr - SPL - der'n charge</t>
  </si>
  <si>
    <t>cr-  buildings - AD</t>
  </si>
  <si>
    <t>being annual transfer from revaluatoin surplus</t>
  </si>
  <si>
    <t>Ad</t>
  </si>
  <si>
    <t>revaluatoin increase</t>
  </si>
  <si>
    <t>cr - reval surplus</t>
  </si>
  <si>
    <t>cr - PPE cost</t>
  </si>
  <si>
    <t xml:space="preserve">depreciation </t>
  </si>
  <si>
    <t>depreciation charge</t>
  </si>
  <si>
    <t>6 out of 600 months at the fiar value amount</t>
  </si>
  <si>
    <t>then 6/12 months at 15% for factor in the addition - valued at 673k</t>
  </si>
  <si>
    <t>6/600*3800</t>
  </si>
  <si>
    <t>6/12*673*15%</t>
  </si>
  <si>
    <t>so that's the depreciation charge for the FV portion plus the addition</t>
  </si>
  <si>
    <t>dr -SPL</t>
  </si>
  <si>
    <t>cr PPR - AD</t>
  </si>
  <si>
    <t>being depreciation of plant and machinery for the second 6 months of the year.</t>
  </si>
  <si>
    <t>6/60*556</t>
  </si>
  <si>
    <t>dr  -revaluation surplus</t>
  </si>
  <si>
    <t>being annual transfer from revaluation surplus</t>
  </si>
  <si>
    <t>revak</t>
  </si>
  <si>
    <t>reval decrease</t>
  </si>
  <si>
    <t>dr - SPL</t>
  </si>
  <si>
    <t>Depreciation charge for next 6m</t>
  </si>
  <si>
    <t>6/60*1000k (FV amount)</t>
  </si>
  <si>
    <t>dr - SPL  -depr'n</t>
  </si>
  <si>
    <t>being depreciatoin of other NCA for the second six months of the year.</t>
  </si>
  <si>
    <t>Parsnip Chips plc</t>
  </si>
  <si>
    <t>fixtures and fittings</t>
  </si>
  <si>
    <t>Land &amp; Buildings</t>
  </si>
  <si>
    <t>no depreciation processed in the year so these journals will have to be made up</t>
  </si>
  <si>
    <t>residual values are ni</t>
  </si>
  <si>
    <t>depreciatiion charged in the month of acquisition</t>
  </si>
  <si>
    <t>and no charge in month of disposal</t>
  </si>
  <si>
    <t>offices</t>
  </si>
  <si>
    <t>facories</t>
  </si>
  <si>
    <t>warehouses</t>
  </si>
  <si>
    <t>retial untis</t>
  </si>
  <si>
    <t>buidings</t>
  </si>
  <si>
    <t>NBV - total</t>
  </si>
  <si>
    <t>NBV - buildings</t>
  </si>
  <si>
    <t>Land  -reval surplus</t>
  </si>
  <si>
    <t>Buildings - reval surplus</t>
  </si>
  <si>
    <t>useful life (months)</t>
  </si>
  <si>
    <t>Parsnip does not make annual transfers from reval reserve to retained earnings</t>
  </si>
  <si>
    <t>Exchange</t>
  </si>
  <si>
    <t>Warehouse</t>
  </si>
  <si>
    <t>reval surplus</t>
  </si>
  <si>
    <t>office</t>
  </si>
  <si>
    <t xml:space="preserve">AD </t>
  </si>
  <si>
    <t xml:space="preserve">Depr'n </t>
  </si>
  <si>
    <t>AD at disposal</t>
  </si>
  <si>
    <t>Office FV</t>
  </si>
  <si>
    <t>Warehouse NBV</t>
  </si>
  <si>
    <t>Warehouse valuation</t>
  </si>
  <si>
    <t>office valuation</t>
  </si>
  <si>
    <t>Decrease in value</t>
  </si>
  <si>
    <t>dr buidlings - AD</t>
  </si>
  <si>
    <t>dr - L&amp;B Cost</t>
  </si>
  <si>
    <t>Dr - gain on exchange</t>
  </si>
  <si>
    <t>being gain on exchange of warehouse for office building</t>
  </si>
  <si>
    <t>dr - revaluation surplus</t>
  </si>
  <si>
    <t>cr- retained earnings</t>
  </si>
  <si>
    <t>beign release of revaluation surplus on disposal of revalued warehouse</t>
  </si>
  <si>
    <t>this bit needed practising - transfer of proprty like for like or with a cash consideration</t>
  </si>
  <si>
    <t>months charge</t>
  </si>
  <si>
    <t>policy</t>
  </si>
  <si>
    <t>Offices - existing</t>
  </si>
  <si>
    <t>offices - exchanged</t>
  </si>
  <si>
    <t>Factories</t>
  </si>
  <si>
    <t>warehouse - exchanges</t>
  </si>
  <si>
    <t>warehouses - remaining</t>
  </si>
  <si>
    <t>Retail units</t>
  </si>
  <si>
    <t>cr - L&amp;B AD</t>
  </si>
  <si>
    <t>being depreciation charge of land and buildings</t>
  </si>
  <si>
    <t>factories</t>
  </si>
  <si>
    <t>retail</t>
  </si>
  <si>
    <t>valuation</t>
  </si>
  <si>
    <t>Reval  increase / (decrease)</t>
  </si>
  <si>
    <t>Depreciation charge</t>
  </si>
  <si>
    <t>reval increase / (decrease)</t>
  </si>
  <si>
    <t>AD balance at year end</t>
  </si>
  <si>
    <t>open</t>
  </si>
  <si>
    <t>utlised by existing reval surp on retail untis land</t>
  </si>
  <si>
    <t>revalur decreae in retail units buildings</t>
  </si>
  <si>
    <t>utlised by existing reval surp on retail untis buuildings</t>
  </si>
  <si>
    <t>reval decrease to SPL</t>
  </si>
  <si>
    <t>revaluation increase to reval surp</t>
  </si>
  <si>
    <t>reval decreae utilised by existing reval surplus</t>
  </si>
  <si>
    <t>net increase to reval surp</t>
  </si>
  <si>
    <t>net decrease in valuation</t>
  </si>
  <si>
    <t>Dr - SPL - revaluation decrease</t>
  </si>
  <si>
    <t>dr - land and buildings AD</t>
  </si>
  <si>
    <t>cr - land and building cost</t>
  </si>
  <si>
    <t>Other PPE</t>
  </si>
  <si>
    <t>straight line over 7 years</t>
  </si>
  <si>
    <t>none of the cost has been fully depreciated</t>
  </si>
  <si>
    <t>costs</t>
  </si>
  <si>
    <t>BS</t>
  </si>
  <si>
    <t>SPL</t>
  </si>
  <si>
    <t>contractors</t>
  </si>
  <si>
    <t>own labour</t>
  </si>
  <si>
    <t>allocated general overhead</t>
  </si>
  <si>
    <t>installation and testing</t>
  </si>
  <si>
    <t>cost of the machine</t>
  </si>
  <si>
    <t>correction to remove general overhead and training form capitalised costs</t>
  </si>
  <si>
    <t>dr - SPL - admin cost</t>
  </si>
  <si>
    <t>cr -P&amp;M cost</t>
  </si>
  <si>
    <t>being correction to remove general overhead and training from capitalised cost</t>
  </si>
  <si>
    <t>Depreciation of exidting P&amp;M</t>
  </si>
  <si>
    <t xml:space="preserve">Depreciation of existing pland and machinery </t>
  </si>
  <si>
    <t>depreciation policy</t>
  </si>
  <si>
    <t>depreciation charge for existing assets</t>
  </si>
  <si>
    <t>Depreciation of new plant and machinery</t>
  </si>
  <si>
    <t>3/84*130</t>
  </si>
  <si>
    <t>dr - SPL depreciation</t>
  </si>
  <si>
    <t>being depreciation charge on existing and newly acquired assets</t>
  </si>
  <si>
    <t>Fixtures and fittings</t>
  </si>
  <si>
    <t>Never did the fixture and fitting bit as it tied in leases.  Lease covered in module 8.</t>
  </si>
  <si>
    <t>Requirement 2</t>
  </si>
  <si>
    <t>give advice on depreciatoin policy</t>
  </si>
  <si>
    <t>Changes to useful lives and residual values give rise to a change in the depreciation charge.</t>
  </si>
  <si>
    <t>Changes to both depreciation rates and methods are regarded as changes in accounting estimates, not changes in accounting policies or the correction of previous errors.</t>
  </si>
  <si>
    <t>The carrying amount should be calculated at the date of the change and the new circumstances applied to it.</t>
  </si>
  <si>
    <t>In the case of a change to useful life, that carrying amount less any residual value will be spread equally over the remaining life.</t>
  </si>
  <si>
    <t>In the case of a change to residual value, the carrying amount less the new residual value will be spread equally over the remaining life.</t>
  </si>
  <si>
    <t>In the case of a change in method, the new method will be applied to that carrying amount.</t>
  </si>
  <si>
    <t>If an upwards change in residual value results in that value being greater than the carrying amount, the resultant depreciation will be nil, rather than a credit to profit or loss.</t>
  </si>
  <si>
    <t>IAS 8 requires that the nature and amount of changes in accounting estimates should be disclosed. The amounts should cover the effect of the change in both the current period and future periods; but if it is impracticable to estimate future effects, that fact should be disclosed instead.</t>
  </si>
  <si>
    <t>However, IAS 1 states that if amounts are not material, no disclosure is required.</t>
  </si>
  <si>
    <t>Fleming Distillers</t>
  </si>
  <si>
    <t>To not be attempted until completion of module 11</t>
  </si>
  <si>
    <t>Module 5</t>
  </si>
  <si>
    <t>all recorded in construction accounts</t>
  </si>
  <si>
    <t>dr -  cost</t>
  </si>
  <si>
    <t>&lt;&lt;&lt;amount that can be undone in P&amp;L.  So the check against theoretical NBV is to see whether the cost is written off against P&amp;L or the revaluation reserve</t>
  </si>
  <si>
    <t>decrease against theoretical NBV written of to SPL</t>
  </si>
  <si>
    <t>gain on theoretical NBV credited to reval surplus</t>
  </si>
  <si>
    <t>being depreciation of motor vehicles purchased</t>
  </si>
  <si>
    <t>being depreciation of computer equipment purchased in the year</t>
  </si>
  <si>
    <t>do the incorrect journal</t>
  </si>
  <si>
    <t>do my (correct) journal</t>
  </si>
  <si>
    <t>then figure out the correction needed</t>
  </si>
  <si>
    <t>&lt;&lt;&lt;reversal of P&amp;L impact</t>
  </si>
  <si>
    <t>&lt;&lt;&lt;reversal of Reval reserve impact</t>
  </si>
  <si>
    <t>&lt;&lt;&lt;theoretical amount from the beginning</t>
  </si>
  <si>
    <t>being depreciation charge in the year on existing and additional PPE</t>
  </si>
  <si>
    <t>if old ppe scrapped - consider if it should have been held at year end at all.  Should it have been derecognised in the nominal and asset register.  Meaning assets were overstated.</t>
  </si>
  <si>
    <t>5.3.1 Costs which should not be capitalised</t>
  </si>
  <si>
    <t>The following costs should not be capitalised:</t>
  </si>
  <si>
    <t>• Costs of opening a new facility</t>
  </si>
  <si>
    <t>• Administration and other general overhead costs</t>
  </si>
  <si>
    <t>• Initial operating losses and any costs of relocating or reorganising</t>
  </si>
  <si>
    <t>• Costs of conducting a new business in a new location (including staff training costs)</t>
  </si>
  <si>
    <t>• Costs of introducing a new product or service (including costs of advertising and promotional activities)</t>
  </si>
  <si>
    <t>Cessation of capitalisation when the asset is ready for its intended use</t>
  </si>
  <si>
    <t>it is recognised in the year the operation ceases.  not before - even if announcement made long time before.</t>
  </si>
  <si>
    <t>normal PPE for ias 16</t>
  </si>
  <si>
    <t>IAS 23 - borrowing cost</t>
  </si>
  <si>
    <t>ifrs 13 - measurement of FV</t>
  </si>
  <si>
    <t>capitalised borrowing costs should not exceed the actual borrowing costs</t>
  </si>
  <si>
    <t>if the asset contrcutino ceases, stop capitalising for that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</si>
</sst>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i/>
      <sz val="9"/>
      <color theme="1"/>
      <name val="Calibri"/>
      <family val="2"/>
      <scheme val="minor"/>
    </font>
    <font>
      <b/>
      <sz val="9"/>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5">
    <border>
      <left/>
      <right/>
      <top/>
      <bottom/>
      <diagonal/>
    </border>
    <border>
      <left/>
      <right/>
      <top style="thin">
        <color indexed="64"/>
      </top>
      <bottom style="double">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xf numFmtId="0" fontId="2" fillId="0" borderId="0" xfId="1"/>
    <xf numFmtId="3" fontId="1" fillId="0" borderId="0" xfId="0" applyNumberFormat="1" applyFont="1"/>
    <xf numFmtId="14" fontId="1" fillId="0" borderId="0" xfId="0" applyNumberFormat="1" applyFont="1"/>
    <xf numFmtId="3" fontId="1" fillId="0" borderId="1" xfId="0" applyNumberFormat="1" applyFont="1" applyBorder="1"/>
    <xf numFmtId="3" fontId="3" fillId="0" borderId="0" xfId="0" applyNumberFormat="1" applyFont="1"/>
    <xf numFmtId="3" fontId="3" fillId="0" borderId="1" xfId="0" applyNumberFormat="1" applyFont="1" applyBorder="1"/>
    <xf numFmtId="9" fontId="1" fillId="0" borderId="0" xfId="0" applyNumberFormat="1" applyFont="1"/>
    <xf numFmtId="13" fontId="1" fillId="0" borderId="0" xfId="0" applyNumberFormat="1" applyFont="1"/>
    <xf numFmtId="3" fontId="3" fillId="0" borderId="2" xfId="0" applyNumberFormat="1" applyFont="1" applyBorder="1"/>
    <xf numFmtId="3" fontId="3" fillId="0" borderId="3" xfId="0" applyNumberFormat="1" applyFont="1" applyBorder="1"/>
    <xf numFmtId="164" fontId="1" fillId="0" borderId="0" xfId="0" applyNumberFormat="1" applyFont="1"/>
    <xf numFmtId="3" fontId="1" fillId="2" borderId="0" xfId="0" applyNumberFormat="1" applyFont="1" applyFill="1"/>
    <xf numFmtId="0" fontId="3" fillId="0" borderId="0" xfId="0" applyFont="1"/>
    <xf numFmtId="3" fontId="1" fillId="0" borderId="4" xfId="0" applyNumberFormat="1" applyFont="1" applyBorder="1"/>
    <xf numFmtId="0" fontId="1" fillId="2" borderId="0" xfId="0" applyFont="1" applyFill="1"/>
    <xf numFmtId="3" fontId="1" fillId="3" borderId="0" xfId="0" applyNumberFormat="1" applyFont="1" applyFill="1"/>
    <xf numFmtId="0" fontId="1" fillId="3" borderId="0" xfId="0" applyFont="1" applyFill="1"/>
    <xf numFmtId="0" fontId="1" fillId="0" borderId="0" xfId="0" quotePrefix="1" applyFont="1"/>
    <xf numFmtId="0" fontId="4" fillId="0" borderId="0" xfId="0" applyFont="1"/>
    <xf numFmtId="0" fontId="2" fillId="0" borderId="0" xfId="1" applyFill="1"/>
    <xf numFmtId="0" fontId="1" fillId="0" borderId="0" xfId="0" applyFont="1" applyFill="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56029</xdr:colOff>
      <xdr:row>14</xdr:row>
      <xdr:rowOff>1</xdr:rowOff>
    </xdr:from>
    <xdr:to>
      <xdr:col>7</xdr:col>
      <xdr:colOff>0</xdr:colOff>
      <xdr:row>27</xdr:row>
      <xdr:rowOff>48217</xdr:rowOff>
    </xdr:to>
    <xdr:pic>
      <xdr:nvPicPr>
        <xdr:cNvPr id="2" name="Picture 1">
          <a:extLst>
            <a:ext uri="{FF2B5EF4-FFF2-40B4-BE49-F238E27FC236}">
              <a16:creationId xmlns:a16="http://schemas.microsoft.com/office/drawing/2014/main" id="{0CEF1E6A-AFD9-2D40-7C2F-B3E781370A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1147" y="2543736"/>
          <a:ext cx="3630706" cy="2087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290</xdr:row>
      <xdr:rowOff>0</xdr:rowOff>
    </xdr:from>
    <xdr:to>
      <xdr:col>7</xdr:col>
      <xdr:colOff>0</xdr:colOff>
      <xdr:row>305</xdr:row>
      <xdr:rowOff>32262</xdr:rowOff>
    </xdr:to>
    <xdr:pic>
      <xdr:nvPicPr>
        <xdr:cNvPr id="3" name="Picture 2">
          <a:extLst>
            <a:ext uri="{FF2B5EF4-FFF2-40B4-BE49-F238E27FC236}">
              <a16:creationId xmlns:a16="http://schemas.microsoft.com/office/drawing/2014/main" id="{11E3B785-5125-FD9D-4DC7-1712AD882689}"/>
            </a:ext>
          </a:extLst>
        </xdr:cNvPr>
        <xdr:cNvPicPr>
          <a:picLocks noChangeAspect="1"/>
        </xdr:cNvPicPr>
      </xdr:nvPicPr>
      <xdr:blipFill>
        <a:blip xmlns:r="http://schemas.openxmlformats.org/officeDocument/2006/relationships" r:embed="rId2"/>
        <a:stretch>
          <a:fillRect/>
        </a:stretch>
      </xdr:blipFill>
      <xdr:spPr>
        <a:xfrm>
          <a:off x="612913" y="37661022"/>
          <a:ext cx="3718891" cy="2268565"/>
        </a:xfrm>
        <a:prstGeom prst="rect">
          <a:avLst/>
        </a:prstGeom>
      </xdr:spPr>
    </xdr:pic>
    <xdr:clientData/>
  </xdr:twoCellAnchor>
  <xdr:twoCellAnchor editAs="oneCell">
    <xdr:from>
      <xdr:col>1</xdr:col>
      <xdr:colOff>0</xdr:colOff>
      <xdr:row>56</xdr:row>
      <xdr:rowOff>120395</xdr:rowOff>
    </xdr:from>
    <xdr:to>
      <xdr:col>7</xdr:col>
      <xdr:colOff>0</xdr:colOff>
      <xdr:row>70</xdr:row>
      <xdr:rowOff>3614</xdr:rowOff>
    </xdr:to>
    <xdr:pic>
      <xdr:nvPicPr>
        <xdr:cNvPr id="4" name="Picture 3">
          <a:extLst>
            <a:ext uri="{FF2B5EF4-FFF2-40B4-BE49-F238E27FC236}">
              <a16:creationId xmlns:a16="http://schemas.microsoft.com/office/drawing/2014/main" id="{FBA3FF97-60B1-3CCF-1EEF-D29A516699BF}"/>
            </a:ext>
          </a:extLst>
        </xdr:cNvPr>
        <xdr:cNvPicPr>
          <a:picLocks noChangeAspect="1"/>
        </xdr:cNvPicPr>
      </xdr:nvPicPr>
      <xdr:blipFill>
        <a:blip xmlns:r="http://schemas.openxmlformats.org/officeDocument/2006/relationships" r:embed="rId3"/>
        <a:stretch>
          <a:fillRect/>
        </a:stretch>
      </xdr:blipFill>
      <xdr:spPr>
        <a:xfrm>
          <a:off x="609600" y="7473695"/>
          <a:ext cx="3705225" cy="20168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70656</xdr:colOff>
      <xdr:row>15</xdr:row>
      <xdr:rowOff>19050</xdr:rowOff>
    </xdr:from>
    <xdr:to>
      <xdr:col>18</xdr:col>
      <xdr:colOff>334706</xdr:colOff>
      <xdr:row>43</xdr:row>
      <xdr:rowOff>28575</xdr:rowOff>
    </xdr:to>
    <xdr:pic>
      <xdr:nvPicPr>
        <xdr:cNvPr id="2" name="Picture 1">
          <a:extLst>
            <a:ext uri="{FF2B5EF4-FFF2-40B4-BE49-F238E27FC236}">
              <a16:creationId xmlns:a16="http://schemas.microsoft.com/office/drawing/2014/main" id="{3B4C4185-D717-756A-5EB4-FAFC39154FF8}"/>
            </a:ext>
          </a:extLst>
        </xdr:cNvPr>
        <xdr:cNvPicPr>
          <a:picLocks noChangeAspect="1"/>
        </xdr:cNvPicPr>
      </xdr:nvPicPr>
      <xdr:blipFill>
        <a:blip xmlns:r="http://schemas.openxmlformats.org/officeDocument/2006/relationships" r:embed="rId1"/>
        <a:stretch>
          <a:fillRect/>
        </a:stretch>
      </xdr:blipFill>
      <xdr:spPr>
        <a:xfrm>
          <a:off x="6166656" y="2343150"/>
          <a:ext cx="5140850" cy="4314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FD1F-9201-426B-BECA-D9C5016360B3}">
  <dimension ref="B2:C11"/>
  <sheetViews>
    <sheetView workbookViewId="0">
      <selection activeCell="B2" sqref="B2"/>
    </sheetView>
  </sheetViews>
  <sheetFormatPr defaultRowHeight="15" x14ac:dyDescent="0.25"/>
  <cols>
    <col min="2" max="2" width="9.28515625" bestFit="1" customWidth="1"/>
    <col min="3" max="3" width="19" bestFit="1" customWidth="1"/>
    <col min="4" max="4" width="19.28515625" bestFit="1" customWidth="1"/>
  </cols>
  <sheetData>
    <row r="2" spans="2:3" x14ac:dyDescent="0.25">
      <c r="B2" s="21" t="s">
        <v>637</v>
      </c>
      <c r="C2" s="2" t="s">
        <v>0</v>
      </c>
    </row>
    <row r="3" spans="2:3" x14ac:dyDescent="0.25">
      <c r="C3" s="2" t="s">
        <v>1</v>
      </c>
    </row>
    <row r="4" spans="2:3" x14ac:dyDescent="0.25">
      <c r="C4" s="2" t="s">
        <v>2</v>
      </c>
    </row>
    <row r="5" spans="2:3" x14ac:dyDescent="0.25">
      <c r="C5" s="2" t="s">
        <v>3</v>
      </c>
    </row>
    <row r="6" spans="2:3" x14ac:dyDescent="0.25">
      <c r="C6" s="2" t="s">
        <v>4</v>
      </c>
    </row>
    <row r="7" spans="2:3" x14ac:dyDescent="0.25">
      <c r="C7" s="2" t="s">
        <v>5</v>
      </c>
    </row>
    <row r="8" spans="2:3" x14ac:dyDescent="0.25">
      <c r="C8" s="2" t="s">
        <v>6</v>
      </c>
    </row>
    <row r="9" spans="2:3" x14ac:dyDescent="0.25">
      <c r="C9" s="2" t="s">
        <v>7</v>
      </c>
    </row>
    <row r="10" spans="2:3" x14ac:dyDescent="0.25">
      <c r="C10" s="2" t="s">
        <v>8</v>
      </c>
    </row>
    <row r="11" spans="2:3" x14ac:dyDescent="0.25">
      <c r="C11" s="2" t="s">
        <v>9</v>
      </c>
    </row>
  </sheetData>
  <hyperlinks>
    <hyperlink ref="C5" location="WSE5.4!A1" display="WSE5.4" xr:uid="{F61AC8C3-0B08-44D4-9F17-52DDB0DE535E}"/>
    <hyperlink ref="C4" location="WSE5.3!A1" display="WSE5.3" xr:uid="{B8D8FAE2-BBEB-4989-A0DE-3ABC4275F7AC}"/>
    <hyperlink ref="C7" location="WSE5.6!A1" display="WSE5.6" xr:uid="{FC449486-BD82-4D46-A750-EDBC579F1A43}"/>
    <hyperlink ref="C6" location="WSE5.5!A1" display="WSE5.5" xr:uid="{3742E4A7-C2F3-444C-A62F-6F45FFCFDFEB}"/>
    <hyperlink ref="C9" location="WSE5.8!A1" display="WSE5.8" xr:uid="{727EFE2E-DD10-4BCE-A240-D4E4E9F60E0A}"/>
    <hyperlink ref="C2" location="WSE5.1!A1" display="WSE5.1" xr:uid="{CEC45843-A91A-441F-BC30-5F34A13524F7}"/>
    <hyperlink ref="C3" location="WSE5.2!A1" display="WSE5.2" xr:uid="{E7A30DEB-D5FE-4F9B-814B-041978F472B8}"/>
    <hyperlink ref="C8" location="WSE5.7!A1" display="WSE5.7" xr:uid="{E45932F1-30DE-4612-9BC7-09A91200BE92}"/>
    <hyperlink ref="C10" location="WSE5.9!A1" display="WSE5.9" xr:uid="{E1681928-C844-4FDC-BF46-2751A00FF4A6}"/>
    <hyperlink ref="C11" location="WSE5.10!A1" display="WSE5.10" xr:uid="{BDF990EF-1FD3-4AAB-B4C0-343C48D6A2B7}"/>
    <hyperlink ref="B2" location="'Module 5'!A1" display="Module 5" xr:uid="{B7B1DE04-5C4F-4D64-B039-19C8FC7941E6}"/>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FDB8A-5FA8-48B5-AD4C-5D40EBB90060}">
  <dimension ref="A1:G149"/>
  <sheetViews>
    <sheetView zoomScale="160" zoomScaleNormal="160" workbookViewId="0">
      <selection activeCell="H20" sqref="H20"/>
    </sheetView>
  </sheetViews>
  <sheetFormatPr defaultRowHeight="12" x14ac:dyDescent="0.2"/>
  <cols>
    <col min="1" max="16384" width="9.140625" style="1"/>
  </cols>
  <sheetData>
    <row r="1" spans="1:4" ht="15" x14ac:dyDescent="0.25">
      <c r="A1" s="2" t="s">
        <v>10</v>
      </c>
    </row>
    <row r="3" spans="1:4" x14ac:dyDescent="0.2">
      <c r="B3" s="1" t="s">
        <v>470</v>
      </c>
      <c r="C3" s="1" t="s">
        <v>471</v>
      </c>
    </row>
    <row r="4" spans="1:4" x14ac:dyDescent="0.2">
      <c r="B4" s="1" t="s">
        <v>472</v>
      </c>
      <c r="C4" s="4">
        <v>45869</v>
      </c>
    </row>
    <row r="5" spans="1:4" x14ac:dyDescent="0.2">
      <c r="B5" s="1" t="s">
        <v>473</v>
      </c>
    </row>
    <row r="6" spans="1:4" x14ac:dyDescent="0.2">
      <c r="B6" s="1" t="s">
        <v>474</v>
      </c>
    </row>
    <row r="8" spans="1:4" x14ac:dyDescent="0.2">
      <c r="B8" s="1" t="s">
        <v>475</v>
      </c>
      <c r="C8" s="4">
        <v>45689</v>
      </c>
    </row>
    <row r="9" spans="1:4" x14ac:dyDescent="0.2">
      <c r="B9" s="1" t="s">
        <v>476</v>
      </c>
      <c r="C9" s="1">
        <v>6</v>
      </c>
      <c r="D9" s="1" t="s">
        <v>477</v>
      </c>
    </row>
    <row r="10" spans="1:4" x14ac:dyDescent="0.2">
      <c r="B10" s="1" t="s">
        <v>478</v>
      </c>
    </row>
    <row r="12" spans="1:4" x14ac:dyDescent="0.2">
      <c r="B12" s="1" t="s">
        <v>479</v>
      </c>
      <c r="D12" s="1" t="s">
        <v>480</v>
      </c>
    </row>
    <row r="13" spans="1:4" x14ac:dyDescent="0.2">
      <c r="B13" s="1" t="s">
        <v>168</v>
      </c>
      <c r="C13" s="8">
        <v>0.02</v>
      </c>
      <c r="D13" s="1">
        <v>55</v>
      </c>
    </row>
    <row r="14" spans="1:4" x14ac:dyDescent="0.2">
      <c r="B14" s="1" t="s">
        <v>158</v>
      </c>
      <c r="C14" s="8">
        <v>0.15</v>
      </c>
      <c r="D14" s="1">
        <v>441</v>
      </c>
    </row>
    <row r="15" spans="1:4" x14ac:dyDescent="0.2">
      <c r="B15" s="1" t="s">
        <v>481</v>
      </c>
      <c r="C15" s="8">
        <v>0.1</v>
      </c>
      <c r="D15" s="1">
        <v>93</v>
      </c>
    </row>
    <row r="17" spans="2:7" x14ac:dyDescent="0.2">
      <c r="D17" s="1" t="s">
        <v>94</v>
      </c>
      <c r="E17" s="1" t="s">
        <v>168</v>
      </c>
      <c r="F17" s="1" t="s">
        <v>158</v>
      </c>
      <c r="G17" s="1" t="s">
        <v>481</v>
      </c>
    </row>
    <row r="18" spans="2:7" x14ac:dyDescent="0.2">
      <c r="B18" s="1" t="s">
        <v>105</v>
      </c>
      <c r="C18" s="4">
        <v>45505</v>
      </c>
      <c r="D18" s="1">
        <v>500</v>
      </c>
      <c r="E18" s="1">
        <v>5500</v>
      </c>
      <c r="F18" s="1">
        <v>5875</v>
      </c>
      <c r="G18" s="1">
        <v>1850</v>
      </c>
    </row>
    <row r="19" spans="2:7" x14ac:dyDescent="0.2">
      <c r="B19" s="1" t="s">
        <v>85</v>
      </c>
      <c r="C19" s="4">
        <v>45505</v>
      </c>
      <c r="D19" s="1">
        <v>0</v>
      </c>
      <c r="E19" s="1">
        <v>330</v>
      </c>
      <c r="F19" s="1">
        <v>2200</v>
      </c>
      <c r="G19" s="1">
        <v>500</v>
      </c>
    </row>
    <row r="20" spans="2:7" x14ac:dyDescent="0.2">
      <c r="B20" s="1" t="s">
        <v>111</v>
      </c>
      <c r="C20" s="4">
        <v>45505</v>
      </c>
      <c r="D20" s="1">
        <f>SUM(D18:D19)</f>
        <v>500</v>
      </c>
      <c r="E20" s="1">
        <f>+E18-E19</f>
        <v>5170</v>
      </c>
      <c r="F20" s="1">
        <f t="shared" ref="F20:G20" si="0">+F18-F19</f>
        <v>3675</v>
      </c>
      <c r="G20" s="1">
        <f t="shared" si="0"/>
        <v>1350</v>
      </c>
    </row>
    <row r="21" spans="2:7" x14ac:dyDescent="0.2">
      <c r="C21" s="4"/>
    </row>
    <row r="22" spans="2:7" x14ac:dyDescent="0.2">
      <c r="B22" s="1" t="s">
        <v>110</v>
      </c>
      <c r="C22" s="4">
        <v>45688</v>
      </c>
      <c r="D22" s="1">
        <v>0</v>
      </c>
      <c r="E22" s="1">
        <v>55</v>
      </c>
      <c r="F22" s="1">
        <v>441</v>
      </c>
      <c r="G22" s="1">
        <v>93</v>
      </c>
    </row>
    <row r="23" spans="2:7" x14ac:dyDescent="0.2">
      <c r="B23" s="1" t="s">
        <v>85</v>
      </c>
      <c r="C23" s="4">
        <v>45688</v>
      </c>
      <c r="D23" s="1">
        <v>0</v>
      </c>
      <c r="E23" s="1">
        <f>+E19+E22</f>
        <v>385</v>
      </c>
      <c r="F23" s="1">
        <f t="shared" ref="F23:G23" si="1">+F19+F22</f>
        <v>2641</v>
      </c>
      <c r="G23" s="1">
        <f t="shared" si="1"/>
        <v>593</v>
      </c>
    </row>
    <row r="24" spans="2:7" x14ac:dyDescent="0.2">
      <c r="B24" s="1" t="s">
        <v>111</v>
      </c>
      <c r="C24" s="4">
        <v>45688</v>
      </c>
      <c r="D24" s="1">
        <f>+D20</f>
        <v>500</v>
      </c>
      <c r="E24" s="1">
        <f>+E18-E23</f>
        <v>5115</v>
      </c>
      <c r="F24" s="1">
        <f t="shared" ref="F24:G24" si="2">+F18-F23</f>
        <v>3234</v>
      </c>
      <c r="G24" s="1">
        <f t="shared" si="2"/>
        <v>1257</v>
      </c>
    </row>
    <row r="26" spans="2:7" x14ac:dyDescent="0.2">
      <c r="B26" s="1" t="s">
        <v>133</v>
      </c>
      <c r="C26" s="4">
        <v>45689</v>
      </c>
      <c r="D26" s="1">
        <v>750</v>
      </c>
      <c r="E26" s="1">
        <v>6000</v>
      </c>
      <c r="F26" s="1">
        <v>3800</v>
      </c>
      <c r="G26" s="1">
        <v>1000</v>
      </c>
    </row>
    <row r="27" spans="2:7" x14ac:dyDescent="0.2">
      <c r="B27" s="1" t="s">
        <v>482</v>
      </c>
      <c r="D27" s="1">
        <f>+D26-D24</f>
        <v>250</v>
      </c>
      <c r="E27" s="1">
        <f>+E26-E24</f>
        <v>885</v>
      </c>
      <c r="F27" s="1">
        <f t="shared" ref="F27" si="3">+F26-F24</f>
        <v>566</v>
      </c>
    </row>
    <row r="28" spans="2:7" x14ac:dyDescent="0.2">
      <c r="B28" s="1" t="s">
        <v>483</v>
      </c>
      <c r="G28" s="1">
        <f>+G24-G26</f>
        <v>257</v>
      </c>
    </row>
    <row r="29" spans="2:7" x14ac:dyDescent="0.2">
      <c r="B29" s="1" t="s">
        <v>484</v>
      </c>
      <c r="E29" s="1">
        <v>50</v>
      </c>
      <c r="F29" s="1">
        <v>5</v>
      </c>
      <c r="G29" s="1">
        <v>5</v>
      </c>
    </row>
    <row r="31" spans="2:7" x14ac:dyDescent="0.2">
      <c r="B31" s="1" t="s">
        <v>485</v>
      </c>
    </row>
    <row r="33" spans="2:6" x14ac:dyDescent="0.2">
      <c r="B33" s="1" t="s">
        <v>94</v>
      </c>
    </row>
    <row r="34" spans="2:6" x14ac:dyDescent="0.2">
      <c r="B34" s="1" t="s">
        <v>105</v>
      </c>
      <c r="D34" s="1">
        <f>+D18</f>
        <v>500</v>
      </c>
    </row>
    <row r="35" spans="2:6" x14ac:dyDescent="0.2">
      <c r="B35" s="1" t="s">
        <v>133</v>
      </c>
      <c r="D35" s="1">
        <f>+D26</f>
        <v>750</v>
      </c>
    </row>
    <row r="36" spans="2:6" x14ac:dyDescent="0.2">
      <c r="B36" s="1" t="s">
        <v>134</v>
      </c>
      <c r="D36" s="1">
        <f>+D35-D34</f>
        <v>250</v>
      </c>
    </row>
    <row r="38" spans="2:6" x14ac:dyDescent="0.2">
      <c r="B38" s="1" t="s">
        <v>486</v>
      </c>
      <c r="E38" s="1">
        <f>+D36</f>
        <v>250</v>
      </c>
    </row>
    <row r="39" spans="2:6" x14ac:dyDescent="0.2">
      <c r="B39" s="1" t="s">
        <v>487</v>
      </c>
      <c r="F39" s="1">
        <f>+E38</f>
        <v>250</v>
      </c>
    </row>
    <row r="40" spans="2:6" x14ac:dyDescent="0.2">
      <c r="B40" s="1" t="s">
        <v>488</v>
      </c>
    </row>
    <row r="43" spans="2:6" x14ac:dyDescent="0.2">
      <c r="B43" s="1" t="s">
        <v>168</v>
      </c>
    </row>
    <row r="44" spans="2:6" x14ac:dyDescent="0.2">
      <c r="B44" s="1" t="s">
        <v>60</v>
      </c>
      <c r="D44" s="1">
        <f>+E18</f>
        <v>5500</v>
      </c>
    </row>
    <row r="45" spans="2:6" x14ac:dyDescent="0.2">
      <c r="B45" s="1" t="s">
        <v>85</v>
      </c>
      <c r="D45" s="1">
        <f>+E23</f>
        <v>385</v>
      </c>
    </row>
    <row r="46" spans="2:6" x14ac:dyDescent="0.2">
      <c r="B46" s="1" t="s">
        <v>111</v>
      </c>
      <c r="D46" s="1">
        <f>+D44-D45</f>
        <v>5115</v>
      </c>
    </row>
    <row r="47" spans="2:6" x14ac:dyDescent="0.2">
      <c r="B47" s="1" t="s">
        <v>133</v>
      </c>
      <c r="D47" s="1">
        <f>+E26</f>
        <v>6000</v>
      </c>
    </row>
    <row r="48" spans="2:6" x14ac:dyDescent="0.2">
      <c r="D48" s="1">
        <f>+D47-D46</f>
        <v>885</v>
      </c>
    </row>
    <row r="50" spans="2:5" x14ac:dyDescent="0.2">
      <c r="B50" s="1" t="s">
        <v>489</v>
      </c>
      <c r="D50" s="1">
        <f>+D48-D51</f>
        <v>500</v>
      </c>
    </row>
    <row r="51" spans="2:5" x14ac:dyDescent="0.2">
      <c r="B51" s="1" t="s">
        <v>490</v>
      </c>
      <c r="D51" s="1">
        <f>+D45</f>
        <v>385</v>
      </c>
    </row>
    <row r="52" spans="2:5" x14ac:dyDescent="0.2">
      <c r="B52" s="1" t="s">
        <v>361</v>
      </c>
      <c r="E52" s="1">
        <f>SUM(D50:D51)</f>
        <v>885</v>
      </c>
    </row>
    <row r="53" spans="2:5" x14ac:dyDescent="0.2">
      <c r="B53" s="1" t="s">
        <v>491</v>
      </c>
    </row>
    <row r="54" spans="2:5" x14ac:dyDescent="0.2">
      <c r="B54" s="1" t="s">
        <v>492</v>
      </c>
    </row>
    <row r="55" spans="2:5" x14ac:dyDescent="0.2">
      <c r="B55" s="1" t="s">
        <v>493</v>
      </c>
      <c r="C55" s="4"/>
    </row>
    <row r="56" spans="2:5" x14ac:dyDescent="0.2">
      <c r="B56" s="1" t="s">
        <v>494</v>
      </c>
      <c r="C56" s="4">
        <v>45689</v>
      </c>
      <c r="D56" s="3">
        <v>900</v>
      </c>
    </row>
    <row r="57" spans="2:5" x14ac:dyDescent="0.2">
      <c r="B57" s="1" t="s">
        <v>85</v>
      </c>
      <c r="C57" s="4">
        <v>45689</v>
      </c>
      <c r="D57" s="3">
        <v>63</v>
      </c>
    </row>
    <row r="58" spans="2:5" x14ac:dyDescent="0.2">
      <c r="B58" s="1" t="s">
        <v>111</v>
      </c>
      <c r="C58" s="4">
        <v>45689</v>
      </c>
      <c r="D58" s="3">
        <f>+D56-D57</f>
        <v>837</v>
      </c>
    </row>
    <row r="59" spans="2:5" x14ac:dyDescent="0.2">
      <c r="B59" s="1" t="s">
        <v>495</v>
      </c>
      <c r="C59" s="4">
        <v>45689</v>
      </c>
      <c r="D59" s="13">
        <v>850</v>
      </c>
    </row>
    <row r="60" spans="2:5" x14ac:dyDescent="0.2">
      <c r="B60" s="1" t="s">
        <v>143</v>
      </c>
      <c r="D60" s="3">
        <f>+D59-D58</f>
        <v>13</v>
      </c>
    </row>
    <row r="62" spans="2:5" x14ac:dyDescent="0.2">
      <c r="B62" s="1" t="s">
        <v>496</v>
      </c>
      <c r="C62" s="4">
        <v>45689</v>
      </c>
      <c r="D62" s="3">
        <f>+D59</f>
        <v>850</v>
      </c>
    </row>
    <row r="63" spans="2:5" x14ac:dyDescent="0.2">
      <c r="B63" s="1" t="s">
        <v>193</v>
      </c>
      <c r="C63" s="4">
        <v>45778</v>
      </c>
      <c r="D63" s="1">
        <v>875</v>
      </c>
    </row>
    <row r="64" spans="2:5" x14ac:dyDescent="0.2">
      <c r="B64" s="1" t="s">
        <v>309</v>
      </c>
      <c r="D64" s="3">
        <f>+D63-D62</f>
        <v>25</v>
      </c>
    </row>
    <row r="65" spans="2:6" x14ac:dyDescent="0.2">
      <c r="D65" s="3"/>
    </row>
    <row r="66" spans="2:6" x14ac:dyDescent="0.2">
      <c r="B66" s="1" t="s">
        <v>497</v>
      </c>
      <c r="D66" s="3"/>
      <c r="E66" s="1">
        <f>+D63</f>
        <v>875</v>
      </c>
    </row>
    <row r="67" spans="2:6" x14ac:dyDescent="0.2">
      <c r="B67" s="1" t="s">
        <v>498</v>
      </c>
      <c r="D67" s="3"/>
      <c r="F67" s="3">
        <f>+D62</f>
        <v>850</v>
      </c>
    </row>
    <row r="68" spans="2:6" x14ac:dyDescent="0.2">
      <c r="B68" s="1" t="s">
        <v>499</v>
      </c>
      <c r="D68" s="3"/>
      <c r="F68" s="3">
        <f>+E66-F67</f>
        <v>25</v>
      </c>
    </row>
    <row r="69" spans="2:6" x14ac:dyDescent="0.2">
      <c r="B69" s="1" t="s">
        <v>500</v>
      </c>
      <c r="D69" s="3"/>
    </row>
    <row r="70" spans="2:6" x14ac:dyDescent="0.2">
      <c r="D70" s="3"/>
    </row>
    <row r="71" spans="2:6" x14ac:dyDescent="0.2">
      <c r="B71" s="1" t="s">
        <v>362</v>
      </c>
      <c r="D71" s="3"/>
      <c r="E71" s="3">
        <f>+D60</f>
        <v>13</v>
      </c>
    </row>
    <row r="72" spans="2:6" x14ac:dyDescent="0.2">
      <c r="B72" s="1" t="s">
        <v>316</v>
      </c>
      <c r="D72" s="3"/>
      <c r="F72" s="3">
        <f>+E71</f>
        <v>13</v>
      </c>
    </row>
    <row r="73" spans="2:6" x14ac:dyDescent="0.2">
      <c r="D73" s="3"/>
    </row>
    <row r="74" spans="2:6" x14ac:dyDescent="0.2">
      <c r="B74" s="1" t="s">
        <v>131</v>
      </c>
      <c r="D74" s="3" t="s">
        <v>182</v>
      </c>
    </row>
    <row r="75" spans="2:6" x14ac:dyDescent="0.2">
      <c r="B75" s="1" t="s">
        <v>501</v>
      </c>
      <c r="D75" s="3">
        <f>+E26</f>
        <v>6000</v>
      </c>
    </row>
    <row r="76" spans="2:6" x14ac:dyDescent="0.2">
      <c r="B76" s="1" t="s">
        <v>502</v>
      </c>
      <c r="D76" s="3">
        <f>+D62</f>
        <v>850</v>
      </c>
    </row>
    <row r="77" spans="2:6" x14ac:dyDescent="0.2">
      <c r="D77" s="3">
        <f>+D75-D76</f>
        <v>5150</v>
      </c>
    </row>
    <row r="78" spans="2:6" x14ac:dyDescent="0.2">
      <c r="B78" s="1" t="s">
        <v>503</v>
      </c>
      <c r="D78" s="3"/>
    </row>
    <row r="79" spans="2:6" x14ac:dyDescent="0.2">
      <c r="C79" s="19" t="s">
        <v>504</v>
      </c>
      <c r="D79" s="3">
        <f>0.01*D77</f>
        <v>51.5</v>
      </c>
    </row>
    <row r="80" spans="2:6" x14ac:dyDescent="0.2">
      <c r="D80" s="3"/>
    </row>
    <row r="81" spans="2:6" x14ac:dyDescent="0.2">
      <c r="B81" s="1" t="s">
        <v>505</v>
      </c>
      <c r="D81" s="3"/>
      <c r="E81" s="3">
        <f>+D79</f>
        <v>51.5</v>
      </c>
    </row>
    <row r="82" spans="2:6" x14ac:dyDescent="0.2">
      <c r="B82" s="1" t="s">
        <v>506</v>
      </c>
      <c r="D82" s="3"/>
      <c r="E82" s="3"/>
      <c r="F82" s="3">
        <f>+E81</f>
        <v>51.5</v>
      </c>
    </row>
    <row r="83" spans="2:6" x14ac:dyDescent="0.2">
      <c r="D83" s="3"/>
    </row>
    <row r="84" spans="2:6" x14ac:dyDescent="0.2">
      <c r="D84" s="3"/>
    </row>
    <row r="85" spans="2:6" x14ac:dyDescent="0.2">
      <c r="B85" s="1" t="s">
        <v>366</v>
      </c>
      <c r="D85" s="3">
        <f>+E52</f>
        <v>885</v>
      </c>
    </row>
    <row r="86" spans="2:6" x14ac:dyDescent="0.2">
      <c r="D86" s="3">
        <f>+E71</f>
        <v>13</v>
      </c>
    </row>
    <row r="87" spans="2:6" x14ac:dyDescent="0.2">
      <c r="D87" s="3">
        <f>+D85-D86</f>
        <v>872</v>
      </c>
    </row>
    <row r="88" spans="2:6" x14ac:dyDescent="0.2">
      <c r="C88" s="1" t="str">
        <f>+C79</f>
        <v>6/600</v>
      </c>
      <c r="D88" s="3">
        <f>+D87*6/600</f>
        <v>8.7200000000000006</v>
      </c>
    </row>
    <row r="90" spans="2:6" x14ac:dyDescent="0.2">
      <c r="B90" s="1" t="s">
        <v>315</v>
      </c>
      <c r="E90" s="3">
        <f>+D88</f>
        <v>8.7200000000000006</v>
      </c>
    </row>
    <row r="91" spans="2:6" x14ac:dyDescent="0.2">
      <c r="B91" s="1" t="s">
        <v>119</v>
      </c>
      <c r="F91" s="3">
        <f>+E90</f>
        <v>8.7200000000000006</v>
      </c>
    </row>
    <row r="92" spans="2:6" x14ac:dyDescent="0.2">
      <c r="B92" s="1" t="s">
        <v>507</v>
      </c>
    </row>
    <row r="94" spans="2:6" x14ac:dyDescent="0.2">
      <c r="B94" s="1" t="s">
        <v>158</v>
      </c>
    </row>
    <row r="95" spans="2:6" x14ac:dyDescent="0.2">
      <c r="B95" s="1" t="s">
        <v>358</v>
      </c>
    </row>
    <row r="96" spans="2:6" x14ac:dyDescent="0.2">
      <c r="B96" s="1" t="s">
        <v>191</v>
      </c>
      <c r="C96" s="4">
        <v>45689</v>
      </c>
      <c r="D96" s="3">
        <f>+F18</f>
        <v>5875</v>
      </c>
    </row>
    <row r="97" spans="2:6" x14ac:dyDescent="0.2">
      <c r="B97" s="1" t="s">
        <v>508</v>
      </c>
      <c r="C97" s="4">
        <v>45689</v>
      </c>
      <c r="D97" s="3">
        <f>+F23</f>
        <v>2641</v>
      </c>
    </row>
    <row r="98" spans="2:6" x14ac:dyDescent="0.2">
      <c r="B98" s="1" t="s">
        <v>111</v>
      </c>
      <c r="C98" s="4">
        <v>45689</v>
      </c>
      <c r="D98" s="3">
        <f>+D96-D97</f>
        <v>3234</v>
      </c>
    </row>
    <row r="99" spans="2:6" x14ac:dyDescent="0.2">
      <c r="B99" s="1" t="s">
        <v>133</v>
      </c>
      <c r="C99" s="4">
        <v>45689</v>
      </c>
      <c r="D99" s="1">
        <v>3800</v>
      </c>
    </row>
    <row r="100" spans="2:6" x14ac:dyDescent="0.2">
      <c r="B100" s="1" t="s">
        <v>509</v>
      </c>
      <c r="C100" s="4">
        <v>45689</v>
      </c>
      <c r="D100" s="3">
        <f>+D99-D98</f>
        <v>566</v>
      </c>
    </row>
    <row r="102" spans="2:6" x14ac:dyDescent="0.2">
      <c r="B102" s="1" t="s">
        <v>384</v>
      </c>
      <c r="D102" s="3">
        <f>+D97</f>
        <v>2641</v>
      </c>
    </row>
    <row r="103" spans="2:6" x14ac:dyDescent="0.2">
      <c r="B103" s="1" t="s">
        <v>510</v>
      </c>
      <c r="E103" s="3">
        <f>+D100</f>
        <v>566</v>
      </c>
    </row>
    <row r="104" spans="2:6" x14ac:dyDescent="0.2">
      <c r="B104" s="1" t="s">
        <v>511</v>
      </c>
      <c r="E104" s="3">
        <f>+D102-E103</f>
        <v>2075</v>
      </c>
    </row>
    <row r="106" spans="2:6" x14ac:dyDescent="0.2">
      <c r="B106" s="1" t="s">
        <v>512</v>
      </c>
      <c r="D106" s="19"/>
    </row>
    <row r="107" spans="2:6" x14ac:dyDescent="0.2">
      <c r="B107" s="1" t="s">
        <v>513</v>
      </c>
    </row>
    <row r="108" spans="2:6" x14ac:dyDescent="0.2">
      <c r="B108" s="1" t="s">
        <v>514</v>
      </c>
    </row>
    <row r="109" spans="2:6" x14ac:dyDescent="0.2">
      <c r="B109" s="1" t="s">
        <v>515</v>
      </c>
    </row>
    <row r="110" spans="2:6" x14ac:dyDescent="0.2">
      <c r="E110" s="3">
        <f>6/60*F26</f>
        <v>380</v>
      </c>
      <c r="F110" s="1" t="s">
        <v>516</v>
      </c>
    </row>
    <row r="111" spans="2:6" x14ac:dyDescent="0.2">
      <c r="E111" s="3">
        <f>6/12*673*0.15</f>
        <v>50.475000000000001</v>
      </c>
      <c r="F111" s="1" t="s">
        <v>517</v>
      </c>
    </row>
    <row r="112" spans="2:6" x14ac:dyDescent="0.2">
      <c r="E112" s="6">
        <f>SUM(E110:E111)</f>
        <v>430.47500000000002</v>
      </c>
    </row>
    <row r="114" spans="2:6" x14ac:dyDescent="0.2">
      <c r="B114" s="1" t="s">
        <v>518</v>
      </c>
    </row>
    <row r="116" spans="2:6" x14ac:dyDescent="0.2">
      <c r="B116" s="1" t="s">
        <v>519</v>
      </c>
      <c r="E116" s="3">
        <f>+E112</f>
        <v>430.47500000000002</v>
      </c>
    </row>
    <row r="117" spans="2:6" x14ac:dyDescent="0.2">
      <c r="B117" s="1" t="s">
        <v>520</v>
      </c>
      <c r="F117" s="3">
        <f>+E116</f>
        <v>430.47500000000002</v>
      </c>
    </row>
    <row r="118" spans="2:6" x14ac:dyDescent="0.2">
      <c r="B118" s="1" t="s">
        <v>521</v>
      </c>
    </row>
    <row r="121" spans="2:6" x14ac:dyDescent="0.2">
      <c r="B121" s="1" t="s">
        <v>366</v>
      </c>
      <c r="E121" s="1">
        <f>6/60*D100</f>
        <v>56.6</v>
      </c>
      <c r="F121" s="1" t="s">
        <v>522</v>
      </c>
    </row>
    <row r="123" spans="2:6" x14ac:dyDescent="0.2">
      <c r="B123" s="1" t="s">
        <v>523</v>
      </c>
      <c r="E123" s="3">
        <f>+E121</f>
        <v>56.6</v>
      </c>
      <c r="F123" s="3"/>
    </row>
    <row r="124" spans="2:6" x14ac:dyDescent="0.2">
      <c r="B124" s="1" t="s">
        <v>316</v>
      </c>
      <c r="E124" s="3"/>
      <c r="F124" s="3">
        <f>+E123</f>
        <v>56.6</v>
      </c>
    </row>
    <row r="125" spans="2:6" x14ac:dyDescent="0.2">
      <c r="B125" s="1" t="s">
        <v>524</v>
      </c>
    </row>
    <row r="127" spans="2:6" x14ac:dyDescent="0.2">
      <c r="B127" s="1" t="s">
        <v>481</v>
      </c>
    </row>
    <row r="129" spans="2:6" x14ac:dyDescent="0.2">
      <c r="B129" s="1" t="s">
        <v>525</v>
      </c>
    </row>
    <row r="131" spans="2:6" x14ac:dyDescent="0.2">
      <c r="B131" s="1" t="s">
        <v>105</v>
      </c>
      <c r="E131" s="1">
        <f>+G18</f>
        <v>1850</v>
      </c>
    </row>
    <row r="132" spans="2:6" x14ac:dyDescent="0.2">
      <c r="B132" s="1" t="s">
        <v>85</v>
      </c>
      <c r="E132" s="1">
        <f>+G23</f>
        <v>593</v>
      </c>
    </row>
    <row r="133" spans="2:6" x14ac:dyDescent="0.2">
      <c r="B133" s="1" t="s">
        <v>111</v>
      </c>
      <c r="E133" s="1">
        <f>+E131-E132</f>
        <v>1257</v>
      </c>
    </row>
    <row r="134" spans="2:6" x14ac:dyDescent="0.2">
      <c r="B134" s="1" t="s">
        <v>133</v>
      </c>
      <c r="E134" s="1">
        <f>+G26</f>
        <v>1000</v>
      </c>
    </row>
    <row r="135" spans="2:6" x14ac:dyDescent="0.2">
      <c r="B135" s="14" t="s">
        <v>526</v>
      </c>
      <c r="E135" s="1">
        <f>+E133-E134</f>
        <v>257</v>
      </c>
    </row>
    <row r="138" spans="2:6" x14ac:dyDescent="0.2">
      <c r="B138" s="1" t="s">
        <v>527</v>
      </c>
      <c r="E138" s="1">
        <f>+E135</f>
        <v>257</v>
      </c>
    </row>
    <row r="139" spans="2:6" x14ac:dyDescent="0.2">
      <c r="B139" s="1" t="s">
        <v>490</v>
      </c>
      <c r="E139" s="1">
        <f>+E132</f>
        <v>593</v>
      </c>
    </row>
    <row r="140" spans="2:6" x14ac:dyDescent="0.2">
      <c r="B140" s="1" t="s">
        <v>511</v>
      </c>
      <c r="F140" s="1">
        <f>SUM(E138:E139)</f>
        <v>850</v>
      </c>
    </row>
    <row r="143" spans="2:6" x14ac:dyDescent="0.2">
      <c r="B143" s="1" t="s">
        <v>528</v>
      </c>
      <c r="E143" s="3">
        <f>6/60*G26</f>
        <v>100</v>
      </c>
      <c r="F143" s="1" t="s">
        <v>529</v>
      </c>
    </row>
    <row r="144" spans="2:6" x14ac:dyDescent="0.2">
      <c r="E144" s="3">
        <f>6/120*43</f>
        <v>2.15</v>
      </c>
    </row>
    <row r="145" spans="2:6" x14ac:dyDescent="0.2">
      <c r="E145" s="6">
        <f>SUM(E143:E144)</f>
        <v>102.15</v>
      </c>
    </row>
    <row r="147" spans="2:6" x14ac:dyDescent="0.2">
      <c r="B147" s="1" t="s">
        <v>530</v>
      </c>
      <c r="E147" s="3">
        <f>+E145</f>
        <v>102.15</v>
      </c>
    </row>
    <row r="148" spans="2:6" x14ac:dyDescent="0.2">
      <c r="B148" s="1" t="s">
        <v>115</v>
      </c>
      <c r="F148" s="3">
        <f>+E147</f>
        <v>102.15</v>
      </c>
    </row>
    <row r="149" spans="2:6" x14ac:dyDescent="0.2">
      <c r="B149" s="1" t="s">
        <v>531</v>
      </c>
    </row>
  </sheetData>
  <hyperlinks>
    <hyperlink ref="A1" location="Main!A1" display="Main" xr:uid="{D2E0F788-14E7-40D0-9297-19A7D2845DB8}"/>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58603-89F5-4FDA-8C58-29816BDB1B30}">
  <sheetPr>
    <tabColor rgb="FFFFFF00"/>
  </sheetPr>
  <dimension ref="A1:H178"/>
  <sheetViews>
    <sheetView topLeftCell="A157" zoomScale="145" zoomScaleNormal="145" workbookViewId="0">
      <selection activeCell="B180" sqref="B180"/>
    </sheetView>
  </sheetViews>
  <sheetFormatPr defaultRowHeight="12" x14ac:dyDescent="0.2"/>
  <cols>
    <col min="1" max="16384" width="9.140625" style="1"/>
  </cols>
  <sheetData>
    <row r="1" spans="1:5" ht="15" x14ac:dyDescent="0.25">
      <c r="A1" s="2" t="s">
        <v>10</v>
      </c>
    </row>
    <row r="4" spans="1:5" x14ac:dyDescent="0.2">
      <c r="B4" s="1" t="s">
        <v>532</v>
      </c>
    </row>
    <row r="6" spans="1:5" x14ac:dyDescent="0.2">
      <c r="B6" s="1" t="s">
        <v>33</v>
      </c>
      <c r="C6" s="4">
        <v>46752</v>
      </c>
    </row>
    <row r="8" spans="1:5" x14ac:dyDescent="0.2">
      <c r="B8" s="4">
        <v>46388</v>
      </c>
      <c r="C8" s="1" t="s">
        <v>405</v>
      </c>
      <c r="D8" s="1" t="s">
        <v>220</v>
      </c>
      <c r="E8" s="1" t="s">
        <v>533</v>
      </c>
    </row>
    <row r="9" spans="1:5" x14ac:dyDescent="0.2">
      <c r="B9" s="1" t="s">
        <v>105</v>
      </c>
      <c r="C9" s="3">
        <v>2010</v>
      </c>
      <c r="D9" s="3">
        <v>898</v>
      </c>
      <c r="E9" s="3">
        <v>217</v>
      </c>
    </row>
    <row r="10" spans="1:5" x14ac:dyDescent="0.2">
      <c r="B10" s="1" t="s">
        <v>85</v>
      </c>
      <c r="C10" s="3">
        <v>-120</v>
      </c>
      <c r="D10" s="3">
        <v>-374</v>
      </c>
      <c r="E10" s="3">
        <v>-98</v>
      </c>
    </row>
    <row r="11" spans="1:5" ht="12.75" thickBot="1" x14ac:dyDescent="0.25">
      <c r="B11" s="1" t="s">
        <v>111</v>
      </c>
      <c r="C11" s="5">
        <f>SUM(C9:C10)</f>
        <v>1890</v>
      </c>
      <c r="D11" s="5">
        <f t="shared" ref="D11:E11" si="0">SUM(D9:D10)</f>
        <v>524</v>
      </c>
      <c r="E11" s="5">
        <f t="shared" si="0"/>
        <v>119</v>
      </c>
    </row>
    <row r="12" spans="1:5" ht="12.75" thickTop="1" x14ac:dyDescent="0.2"/>
    <row r="14" spans="1:5" x14ac:dyDescent="0.2">
      <c r="B14" s="14" t="s">
        <v>534</v>
      </c>
    </row>
    <row r="15" spans="1:5" x14ac:dyDescent="0.2">
      <c r="B15" s="1" t="s">
        <v>535</v>
      </c>
    </row>
    <row r="16" spans="1:5" x14ac:dyDescent="0.2">
      <c r="B16" s="1" t="s">
        <v>536</v>
      </c>
    </row>
    <row r="17" spans="2:6" x14ac:dyDescent="0.2">
      <c r="B17" s="1" t="s">
        <v>537</v>
      </c>
    </row>
    <row r="18" spans="2:6" x14ac:dyDescent="0.2">
      <c r="B18" s="1" t="s">
        <v>538</v>
      </c>
    </row>
    <row r="20" spans="2:6" x14ac:dyDescent="0.2">
      <c r="B20" s="4">
        <v>46388</v>
      </c>
      <c r="C20" s="1" t="s">
        <v>539</v>
      </c>
      <c r="D20" s="1" t="s">
        <v>540</v>
      </c>
      <c r="E20" s="1" t="s">
        <v>541</v>
      </c>
      <c r="F20" s="1" t="s">
        <v>542</v>
      </c>
    </row>
    <row r="21" spans="2:6" x14ac:dyDescent="0.2">
      <c r="B21" s="1" t="s">
        <v>164</v>
      </c>
      <c r="C21" s="1">
        <v>135</v>
      </c>
      <c r="D21" s="1">
        <v>189</v>
      </c>
      <c r="E21" s="1">
        <v>101</v>
      </c>
      <c r="F21" s="1">
        <v>107</v>
      </c>
    </row>
    <row r="22" spans="2:6" x14ac:dyDescent="0.2">
      <c r="B22" s="1" t="s">
        <v>543</v>
      </c>
      <c r="C22" s="1">
        <v>524</v>
      </c>
      <c r="D22" s="1">
        <v>496</v>
      </c>
      <c r="E22" s="1">
        <v>207</v>
      </c>
      <c r="F22" s="1">
        <v>251</v>
      </c>
    </row>
    <row r="23" spans="2:6" x14ac:dyDescent="0.2">
      <c r="B23" s="1" t="s">
        <v>85</v>
      </c>
      <c r="C23" s="1">
        <v>21</v>
      </c>
      <c r="D23" s="1">
        <v>33</v>
      </c>
      <c r="E23" s="1">
        <v>41</v>
      </c>
      <c r="F23" s="1">
        <v>25</v>
      </c>
    </row>
    <row r="24" spans="2:6" x14ac:dyDescent="0.2">
      <c r="B24" s="1" t="s">
        <v>544</v>
      </c>
      <c r="C24" s="1">
        <f>+C21+C22-C23</f>
        <v>638</v>
      </c>
      <c r="D24" s="1">
        <f t="shared" ref="D24:F24" si="1">+D21+D22-D23</f>
        <v>652</v>
      </c>
      <c r="E24" s="1">
        <f t="shared" si="1"/>
        <v>267</v>
      </c>
      <c r="F24" s="1">
        <f t="shared" si="1"/>
        <v>333</v>
      </c>
    </row>
    <row r="25" spans="2:6" x14ac:dyDescent="0.2">
      <c r="B25" s="1" t="s">
        <v>545</v>
      </c>
      <c r="C25" s="1">
        <f>+C22-C23</f>
        <v>503</v>
      </c>
      <c r="D25" s="1">
        <f t="shared" ref="D25:F25" si="2">+D22-D23</f>
        <v>463</v>
      </c>
      <c r="E25" s="1">
        <f t="shared" si="2"/>
        <v>166</v>
      </c>
      <c r="F25" s="1">
        <f t="shared" si="2"/>
        <v>226</v>
      </c>
    </row>
    <row r="28" spans="2:6" x14ac:dyDescent="0.2">
      <c r="B28" s="4">
        <v>42004</v>
      </c>
    </row>
    <row r="29" spans="2:6" x14ac:dyDescent="0.2">
      <c r="B29" s="1" t="s">
        <v>546</v>
      </c>
      <c r="C29" s="1">
        <v>56</v>
      </c>
      <c r="D29" s="1">
        <v>21</v>
      </c>
      <c r="E29" s="1">
        <v>30</v>
      </c>
      <c r="F29" s="1">
        <v>10</v>
      </c>
    </row>
    <row r="30" spans="2:6" x14ac:dyDescent="0.2">
      <c r="B30" s="1" t="s">
        <v>547</v>
      </c>
      <c r="C30" s="1">
        <v>103</v>
      </c>
      <c r="D30" s="1">
        <v>130</v>
      </c>
      <c r="E30" s="1">
        <v>45</v>
      </c>
      <c r="F30" s="1">
        <v>15</v>
      </c>
    </row>
    <row r="32" spans="2:6" x14ac:dyDescent="0.2">
      <c r="B32" s="1" t="s">
        <v>548</v>
      </c>
      <c r="C32" s="1">
        <f>50*12</f>
        <v>600</v>
      </c>
      <c r="D32" s="1">
        <f>30*12</f>
        <v>360</v>
      </c>
      <c r="E32" s="1">
        <f>10*12</f>
        <v>120</v>
      </c>
      <c r="F32" s="1">
        <f>20*12</f>
        <v>240</v>
      </c>
    </row>
    <row r="34" spans="2:6" x14ac:dyDescent="0.2">
      <c r="B34" s="1" t="s">
        <v>549</v>
      </c>
    </row>
    <row r="36" spans="2:6" x14ac:dyDescent="0.2">
      <c r="B36" s="14" t="s">
        <v>550</v>
      </c>
    </row>
    <row r="37" spans="2:6" x14ac:dyDescent="0.2">
      <c r="B37" s="1" t="s">
        <v>551</v>
      </c>
      <c r="D37" s="1" t="s">
        <v>94</v>
      </c>
      <c r="E37" s="1" t="s">
        <v>168</v>
      </c>
    </row>
    <row r="38" spans="2:6" x14ac:dyDescent="0.2">
      <c r="B38" s="1" t="s">
        <v>60</v>
      </c>
      <c r="C38" s="4">
        <v>45657</v>
      </c>
      <c r="D38" s="1">
        <v>26</v>
      </c>
      <c r="E38" s="1">
        <v>56</v>
      </c>
    </row>
    <row r="39" spans="2:6" x14ac:dyDescent="0.2">
      <c r="B39" s="1" t="s">
        <v>85</v>
      </c>
      <c r="C39" s="4">
        <v>46387</v>
      </c>
      <c r="D39" s="1">
        <v>0</v>
      </c>
      <c r="E39" s="1">
        <v>11</v>
      </c>
    </row>
    <row r="40" spans="2:6" x14ac:dyDescent="0.2">
      <c r="B40" s="1" t="s">
        <v>111</v>
      </c>
      <c r="C40" s="4">
        <v>46387</v>
      </c>
      <c r="D40" s="1">
        <f>+D38-D39</f>
        <v>26</v>
      </c>
      <c r="E40" s="1">
        <f>+E38-E39</f>
        <v>45</v>
      </c>
    </row>
    <row r="41" spans="2:6" x14ac:dyDescent="0.2">
      <c r="B41" s="1" t="s">
        <v>552</v>
      </c>
      <c r="C41" s="4">
        <v>45657</v>
      </c>
      <c r="D41" s="1">
        <v>8</v>
      </c>
      <c r="E41" s="1">
        <v>15</v>
      </c>
    </row>
    <row r="44" spans="2:6" x14ac:dyDescent="0.2">
      <c r="B44" s="1" t="s">
        <v>553</v>
      </c>
      <c r="D44" s="1" t="s">
        <v>164</v>
      </c>
      <c r="E44" s="1" t="s">
        <v>425</v>
      </c>
    </row>
    <row r="45" spans="2:6" x14ac:dyDescent="0.2">
      <c r="B45" s="1" t="s">
        <v>60</v>
      </c>
      <c r="C45" s="4">
        <v>46569</v>
      </c>
      <c r="D45" s="1">
        <v>15</v>
      </c>
      <c r="E45" s="1">
        <v>60</v>
      </c>
      <c r="F45" s="1">
        <f>SUM(D45:E45)</f>
        <v>75</v>
      </c>
    </row>
    <row r="47" spans="2:6" x14ac:dyDescent="0.2">
      <c r="B47" s="1" t="s">
        <v>554</v>
      </c>
      <c r="C47" s="4">
        <v>46387</v>
      </c>
      <c r="D47" s="1">
        <f>+E39</f>
        <v>11</v>
      </c>
    </row>
    <row r="48" spans="2:6" x14ac:dyDescent="0.2">
      <c r="B48" s="1" t="s">
        <v>555</v>
      </c>
      <c r="C48" s="4">
        <v>46569</v>
      </c>
      <c r="D48" s="3">
        <f>YEARFRAC(C47,C48)*12/120*E38</f>
        <v>2.8155555555555556</v>
      </c>
    </row>
    <row r="49" spans="2:6" x14ac:dyDescent="0.2">
      <c r="B49" s="1" t="s">
        <v>556</v>
      </c>
      <c r="D49" s="6">
        <f>SUM(D47:D48)</f>
        <v>13.815555555555555</v>
      </c>
    </row>
    <row r="50" spans="2:6" x14ac:dyDescent="0.2">
      <c r="D50" s="3"/>
    </row>
    <row r="51" spans="2:6" x14ac:dyDescent="0.2">
      <c r="B51" s="1" t="s">
        <v>557</v>
      </c>
      <c r="C51" s="4">
        <v>46569</v>
      </c>
      <c r="D51" s="3">
        <f>+F45</f>
        <v>75</v>
      </c>
    </row>
    <row r="52" spans="2:6" x14ac:dyDescent="0.2">
      <c r="B52" s="1" t="s">
        <v>558</v>
      </c>
      <c r="C52" s="4">
        <f>+C51</f>
        <v>46569</v>
      </c>
      <c r="D52" s="3">
        <f>+D38+E38-D49</f>
        <v>68.184444444444438</v>
      </c>
    </row>
    <row r="53" spans="2:6" x14ac:dyDescent="0.2">
      <c r="B53" s="1" t="s">
        <v>309</v>
      </c>
      <c r="D53" s="6">
        <f>+D51-D52</f>
        <v>6.8155555555555623</v>
      </c>
    </row>
    <row r="55" spans="2:6" x14ac:dyDescent="0.2">
      <c r="B55" s="1" t="s">
        <v>559</v>
      </c>
      <c r="C55" s="4"/>
      <c r="D55" s="1">
        <f>+D38+E38</f>
        <v>82</v>
      </c>
    </row>
    <row r="56" spans="2:6" x14ac:dyDescent="0.2">
      <c r="B56" s="1" t="s">
        <v>560</v>
      </c>
      <c r="D56" s="3">
        <f>+D51</f>
        <v>75</v>
      </c>
    </row>
    <row r="57" spans="2:6" x14ac:dyDescent="0.2">
      <c r="B57" s="1" t="s">
        <v>561</v>
      </c>
      <c r="D57" s="6">
        <f>+D55-D56</f>
        <v>7</v>
      </c>
    </row>
    <row r="59" spans="2:6" x14ac:dyDescent="0.2">
      <c r="B59" s="1" t="s">
        <v>562</v>
      </c>
      <c r="E59" s="3">
        <f>+D49</f>
        <v>13.815555555555555</v>
      </c>
    </row>
    <row r="60" spans="2:6" x14ac:dyDescent="0.2">
      <c r="C60" s="1" t="s">
        <v>563</v>
      </c>
      <c r="F60" s="3">
        <f>+D57</f>
        <v>7</v>
      </c>
    </row>
    <row r="61" spans="2:6" x14ac:dyDescent="0.2">
      <c r="C61" s="1" t="s">
        <v>564</v>
      </c>
      <c r="F61" s="3">
        <f>+D53</f>
        <v>6.8155555555555623</v>
      </c>
    </row>
    <row r="62" spans="2:6" x14ac:dyDescent="0.2">
      <c r="B62" s="1" t="s">
        <v>565</v>
      </c>
    </row>
    <row r="64" spans="2:6" x14ac:dyDescent="0.2">
      <c r="B64" s="1" t="s">
        <v>566</v>
      </c>
      <c r="E64" s="1">
        <f>+E41+D41</f>
        <v>23</v>
      </c>
    </row>
    <row r="65" spans="2:7" x14ac:dyDescent="0.2">
      <c r="C65" s="1" t="s">
        <v>567</v>
      </c>
      <c r="F65" s="1">
        <f>+E64</f>
        <v>23</v>
      </c>
    </row>
    <row r="66" spans="2:7" x14ac:dyDescent="0.2">
      <c r="B66" s="1" t="s">
        <v>568</v>
      </c>
    </row>
    <row r="67" spans="2:7" x14ac:dyDescent="0.2">
      <c r="B67" s="16" t="s">
        <v>569</v>
      </c>
    </row>
    <row r="69" spans="2:7" x14ac:dyDescent="0.2">
      <c r="B69" s="14" t="s">
        <v>201</v>
      </c>
      <c r="D69" s="1" t="s">
        <v>570</v>
      </c>
      <c r="E69" s="1" t="s">
        <v>571</v>
      </c>
    </row>
    <row r="70" spans="2:7" x14ac:dyDescent="0.2">
      <c r="B70" s="1" t="s">
        <v>572</v>
      </c>
      <c r="C70" s="4">
        <f>+B20</f>
        <v>46388</v>
      </c>
      <c r="D70" s="3">
        <f>YEARFRAC(C70,$C$6)*12</f>
        <v>12</v>
      </c>
      <c r="E70" s="1">
        <f>50*12</f>
        <v>600</v>
      </c>
      <c r="F70" s="1">
        <f>+C22</f>
        <v>524</v>
      </c>
      <c r="G70" s="3">
        <f>+D70/E70*F70</f>
        <v>10.48</v>
      </c>
    </row>
    <row r="71" spans="2:7" x14ac:dyDescent="0.2">
      <c r="B71" s="1" t="s">
        <v>573</v>
      </c>
      <c r="C71" s="4">
        <f>+C45</f>
        <v>46569</v>
      </c>
      <c r="D71" s="3">
        <f t="shared" ref="D71:D75" si="3">YEARFRAC(C71,$C$6)*12</f>
        <v>6</v>
      </c>
      <c r="E71" s="1">
        <f>45*12</f>
        <v>540</v>
      </c>
      <c r="F71" s="1">
        <f>+E45</f>
        <v>60</v>
      </c>
      <c r="G71" s="3">
        <f t="shared" ref="G71:G75" si="4">+D71/E71*F71</f>
        <v>0.66666666666666674</v>
      </c>
    </row>
    <row r="72" spans="2:7" x14ac:dyDescent="0.2">
      <c r="B72" s="1" t="s">
        <v>574</v>
      </c>
      <c r="C72" s="4">
        <f>+B8</f>
        <v>46388</v>
      </c>
      <c r="D72" s="3">
        <f t="shared" si="3"/>
        <v>12</v>
      </c>
      <c r="E72" s="1">
        <f>30*12</f>
        <v>360</v>
      </c>
      <c r="F72" s="1">
        <f>+D22</f>
        <v>496</v>
      </c>
      <c r="G72" s="3">
        <f t="shared" si="4"/>
        <v>16.533333333333331</v>
      </c>
    </row>
    <row r="73" spans="2:7" x14ac:dyDescent="0.2">
      <c r="B73" s="1" t="s">
        <v>575</v>
      </c>
      <c r="C73" s="4">
        <f>+C48</f>
        <v>46569</v>
      </c>
      <c r="D73" s="3"/>
      <c r="G73" s="3">
        <f>+D48</f>
        <v>2.8155555555555556</v>
      </c>
    </row>
    <row r="74" spans="2:7" x14ac:dyDescent="0.2">
      <c r="B74" s="1" t="s">
        <v>576</v>
      </c>
      <c r="C74" s="4">
        <f>+B8</f>
        <v>46388</v>
      </c>
      <c r="D74" s="3">
        <f t="shared" si="3"/>
        <v>12</v>
      </c>
      <c r="E74" s="1">
        <f>12*10</f>
        <v>120</v>
      </c>
      <c r="F74" s="1">
        <f>+E22-E38</f>
        <v>151</v>
      </c>
      <c r="G74" s="3">
        <f t="shared" si="4"/>
        <v>15.100000000000001</v>
      </c>
    </row>
    <row r="75" spans="2:7" x14ac:dyDescent="0.2">
      <c r="B75" s="1" t="s">
        <v>577</v>
      </c>
      <c r="C75" s="4">
        <f>+B8</f>
        <v>46388</v>
      </c>
      <c r="D75" s="3">
        <f t="shared" si="3"/>
        <v>12</v>
      </c>
      <c r="E75" s="1">
        <f>20*12</f>
        <v>240</v>
      </c>
      <c r="F75" s="1">
        <f>+F22</f>
        <v>251</v>
      </c>
      <c r="G75" s="3">
        <f t="shared" si="4"/>
        <v>12.55</v>
      </c>
    </row>
    <row r="76" spans="2:7" ht="12.75" thickBot="1" x14ac:dyDescent="0.25">
      <c r="G76" s="5">
        <f>SUM(G70:G75)</f>
        <v>58.145555555555561</v>
      </c>
    </row>
    <row r="77" spans="2:7" ht="12.75" thickTop="1" x14ac:dyDescent="0.2">
      <c r="G77" s="3"/>
    </row>
    <row r="78" spans="2:7" x14ac:dyDescent="0.2">
      <c r="B78" s="1" t="s">
        <v>299</v>
      </c>
      <c r="E78" s="3">
        <f>+G76</f>
        <v>58.145555555555561</v>
      </c>
      <c r="G78" s="3"/>
    </row>
    <row r="79" spans="2:7" x14ac:dyDescent="0.2">
      <c r="C79" s="1" t="s">
        <v>578</v>
      </c>
      <c r="F79" s="3">
        <f>+E78</f>
        <v>58.145555555555561</v>
      </c>
      <c r="G79" s="3"/>
    </row>
    <row r="80" spans="2:7" x14ac:dyDescent="0.2">
      <c r="B80" s="1" t="s">
        <v>579</v>
      </c>
      <c r="G80" s="3"/>
    </row>
    <row r="81" spans="2:8" x14ac:dyDescent="0.2">
      <c r="G81" s="3"/>
    </row>
    <row r="82" spans="2:8" x14ac:dyDescent="0.2">
      <c r="G82" s="3"/>
    </row>
    <row r="83" spans="2:8" x14ac:dyDescent="0.2">
      <c r="G83" s="3"/>
    </row>
    <row r="84" spans="2:8" x14ac:dyDescent="0.2">
      <c r="B84" s="14" t="s">
        <v>406</v>
      </c>
    </row>
    <row r="85" spans="2:8" x14ac:dyDescent="0.2">
      <c r="B85" s="1" t="s">
        <v>94</v>
      </c>
      <c r="D85" s="1" t="s">
        <v>539</v>
      </c>
      <c r="E85" s="1" t="s">
        <v>580</v>
      </c>
      <c r="F85" s="1" t="s">
        <v>541</v>
      </c>
      <c r="G85" s="1" t="s">
        <v>581</v>
      </c>
    </row>
    <row r="86" spans="2:8" x14ac:dyDescent="0.2">
      <c r="B86" s="1" t="s">
        <v>582</v>
      </c>
      <c r="C86" s="4">
        <v>46388</v>
      </c>
      <c r="D86" s="3">
        <f>+C21</f>
        <v>135</v>
      </c>
      <c r="E86" s="3">
        <f t="shared" ref="E86:G86" si="5">+D21</f>
        <v>189</v>
      </c>
      <c r="F86" s="3">
        <f t="shared" si="5"/>
        <v>101</v>
      </c>
      <c r="G86" s="3">
        <f t="shared" si="5"/>
        <v>107</v>
      </c>
      <c r="H86" s="3"/>
    </row>
    <row r="87" spans="2:8" x14ac:dyDescent="0.2">
      <c r="B87" s="1" t="s">
        <v>550</v>
      </c>
      <c r="D87" s="15">
        <f>+D45</f>
        <v>15</v>
      </c>
      <c r="E87" s="15">
        <v>0</v>
      </c>
      <c r="F87" s="15">
        <f>-D38</f>
        <v>-26</v>
      </c>
      <c r="G87" s="15">
        <v>0</v>
      </c>
      <c r="H87" s="3"/>
    </row>
    <row r="88" spans="2:8" x14ac:dyDescent="0.2">
      <c r="B88" s="1" t="s">
        <v>111</v>
      </c>
      <c r="C88" s="4">
        <v>46752</v>
      </c>
      <c r="D88" s="3">
        <f>SUM(D86:D87)</f>
        <v>150</v>
      </c>
      <c r="E88" s="3">
        <f t="shared" ref="E88:G88" si="6">SUM(E86:E87)</f>
        <v>189</v>
      </c>
      <c r="F88" s="3">
        <f t="shared" si="6"/>
        <v>75</v>
      </c>
      <c r="G88" s="3">
        <f t="shared" si="6"/>
        <v>107</v>
      </c>
      <c r="H88" s="3"/>
    </row>
    <row r="89" spans="2:8" x14ac:dyDescent="0.2">
      <c r="B89" s="1" t="s">
        <v>133</v>
      </c>
      <c r="C89" s="4">
        <v>46752</v>
      </c>
      <c r="D89" s="1">
        <v>170</v>
      </c>
      <c r="E89" s="1">
        <v>190</v>
      </c>
      <c r="F89" s="1">
        <v>80</v>
      </c>
      <c r="G89" s="1">
        <v>100</v>
      </c>
      <c r="H89" s="3"/>
    </row>
    <row r="90" spans="2:8" ht="12.75" thickBot="1" x14ac:dyDescent="0.25">
      <c r="B90" s="1" t="s">
        <v>583</v>
      </c>
      <c r="D90" s="5">
        <f>+D89-D88</f>
        <v>20</v>
      </c>
      <c r="E90" s="5">
        <f t="shared" ref="E90:G90" si="7">+E89-E88</f>
        <v>1</v>
      </c>
      <c r="F90" s="5">
        <f t="shared" si="7"/>
        <v>5</v>
      </c>
      <c r="G90" s="5">
        <f t="shared" si="7"/>
        <v>-7</v>
      </c>
      <c r="H90" s="3"/>
    </row>
    <row r="91" spans="2:8" ht="12.75" thickTop="1" x14ac:dyDescent="0.2">
      <c r="H91" s="3"/>
    </row>
    <row r="92" spans="2:8" x14ac:dyDescent="0.2">
      <c r="B92" s="1" t="s">
        <v>168</v>
      </c>
      <c r="H92" s="3"/>
    </row>
    <row r="93" spans="2:8" x14ac:dyDescent="0.2">
      <c r="B93" s="1" t="s">
        <v>582</v>
      </c>
      <c r="C93" s="4">
        <v>46388</v>
      </c>
      <c r="D93" s="1">
        <f>+C22</f>
        <v>524</v>
      </c>
      <c r="E93" s="1">
        <f t="shared" ref="E93:G93" si="8">+D22</f>
        <v>496</v>
      </c>
      <c r="F93" s="1">
        <f t="shared" si="8"/>
        <v>207</v>
      </c>
      <c r="G93" s="1">
        <f t="shared" si="8"/>
        <v>251</v>
      </c>
      <c r="H93" s="3"/>
    </row>
    <row r="94" spans="2:8" x14ac:dyDescent="0.2">
      <c r="B94" s="1" t="s">
        <v>85</v>
      </c>
      <c r="C94" s="4">
        <v>46388</v>
      </c>
      <c r="D94" s="1">
        <f>-C23</f>
        <v>-21</v>
      </c>
      <c r="E94" s="1">
        <f t="shared" ref="E94:G94" si="9">-D23</f>
        <v>-33</v>
      </c>
      <c r="F94" s="1">
        <f t="shared" si="9"/>
        <v>-41</v>
      </c>
      <c r="G94" s="1">
        <f t="shared" si="9"/>
        <v>-25</v>
      </c>
      <c r="H94" s="3"/>
    </row>
    <row r="95" spans="2:8" x14ac:dyDescent="0.2">
      <c r="B95" s="1" t="s">
        <v>550</v>
      </c>
      <c r="C95" s="4">
        <f>+C45</f>
        <v>46569</v>
      </c>
      <c r="D95" s="1">
        <f>+E45</f>
        <v>60</v>
      </c>
      <c r="F95" s="3">
        <f>+-(E38-E39-D48)</f>
        <v>-42.184444444444445</v>
      </c>
      <c r="H95" s="3"/>
    </row>
    <row r="96" spans="2:8" x14ac:dyDescent="0.2">
      <c r="B96" s="1" t="s">
        <v>584</v>
      </c>
      <c r="C96" s="4">
        <v>43100</v>
      </c>
      <c r="D96" s="15">
        <f>(+G70+G71)*-1</f>
        <v>-11.146666666666667</v>
      </c>
      <c r="E96" s="15">
        <f>(+G72)*-1</f>
        <v>-16.533333333333331</v>
      </c>
      <c r="F96" s="15">
        <f>(+G73+G74)*-1</f>
        <v>-17.915555555555557</v>
      </c>
      <c r="G96" s="15">
        <f>(+G75)*-1</f>
        <v>-12.55</v>
      </c>
      <c r="H96" s="3"/>
    </row>
    <row r="97" spans="2:7" x14ac:dyDescent="0.2">
      <c r="B97" s="1" t="s">
        <v>111</v>
      </c>
      <c r="C97" s="4">
        <v>43100</v>
      </c>
      <c r="D97" s="3">
        <f>SUM(D93:D96)</f>
        <v>551.85333333333335</v>
      </c>
      <c r="E97" s="3">
        <f t="shared" ref="E97:G97" si="10">SUM(E93:E96)</f>
        <v>446.4666666666667</v>
      </c>
      <c r="F97" s="3">
        <f t="shared" si="10"/>
        <v>105.9</v>
      </c>
      <c r="G97" s="3">
        <f t="shared" si="10"/>
        <v>213.45</v>
      </c>
    </row>
    <row r="98" spans="2:7" x14ac:dyDescent="0.2">
      <c r="B98" s="1" t="s">
        <v>133</v>
      </c>
      <c r="C98" s="4">
        <v>43100</v>
      </c>
      <c r="D98" s="3">
        <v>560</v>
      </c>
      <c r="E98" s="3">
        <v>450</v>
      </c>
      <c r="F98" s="3">
        <v>160</v>
      </c>
      <c r="G98" s="3">
        <v>195</v>
      </c>
    </row>
    <row r="99" spans="2:7" ht="12.75" thickBot="1" x14ac:dyDescent="0.25">
      <c r="B99" s="1" t="s">
        <v>585</v>
      </c>
      <c r="C99" s="4"/>
      <c r="D99" s="5">
        <f>+D98-D97</f>
        <v>8.146666666666647</v>
      </c>
      <c r="E99" s="5">
        <f t="shared" ref="E99:G99" si="11">+E98-E97</f>
        <v>3.533333333333303</v>
      </c>
      <c r="F99" s="5">
        <f t="shared" si="11"/>
        <v>54.099999999999994</v>
      </c>
      <c r="G99" s="5">
        <f t="shared" si="11"/>
        <v>-18.449999999999989</v>
      </c>
    </row>
    <row r="100" spans="2:7" ht="12.75" thickTop="1" x14ac:dyDescent="0.2">
      <c r="C100" s="4"/>
      <c r="D100" s="3"/>
      <c r="E100" s="3"/>
      <c r="F100" s="3"/>
      <c r="G100" s="3"/>
    </row>
    <row r="101" spans="2:7" x14ac:dyDescent="0.2">
      <c r="C101" s="4"/>
      <c r="D101" s="3"/>
      <c r="E101" s="3"/>
      <c r="F101" s="3"/>
      <c r="G101" s="3"/>
    </row>
    <row r="102" spans="2:7" x14ac:dyDescent="0.2">
      <c r="B102" s="1" t="s">
        <v>586</v>
      </c>
      <c r="C102" s="4"/>
      <c r="D102" s="3"/>
      <c r="E102" s="3"/>
      <c r="F102" s="3"/>
      <c r="G102" s="3"/>
    </row>
    <row r="103" spans="2:7" x14ac:dyDescent="0.2">
      <c r="B103" s="1" t="s">
        <v>587</v>
      </c>
      <c r="C103" s="4"/>
      <c r="D103" s="3">
        <f>-SUM(D94:G94)</f>
        <v>120</v>
      </c>
      <c r="E103" s="3"/>
      <c r="F103" s="3"/>
      <c r="G103" s="3"/>
    </row>
    <row r="104" spans="2:7" x14ac:dyDescent="0.2">
      <c r="B104" s="1" t="s">
        <v>246</v>
      </c>
      <c r="C104" s="4"/>
      <c r="D104" s="3">
        <f>+G76</f>
        <v>58.145555555555561</v>
      </c>
      <c r="E104" s="3"/>
      <c r="F104" s="3"/>
      <c r="G104" s="3"/>
    </row>
    <row r="105" spans="2:7" x14ac:dyDescent="0.2">
      <c r="B105" s="1" t="s">
        <v>493</v>
      </c>
      <c r="C105" s="4"/>
      <c r="D105" s="3">
        <f>-E59</f>
        <v>-13.815555555555555</v>
      </c>
      <c r="E105" s="3"/>
      <c r="F105" s="3"/>
      <c r="G105" s="3"/>
    </row>
    <row r="106" spans="2:7" ht="12.75" thickBot="1" x14ac:dyDescent="0.25">
      <c r="D106" s="7">
        <f>SUM(D103:D105)</f>
        <v>164.33</v>
      </c>
    </row>
    <row r="107" spans="2:7" ht="12.75" thickTop="1" x14ac:dyDescent="0.2"/>
    <row r="108" spans="2:7" x14ac:dyDescent="0.2">
      <c r="B108" s="1" t="s">
        <v>526</v>
      </c>
      <c r="D108" s="3">
        <f>-+G90</f>
        <v>7</v>
      </c>
    </row>
    <row r="109" spans="2:7" x14ac:dyDescent="0.2">
      <c r="B109" s="1" t="s">
        <v>588</v>
      </c>
      <c r="D109" s="1">
        <f>-+F29+3</f>
        <v>-7</v>
      </c>
    </row>
    <row r="110" spans="2:7" x14ac:dyDescent="0.2">
      <c r="B110" s="1" t="s">
        <v>589</v>
      </c>
      <c r="D110" s="3">
        <f>-+G99</f>
        <v>18.449999999999989</v>
      </c>
    </row>
    <row r="111" spans="2:7" x14ac:dyDescent="0.2">
      <c r="B111" s="1" t="s">
        <v>590</v>
      </c>
      <c r="D111" s="1">
        <f>-+F30</f>
        <v>-15</v>
      </c>
    </row>
    <row r="112" spans="2:7" ht="12.75" thickBot="1" x14ac:dyDescent="0.25">
      <c r="B112" s="1" t="s">
        <v>591</v>
      </c>
      <c r="D112" s="7">
        <f>SUM(D108:D111)</f>
        <v>3.4499999999999886</v>
      </c>
    </row>
    <row r="113" spans="2:6" ht="12.75" thickTop="1" x14ac:dyDescent="0.2"/>
    <row r="114" spans="2:6" x14ac:dyDescent="0.2">
      <c r="B114" s="1" t="s">
        <v>592</v>
      </c>
      <c r="D114" s="3">
        <f>+D90+E90+F90+D99+E99+F99</f>
        <v>91.779999999999944</v>
      </c>
    </row>
    <row r="115" spans="2:6" x14ac:dyDescent="0.2">
      <c r="B115" s="1" t="s">
        <v>593</v>
      </c>
      <c r="D115" s="1">
        <f>+D109+D111</f>
        <v>-22</v>
      </c>
    </row>
    <row r="116" spans="2:6" ht="12.75" thickBot="1" x14ac:dyDescent="0.25">
      <c r="B116" s="1" t="s">
        <v>594</v>
      </c>
      <c r="D116" s="7">
        <f>SUM(D114:D115)</f>
        <v>69.779999999999944</v>
      </c>
    </row>
    <row r="117" spans="2:6" ht="12.75" thickTop="1" x14ac:dyDescent="0.2"/>
    <row r="118" spans="2:6" x14ac:dyDescent="0.2">
      <c r="B118" s="1" t="s">
        <v>595</v>
      </c>
      <c r="D118" s="6">
        <f>+D106+D112-D116</f>
        <v>98.000000000000057</v>
      </c>
    </row>
    <row r="120" spans="2:6" x14ac:dyDescent="0.2">
      <c r="B120" s="1" t="s">
        <v>596</v>
      </c>
      <c r="E120" s="3">
        <f>+D112</f>
        <v>3.4499999999999886</v>
      </c>
    </row>
    <row r="121" spans="2:6" x14ac:dyDescent="0.2">
      <c r="B121" s="1" t="s">
        <v>597</v>
      </c>
      <c r="E121" s="3">
        <f>+D106</f>
        <v>164.33</v>
      </c>
    </row>
    <row r="122" spans="2:6" x14ac:dyDescent="0.2">
      <c r="C122" s="1" t="s">
        <v>598</v>
      </c>
      <c r="F122" s="3">
        <f>+D118</f>
        <v>98.000000000000057</v>
      </c>
    </row>
    <row r="123" spans="2:6" x14ac:dyDescent="0.2">
      <c r="C123" s="1" t="s">
        <v>510</v>
      </c>
      <c r="F123" s="3">
        <f>+D116</f>
        <v>69.779999999999944</v>
      </c>
    </row>
    <row r="126" spans="2:6" x14ac:dyDescent="0.2">
      <c r="B126" s="14" t="s">
        <v>599</v>
      </c>
    </row>
    <row r="127" spans="2:6" x14ac:dyDescent="0.2">
      <c r="B127" s="1" t="s">
        <v>600</v>
      </c>
    </row>
    <row r="128" spans="2:6" x14ac:dyDescent="0.2">
      <c r="B128" s="1">
        <f>7*12</f>
        <v>84</v>
      </c>
      <c r="C128" s="1" t="s">
        <v>182</v>
      </c>
    </row>
    <row r="129" spans="2:6" x14ac:dyDescent="0.2">
      <c r="B129" s="1" t="s">
        <v>601</v>
      </c>
    </row>
    <row r="131" spans="2:6" x14ac:dyDescent="0.2">
      <c r="B131" s="14" t="s">
        <v>432</v>
      </c>
    </row>
    <row r="132" spans="2:6" x14ac:dyDescent="0.2">
      <c r="D132" s="1" t="s">
        <v>602</v>
      </c>
      <c r="E132" s="1" t="s">
        <v>603</v>
      </c>
      <c r="F132" s="1" t="s">
        <v>604</v>
      </c>
    </row>
    <row r="133" spans="2:6" x14ac:dyDescent="0.2">
      <c r="B133" s="1" t="s">
        <v>605</v>
      </c>
      <c r="C133" s="4">
        <v>46666</v>
      </c>
      <c r="D133" s="1">
        <v>70</v>
      </c>
      <c r="E133" s="1">
        <f>+D133</f>
        <v>70</v>
      </c>
    </row>
    <row r="134" spans="2:6" x14ac:dyDescent="0.2">
      <c r="B134" s="1" t="s">
        <v>606</v>
      </c>
      <c r="C134" s="4">
        <v>46666</v>
      </c>
      <c r="D134" s="1">
        <v>40</v>
      </c>
      <c r="E134" s="1">
        <f>+D134</f>
        <v>40</v>
      </c>
    </row>
    <row r="135" spans="2:6" x14ac:dyDescent="0.2">
      <c r="B135" s="1" t="s">
        <v>607</v>
      </c>
      <c r="C135" s="4">
        <v>46666</v>
      </c>
      <c r="D135" s="1">
        <v>40</v>
      </c>
      <c r="F135" s="1">
        <f>+D135</f>
        <v>40</v>
      </c>
    </row>
    <row r="136" spans="2:6" x14ac:dyDescent="0.2">
      <c r="B136" s="1" t="s">
        <v>608</v>
      </c>
      <c r="C136" s="4">
        <v>46666</v>
      </c>
      <c r="D136" s="1">
        <v>20</v>
      </c>
      <c r="E136" s="1">
        <f>+D136</f>
        <v>20</v>
      </c>
    </row>
    <row r="137" spans="2:6" x14ac:dyDescent="0.2">
      <c r="B137" s="1" t="s">
        <v>230</v>
      </c>
      <c r="C137" s="4">
        <v>46666</v>
      </c>
      <c r="D137" s="1">
        <v>10</v>
      </c>
      <c r="F137" s="1">
        <f>+D137</f>
        <v>10</v>
      </c>
    </row>
    <row r="138" spans="2:6" x14ac:dyDescent="0.2">
      <c r="D138" s="1">
        <f>SUM(D133:D137)</f>
        <v>180</v>
      </c>
      <c r="E138" s="1">
        <f>SUM(E133:E137)</f>
        <v>130</v>
      </c>
      <c r="F138" s="1">
        <f>SUM(F133:F137)</f>
        <v>50</v>
      </c>
    </row>
    <row r="140" spans="2:6" x14ac:dyDescent="0.2">
      <c r="B140" s="1" t="s">
        <v>609</v>
      </c>
      <c r="C140" s="4">
        <v>46666</v>
      </c>
      <c r="D140" s="1">
        <f>+E138</f>
        <v>130</v>
      </c>
    </row>
    <row r="142" spans="2:6" x14ac:dyDescent="0.2">
      <c r="B142" s="1" t="s">
        <v>610</v>
      </c>
    </row>
    <row r="143" spans="2:6" x14ac:dyDescent="0.2">
      <c r="B143" s="1" t="s">
        <v>611</v>
      </c>
      <c r="E143" s="1">
        <f>+F138</f>
        <v>50</v>
      </c>
    </row>
    <row r="144" spans="2:6" x14ac:dyDescent="0.2">
      <c r="C144" s="1" t="s">
        <v>612</v>
      </c>
      <c r="F144" s="1">
        <f>+E143</f>
        <v>50</v>
      </c>
    </row>
    <row r="145" spans="2:7" x14ac:dyDescent="0.2">
      <c r="B145" s="1" t="s">
        <v>613</v>
      </c>
    </row>
    <row r="147" spans="2:7" x14ac:dyDescent="0.2">
      <c r="B147" s="1" t="s">
        <v>614</v>
      </c>
    </row>
    <row r="149" spans="2:7" x14ac:dyDescent="0.2">
      <c r="B149" s="1" t="s">
        <v>615</v>
      </c>
      <c r="F149" s="3">
        <f>+D9</f>
        <v>898</v>
      </c>
    </row>
    <row r="150" spans="2:7" x14ac:dyDescent="0.2">
      <c r="B150" s="1" t="s">
        <v>616</v>
      </c>
      <c r="F150" s="1">
        <v>7</v>
      </c>
      <c r="G150" s="1" t="s">
        <v>130</v>
      </c>
    </row>
    <row r="151" spans="2:7" x14ac:dyDescent="0.2">
      <c r="B151" s="1" t="s">
        <v>617</v>
      </c>
      <c r="F151" s="6">
        <f>+F149/F150</f>
        <v>128.28571428571428</v>
      </c>
    </row>
    <row r="152" spans="2:7" x14ac:dyDescent="0.2">
      <c r="F152" s="3"/>
    </row>
    <row r="153" spans="2:7" x14ac:dyDescent="0.2">
      <c r="B153" s="1" t="s">
        <v>618</v>
      </c>
      <c r="E153" s="3">
        <f>YEARFRAC(C140,C6)*12</f>
        <v>2.833333333333333</v>
      </c>
      <c r="F153" s="3">
        <f>+D140</f>
        <v>130</v>
      </c>
    </row>
    <row r="154" spans="2:7" x14ac:dyDescent="0.2">
      <c r="E154" s="3">
        <f>7*12</f>
        <v>84</v>
      </c>
      <c r="F154" s="6">
        <f>+E153/E154*F153</f>
        <v>4.3849206349206344</v>
      </c>
      <c r="G154" s="19" t="s">
        <v>619</v>
      </c>
    </row>
    <row r="155" spans="2:7" x14ac:dyDescent="0.2">
      <c r="F155" s="3"/>
    </row>
    <row r="156" spans="2:7" x14ac:dyDescent="0.2">
      <c r="B156" s="1" t="s">
        <v>620</v>
      </c>
      <c r="F156" s="3">
        <f>+F151+F154</f>
        <v>132.67063492063491</v>
      </c>
    </row>
    <row r="157" spans="2:7" x14ac:dyDescent="0.2">
      <c r="C157" s="1" t="s">
        <v>387</v>
      </c>
      <c r="F157" s="3"/>
      <c r="G157" s="3">
        <f>+F156</f>
        <v>132.67063492063491</v>
      </c>
    </row>
    <row r="158" spans="2:7" x14ac:dyDescent="0.2">
      <c r="B158" s="1" t="s">
        <v>621</v>
      </c>
      <c r="F158" s="3"/>
      <c r="G158" s="3"/>
    </row>
    <row r="160" spans="2:7" x14ac:dyDescent="0.2">
      <c r="B160" s="14" t="s">
        <v>622</v>
      </c>
    </row>
    <row r="161" spans="2:2" x14ac:dyDescent="0.2">
      <c r="B161" s="16" t="s">
        <v>623</v>
      </c>
    </row>
    <row r="167" spans="2:2" x14ac:dyDescent="0.2">
      <c r="B167" s="1" t="s">
        <v>624</v>
      </c>
    </row>
    <row r="168" spans="2:2" x14ac:dyDescent="0.2">
      <c r="B168" s="1" t="s">
        <v>625</v>
      </c>
    </row>
    <row r="169" spans="2:2" x14ac:dyDescent="0.2">
      <c r="B169" s="20" t="s">
        <v>626</v>
      </c>
    </row>
    <row r="170" spans="2:2" x14ac:dyDescent="0.2">
      <c r="B170" s="20" t="s">
        <v>627</v>
      </c>
    </row>
    <row r="171" spans="2:2" x14ac:dyDescent="0.2">
      <c r="B171" s="20" t="s">
        <v>628</v>
      </c>
    </row>
    <row r="172" spans="2:2" x14ac:dyDescent="0.2">
      <c r="B172" s="20" t="s">
        <v>629</v>
      </c>
    </row>
    <row r="173" spans="2:2" x14ac:dyDescent="0.2">
      <c r="B173" s="20" t="s">
        <v>630</v>
      </c>
    </row>
    <row r="174" spans="2:2" x14ac:dyDescent="0.2">
      <c r="B174" s="20" t="s">
        <v>631</v>
      </c>
    </row>
    <row r="175" spans="2:2" x14ac:dyDescent="0.2">
      <c r="B175" s="20" t="s">
        <v>632</v>
      </c>
    </row>
    <row r="176" spans="2:2" x14ac:dyDescent="0.2">
      <c r="B176" s="20" t="s">
        <v>633</v>
      </c>
    </row>
    <row r="177" spans="2:2" x14ac:dyDescent="0.2">
      <c r="B177" s="20" t="s">
        <v>634</v>
      </c>
    </row>
    <row r="178" spans="2:2" x14ac:dyDescent="0.2">
      <c r="B178" s="20"/>
    </row>
  </sheetData>
  <hyperlinks>
    <hyperlink ref="A1" location="Main!A1" display="Main" xr:uid="{E4E2598A-33EB-4EE0-B63D-EF0A8731676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8FD9C-2EB2-491E-BA2A-415C1518594D}">
  <sheetPr>
    <tabColor rgb="FFFFFF00"/>
  </sheetPr>
  <dimension ref="A1:B5"/>
  <sheetViews>
    <sheetView topLeftCell="A4" zoomScaleNormal="100" workbookViewId="0">
      <selection activeCell="K19" sqref="K19"/>
    </sheetView>
  </sheetViews>
  <sheetFormatPr defaultRowHeight="12" x14ac:dyDescent="0.2"/>
  <cols>
    <col min="1" max="16384" width="9.140625" style="1"/>
  </cols>
  <sheetData>
    <row r="1" spans="1:2" ht="15" x14ac:dyDescent="0.25">
      <c r="A1" s="2" t="s">
        <v>10</v>
      </c>
    </row>
    <row r="3" spans="1:2" x14ac:dyDescent="0.2">
      <c r="B3" s="1" t="s">
        <v>635</v>
      </c>
    </row>
    <row r="5" spans="1:2" x14ac:dyDescent="0.2">
      <c r="B5" s="16" t="s">
        <v>636</v>
      </c>
    </row>
  </sheetData>
  <hyperlinks>
    <hyperlink ref="A1" location="Main!A1" display="Main" xr:uid="{F9A8D8D3-D291-4F8B-AAB7-EFCE13A03D4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C791-BB98-4A9D-AA77-D0A872FF4F4A}">
  <dimension ref="A1:G329"/>
  <sheetViews>
    <sheetView tabSelected="1" zoomScaleNormal="100" workbookViewId="0">
      <selection activeCell="B12" sqref="B12"/>
    </sheetView>
  </sheetViews>
  <sheetFormatPr defaultRowHeight="12" x14ac:dyDescent="0.2"/>
  <cols>
    <col min="1" max="4" width="9.140625" style="1"/>
    <col min="5" max="5" width="9.85546875" style="1" bestFit="1" customWidth="1"/>
    <col min="6" max="16384" width="9.140625" style="1"/>
  </cols>
  <sheetData>
    <row r="1" spans="1:2" ht="15" x14ac:dyDescent="0.25">
      <c r="A1" s="2" t="s">
        <v>10</v>
      </c>
    </row>
    <row r="3" spans="1:2" x14ac:dyDescent="0.2">
      <c r="B3" s="1" t="s">
        <v>11</v>
      </c>
    </row>
    <row r="5" spans="1:2" x14ac:dyDescent="0.2">
      <c r="B5" s="1" t="s">
        <v>662</v>
      </c>
    </row>
    <row r="6" spans="1:2" x14ac:dyDescent="0.2">
      <c r="B6" s="1" t="s">
        <v>663</v>
      </c>
    </row>
    <row r="7" spans="1:2" x14ac:dyDescent="0.2">
      <c r="B7" s="1" t="s">
        <v>664</v>
      </c>
    </row>
    <row r="9" spans="1:2" x14ac:dyDescent="0.2">
      <c r="B9" s="1" t="s">
        <v>665</v>
      </c>
    </row>
    <row r="10" spans="1:2" x14ac:dyDescent="0.2">
      <c r="B10" s="1" t="s">
        <v>652</v>
      </c>
    </row>
    <row r="11" spans="1:2" x14ac:dyDescent="0.2">
      <c r="B11" s="1" t="s">
        <v>666</v>
      </c>
    </row>
    <row r="30" spans="2:6" x14ac:dyDescent="0.2">
      <c r="B30" s="1" t="s">
        <v>12</v>
      </c>
    </row>
    <row r="32" spans="2:6" x14ac:dyDescent="0.2">
      <c r="B32" s="4">
        <v>41852</v>
      </c>
      <c r="E32" s="1" t="s">
        <v>13</v>
      </c>
      <c r="F32" s="1" t="s">
        <v>14</v>
      </c>
    </row>
    <row r="33" spans="2:6" x14ac:dyDescent="0.2">
      <c r="B33" s="1" t="s">
        <v>15</v>
      </c>
      <c r="E33" s="3">
        <v>250000</v>
      </c>
      <c r="F33" s="3"/>
    </row>
    <row r="34" spans="2:6" x14ac:dyDescent="0.2">
      <c r="B34" s="1" t="s">
        <v>16</v>
      </c>
      <c r="E34" s="3">
        <f>+F35-E33</f>
        <v>265000</v>
      </c>
      <c r="F34" s="3"/>
    </row>
    <row r="35" spans="2:6" x14ac:dyDescent="0.2">
      <c r="B35" s="1" t="s">
        <v>17</v>
      </c>
      <c r="E35" s="3"/>
      <c r="F35" s="3">
        <v>515000</v>
      </c>
    </row>
    <row r="36" spans="2:6" x14ac:dyDescent="0.2">
      <c r="B36" s="1" t="s">
        <v>18</v>
      </c>
      <c r="E36" s="3"/>
      <c r="F36" s="3"/>
    </row>
    <row r="37" spans="2:6" x14ac:dyDescent="0.2">
      <c r="E37" s="3"/>
      <c r="F37" s="3"/>
    </row>
    <row r="38" spans="2:6" x14ac:dyDescent="0.2">
      <c r="E38" s="3"/>
      <c r="F38" s="3"/>
    </row>
    <row r="39" spans="2:6" x14ac:dyDescent="0.2">
      <c r="B39" s="1" t="s">
        <v>19</v>
      </c>
      <c r="E39" s="3">
        <v>4000</v>
      </c>
      <c r="F39" s="3"/>
    </row>
    <row r="40" spans="2:6" x14ac:dyDescent="0.2">
      <c r="B40" s="1" t="s">
        <v>20</v>
      </c>
      <c r="E40" s="3">
        <v>190000</v>
      </c>
      <c r="F40" s="3"/>
    </row>
    <row r="41" spans="2:6" x14ac:dyDescent="0.2">
      <c r="B41" s="1" t="s">
        <v>21</v>
      </c>
      <c r="E41" s="3">
        <v>6000</v>
      </c>
      <c r="F41" s="3"/>
    </row>
    <row r="42" spans="2:6" x14ac:dyDescent="0.2">
      <c r="C42" s="1" t="s">
        <v>22</v>
      </c>
      <c r="E42" s="3"/>
      <c r="F42" s="3">
        <f>SUM(E39:E41)</f>
        <v>200000</v>
      </c>
    </row>
    <row r="43" spans="2:6" x14ac:dyDescent="0.2">
      <c r="B43" s="1" t="s">
        <v>23</v>
      </c>
      <c r="E43" s="3"/>
      <c r="F43" s="3"/>
    </row>
    <row r="44" spans="2:6" x14ac:dyDescent="0.2">
      <c r="E44" s="3"/>
      <c r="F44" s="3"/>
    </row>
    <row r="45" spans="2:6" x14ac:dyDescent="0.2">
      <c r="E45" s="3"/>
      <c r="F45" s="3"/>
    </row>
    <row r="46" spans="2:6" x14ac:dyDescent="0.2">
      <c r="B46" s="4">
        <v>42185</v>
      </c>
      <c r="E46" s="3"/>
      <c r="F46" s="3"/>
    </row>
    <row r="47" spans="2:6" x14ac:dyDescent="0.2">
      <c r="B47" s="1" t="s">
        <v>24</v>
      </c>
      <c r="E47" s="3">
        <f>+(11/48)*252000</f>
        <v>57750</v>
      </c>
      <c r="F47" s="3"/>
    </row>
    <row r="48" spans="2:6" x14ac:dyDescent="0.2">
      <c r="C48" s="1" t="s">
        <v>25</v>
      </c>
      <c r="E48" s="3"/>
      <c r="F48" s="3">
        <f>+E47</f>
        <v>57750</v>
      </c>
    </row>
    <row r="49" spans="2:6" x14ac:dyDescent="0.2">
      <c r="B49" s="1" t="s">
        <v>26</v>
      </c>
      <c r="E49" s="3"/>
      <c r="F49" s="3"/>
    </row>
    <row r="50" spans="2:6" x14ac:dyDescent="0.2">
      <c r="E50" s="3"/>
      <c r="F50" s="3"/>
    </row>
    <row r="51" spans="2:6" x14ac:dyDescent="0.2">
      <c r="E51" s="3"/>
      <c r="F51" s="3"/>
    </row>
    <row r="52" spans="2:6" x14ac:dyDescent="0.2">
      <c r="B52" s="1" t="s">
        <v>27</v>
      </c>
    </row>
    <row r="53" spans="2:6" x14ac:dyDescent="0.2">
      <c r="B53" s="1" t="s">
        <v>28</v>
      </c>
    </row>
    <row r="54" spans="2:6" x14ac:dyDescent="0.2">
      <c r="B54" s="1" t="s">
        <v>29</v>
      </c>
    </row>
    <row r="55" spans="2:6" x14ac:dyDescent="0.2">
      <c r="B55" s="1" t="s">
        <v>30</v>
      </c>
    </row>
    <row r="56" spans="2:6" x14ac:dyDescent="0.2">
      <c r="B56" s="1" t="s">
        <v>31</v>
      </c>
    </row>
    <row r="71" spans="2:2" x14ac:dyDescent="0.2">
      <c r="B71" s="1" t="s">
        <v>661</v>
      </c>
    </row>
    <row r="75" spans="2:2" x14ac:dyDescent="0.2">
      <c r="B75" s="23" t="s">
        <v>653</v>
      </c>
    </row>
    <row r="76" spans="2:2" x14ac:dyDescent="0.2">
      <c r="B76" s="23" t="s">
        <v>654</v>
      </c>
    </row>
    <row r="77" spans="2:2" x14ac:dyDescent="0.2">
      <c r="B77" s="23" t="s">
        <v>655</v>
      </c>
    </row>
    <row r="78" spans="2:2" x14ac:dyDescent="0.2">
      <c r="B78" s="23" t="s">
        <v>659</v>
      </c>
    </row>
    <row r="79" spans="2:2" x14ac:dyDescent="0.2">
      <c r="B79" s="23" t="s">
        <v>658</v>
      </c>
    </row>
    <row r="80" spans="2:2" x14ac:dyDescent="0.2">
      <c r="B80" s="23" t="s">
        <v>656</v>
      </c>
    </row>
    <row r="81" spans="2:4" x14ac:dyDescent="0.2">
      <c r="B81" s="23" t="s">
        <v>657</v>
      </c>
    </row>
    <row r="83" spans="2:4" x14ac:dyDescent="0.2">
      <c r="B83" s="1" t="s">
        <v>660</v>
      </c>
    </row>
    <row r="90" spans="2:4" x14ac:dyDescent="0.2">
      <c r="B90" s="1" t="s">
        <v>32</v>
      </c>
    </row>
    <row r="91" spans="2:4" x14ac:dyDescent="0.2">
      <c r="B91" s="1" t="s">
        <v>33</v>
      </c>
      <c r="C91" s="4">
        <v>45747</v>
      </c>
    </row>
    <row r="93" spans="2:4" x14ac:dyDescent="0.2">
      <c r="B93" s="1" t="s">
        <v>34</v>
      </c>
      <c r="D93" s="1" t="s">
        <v>35</v>
      </c>
    </row>
    <row r="94" spans="2:4" x14ac:dyDescent="0.2">
      <c r="B94" s="1" t="s">
        <v>36</v>
      </c>
      <c r="D94" s="3">
        <v>540000</v>
      </c>
    </row>
    <row r="95" spans="2:4" x14ac:dyDescent="0.2">
      <c r="B95" s="1" t="s">
        <v>37</v>
      </c>
      <c r="D95" s="3">
        <f>+D94/1.2</f>
        <v>450000</v>
      </c>
    </row>
    <row r="96" spans="2:4" x14ac:dyDescent="0.2">
      <c r="B96" s="1" t="s">
        <v>38</v>
      </c>
      <c r="D96" s="3"/>
    </row>
    <row r="97" spans="2:5" x14ac:dyDescent="0.2">
      <c r="C97" s="1" t="s">
        <v>39</v>
      </c>
      <c r="D97" s="3">
        <v>25000</v>
      </c>
    </row>
    <row r="98" spans="2:5" x14ac:dyDescent="0.2">
      <c r="B98" s="1" t="s">
        <v>40</v>
      </c>
      <c r="D98" s="3">
        <v>28000</v>
      </c>
    </row>
    <row r="99" spans="2:5" x14ac:dyDescent="0.2">
      <c r="B99" s="1" t="s">
        <v>41</v>
      </c>
      <c r="D99" s="3">
        <v>-10000</v>
      </c>
    </row>
    <row r="100" spans="2:5" x14ac:dyDescent="0.2">
      <c r="B100" s="1" t="s">
        <v>42</v>
      </c>
      <c r="D100" s="3">
        <v>40000</v>
      </c>
    </row>
    <row r="101" spans="2:5" ht="12.75" thickBot="1" x14ac:dyDescent="0.25">
      <c r="D101" s="7">
        <f>SUM(D95:D100)</f>
        <v>533000</v>
      </c>
    </row>
    <row r="102" spans="2:5" ht="12.75" thickTop="1" x14ac:dyDescent="0.2"/>
    <row r="104" spans="2:5" x14ac:dyDescent="0.2">
      <c r="B104" s="1" t="s">
        <v>43</v>
      </c>
    </row>
    <row r="105" spans="2:5" x14ac:dyDescent="0.2">
      <c r="B105" s="1" t="s">
        <v>44</v>
      </c>
      <c r="D105" s="4">
        <v>45383</v>
      </c>
    </row>
    <row r="106" spans="2:5" x14ac:dyDescent="0.2">
      <c r="B106" s="1" t="s">
        <v>45</v>
      </c>
      <c r="D106" s="4">
        <v>45900</v>
      </c>
    </row>
    <row r="108" spans="2:5" x14ac:dyDescent="0.2">
      <c r="B108" s="1" t="s">
        <v>46</v>
      </c>
    </row>
    <row r="109" spans="2:5" x14ac:dyDescent="0.2">
      <c r="C109" s="4">
        <v>45383</v>
      </c>
      <c r="D109" s="3">
        <v>200000</v>
      </c>
      <c r="E109" s="1" t="s">
        <v>47</v>
      </c>
    </row>
    <row r="110" spans="2:5" x14ac:dyDescent="0.2">
      <c r="D110" s="3"/>
    </row>
    <row r="111" spans="2:5" x14ac:dyDescent="0.2">
      <c r="B111" s="1" t="s">
        <v>48</v>
      </c>
      <c r="D111" s="3"/>
    </row>
    <row r="112" spans="2:5" x14ac:dyDescent="0.2">
      <c r="C112" s="4">
        <v>45657</v>
      </c>
      <c r="D112" s="3">
        <v>215000</v>
      </c>
    </row>
    <row r="113" spans="2:5" x14ac:dyDescent="0.2">
      <c r="C113" s="4">
        <v>45716</v>
      </c>
      <c r="D113" s="3">
        <v>210000</v>
      </c>
    </row>
    <row r="114" spans="2:5" x14ac:dyDescent="0.2">
      <c r="D114" s="3"/>
    </row>
    <row r="115" spans="2:5" x14ac:dyDescent="0.2">
      <c r="B115" s="1" t="s">
        <v>49</v>
      </c>
      <c r="D115" s="3">
        <v>75000</v>
      </c>
    </row>
    <row r="116" spans="2:5" x14ac:dyDescent="0.2">
      <c r="B116" s="1" t="s">
        <v>50</v>
      </c>
      <c r="D116" s="3">
        <v>51000</v>
      </c>
    </row>
    <row r="117" spans="2:5" x14ac:dyDescent="0.2">
      <c r="B117" s="1" t="s">
        <v>51</v>
      </c>
      <c r="D117" s="3">
        <v>68000</v>
      </c>
    </row>
    <row r="118" spans="2:5" x14ac:dyDescent="0.2">
      <c r="B118" s="1" t="s">
        <v>52</v>
      </c>
      <c r="D118" s="3">
        <v>96000</v>
      </c>
      <c r="E118" s="1" t="s">
        <v>53</v>
      </c>
    </row>
    <row r="119" spans="2:5" x14ac:dyDescent="0.2">
      <c r="B119" s="1" t="s">
        <v>54</v>
      </c>
      <c r="D119" s="3">
        <v>0</v>
      </c>
      <c r="E119" s="1" t="s">
        <v>55</v>
      </c>
    </row>
    <row r="120" spans="2:5" ht="12.75" thickBot="1" x14ac:dyDescent="0.25">
      <c r="D120" s="7">
        <f>SUM(D109:D119)</f>
        <v>915000</v>
      </c>
    </row>
    <row r="121" spans="2:5" ht="12.75" thickTop="1" x14ac:dyDescent="0.2"/>
    <row r="123" spans="2:5" x14ac:dyDescent="0.2">
      <c r="B123" s="1" t="s">
        <v>56</v>
      </c>
    </row>
    <row r="125" spans="2:5" x14ac:dyDescent="0.2">
      <c r="B125" s="1" t="s">
        <v>57</v>
      </c>
    </row>
    <row r="128" spans="2:5" x14ac:dyDescent="0.2">
      <c r="B128" s="1" t="s">
        <v>58</v>
      </c>
    </row>
    <row r="130" spans="2:6" x14ac:dyDescent="0.2">
      <c r="B130" s="1" t="s">
        <v>59</v>
      </c>
    </row>
    <row r="131" spans="2:6" x14ac:dyDescent="0.2">
      <c r="B131" s="1" t="s">
        <v>33</v>
      </c>
      <c r="C131" s="4">
        <v>45747</v>
      </c>
    </row>
    <row r="133" spans="2:6" x14ac:dyDescent="0.2">
      <c r="B133" s="1" t="s">
        <v>60</v>
      </c>
      <c r="C133" s="3">
        <v>25000000</v>
      </c>
    </row>
    <row r="134" spans="2:6" x14ac:dyDescent="0.2">
      <c r="B134" s="1" t="s">
        <v>638</v>
      </c>
    </row>
    <row r="135" spans="2:6" x14ac:dyDescent="0.2">
      <c r="B135" s="1" t="s">
        <v>61</v>
      </c>
      <c r="E135" s="3">
        <v>25000000</v>
      </c>
      <c r="F135" s="3"/>
    </row>
    <row r="136" spans="2:6" x14ac:dyDescent="0.2">
      <c r="E136" s="3"/>
      <c r="F136" s="3"/>
    </row>
    <row r="137" spans="2:6" x14ac:dyDescent="0.2">
      <c r="E137" s="3"/>
      <c r="F137" s="3"/>
    </row>
    <row r="138" spans="2:6" x14ac:dyDescent="0.2">
      <c r="B138" s="1" t="s">
        <v>62</v>
      </c>
      <c r="C138" s="3">
        <v>2000000</v>
      </c>
      <c r="E138" s="3"/>
      <c r="F138" s="3"/>
    </row>
    <row r="139" spans="2:6" x14ac:dyDescent="0.2">
      <c r="B139" s="1" t="s">
        <v>63</v>
      </c>
      <c r="C139" s="1">
        <v>0</v>
      </c>
      <c r="D139" s="1" t="s">
        <v>64</v>
      </c>
      <c r="E139" s="3"/>
      <c r="F139" s="3"/>
    </row>
    <row r="140" spans="2:6" x14ac:dyDescent="0.2">
      <c r="E140" s="3"/>
      <c r="F140" s="3"/>
    </row>
    <row r="141" spans="2:6" x14ac:dyDescent="0.2">
      <c r="E141" s="3"/>
      <c r="F141" s="3"/>
    </row>
    <row r="142" spans="2:6" x14ac:dyDescent="0.2">
      <c r="E142" s="3"/>
      <c r="F142" s="3"/>
    </row>
    <row r="143" spans="2:6" x14ac:dyDescent="0.2">
      <c r="B143" s="1" t="s">
        <v>15</v>
      </c>
      <c r="E143" s="3">
        <v>27000000</v>
      </c>
      <c r="F143" s="3"/>
    </row>
    <row r="144" spans="2:6" x14ac:dyDescent="0.2">
      <c r="B144" s="1" t="s">
        <v>65</v>
      </c>
      <c r="E144" s="3"/>
      <c r="F144" s="3">
        <v>2000000</v>
      </c>
    </row>
    <row r="145" spans="2:6" x14ac:dyDescent="0.2">
      <c r="B145" s="1" t="s">
        <v>66</v>
      </c>
      <c r="E145" s="3"/>
      <c r="F145" s="3">
        <v>25000000</v>
      </c>
    </row>
    <row r="146" spans="2:6" x14ac:dyDescent="0.2">
      <c r="E146" s="3"/>
      <c r="F146" s="3"/>
    </row>
    <row r="147" spans="2:6" x14ac:dyDescent="0.2">
      <c r="E147" s="3"/>
      <c r="F147" s="3"/>
    </row>
    <row r="148" spans="2:6" x14ac:dyDescent="0.2">
      <c r="B148" s="1" t="s">
        <v>67</v>
      </c>
      <c r="E148" s="3">
        <v>400000</v>
      </c>
      <c r="F148" s="3"/>
    </row>
    <row r="149" spans="2:6" x14ac:dyDescent="0.2">
      <c r="B149" s="1" t="s">
        <v>68</v>
      </c>
      <c r="E149" s="3"/>
      <c r="F149" s="3">
        <v>400000</v>
      </c>
    </row>
    <row r="151" spans="2:6" x14ac:dyDescent="0.2">
      <c r="B151" s="1" t="s">
        <v>69</v>
      </c>
    </row>
    <row r="152" spans="2:6" x14ac:dyDescent="0.2">
      <c r="B152" s="1" t="s">
        <v>70</v>
      </c>
    </row>
    <row r="153" spans="2:6" x14ac:dyDescent="0.2">
      <c r="B153" s="1" t="s">
        <v>71</v>
      </c>
    </row>
    <row r="156" spans="2:6" x14ac:dyDescent="0.2">
      <c r="B156" s="1" t="s">
        <v>72</v>
      </c>
    </row>
    <row r="158" spans="2:6" x14ac:dyDescent="0.2">
      <c r="B158" s="1" t="s">
        <v>33</v>
      </c>
      <c r="C158" s="4">
        <v>45747</v>
      </c>
    </row>
    <row r="160" spans="2:6" x14ac:dyDescent="0.2">
      <c r="B160" s="1" t="s">
        <v>73</v>
      </c>
      <c r="D160" s="8">
        <v>0.09</v>
      </c>
    </row>
    <row r="162" spans="2:6" x14ac:dyDescent="0.2">
      <c r="B162" s="1" t="s">
        <v>74</v>
      </c>
      <c r="D162" s="3">
        <v>24500</v>
      </c>
    </row>
    <row r="163" spans="2:6" x14ac:dyDescent="0.2">
      <c r="B163" s="4">
        <v>45443</v>
      </c>
    </row>
    <row r="164" spans="2:6" x14ac:dyDescent="0.2">
      <c r="B164" s="3">
        <f>_xlfn.DAYS(C158,B163)/30</f>
        <v>10.133333333333333</v>
      </c>
    </row>
    <row r="166" spans="2:6" x14ac:dyDescent="0.2">
      <c r="B166" s="1" t="s">
        <v>75</v>
      </c>
    </row>
    <row r="168" spans="2:6" x14ac:dyDescent="0.2">
      <c r="B168" s="4">
        <v>45565</v>
      </c>
      <c r="D168" s="3">
        <f>+D109</f>
        <v>200000</v>
      </c>
      <c r="E168" s="9">
        <f>6/12</f>
        <v>0.5</v>
      </c>
      <c r="F168" s="3">
        <f>+D168*E168*$D$160</f>
        <v>9000</v>
      </c>
    </row>
    <row r="169" spans="2:6" x14ac:dyDescent="0.2">
      <c r="B169" s="4">
        <v>45657</v>
      </c>
      <c r="D169" s="3">
        <f>+D112</f>
        <v>215000</v>
      </c>
      <c r="E169" s="9">
        <f>3/12</f>
        <v>0.25</v>
      </c>
      <c r="F169" s="3">
        <f>+D169*E169*$D$160</f>
        <v>4837.5</v>
      </c>
    </row>
    <row r="170" spans="2:6" x14ac:dyDescent="0.2">
      <c r="B170" s="4">
        <v>45716</v>
      </c>
      <c r="D170" s="3">
        <f>+D113</f>
        <v>210000</v>
      </c>
      <c r="E170" s="9">
        <f>1/12</f>
        <v>8.3333333333333329E-2</v>
      </c>
      <c r="F170" s="3">
        <f>+D170*E170*$D$160</f>
        <v>1575</v>
      </c>
    </row>
    <row r="172" spans="2:6" x14ac:dyDescent="0.2">
      <c r="B172" s="1" t="s">
        <v>76</v>
      </c>
    </row>
    <row r="173" spans="2:6" x14ac:dyDescent="0.2">
      <c r="B173" s="4">
        <v>45626</v>
      </c>
      <c r="D173" s="3">
        <f>+D116</f>
        <v>51000</v>
      </c>
      <c r="E173" s="9">
        <v>0.33333333333333331</v>
      </c>
      <c r="F173" s="3">
        <f>+D173*E173*$D$160</f>
        <v>1530</v>
      </c>
    </row>
    <row r="174" spans="2:6" x14ac:dyDescent="0.2">
      <c r="B174" s="4">
        <v>45688</v>
      </c>
      <c r="D174" s="3">
        <f>+D117</f>
        <v>68000</v>
      </c>
      <c r="E174" s="9">
        <v>0.16666666666666666</v>
      </c>
      <c r="F174" s="3">
        <f>+D174*E174*$D$160</f>
        <v>1019.9999999999999</v>
      </c>
    </row>
    <row r="175" spans="2:6" x14ac:dyDescent="0.2">
      <c r="D175" s="3"/>
    </row>
    <row r="176" spans="2:6" x14ac:dyDescent="0.2">
      <c r="B176" s="1" t="s">
        <v>77</v>
      </c>
    </row>
    <row r="177" spans="2:6" x14ac:dyDescent="0.2">
      <c r="B177" s="4">
        <v>45443</v>
      </c>
      <c r="D177" s="1">
        <f>+$D$118/2</f>
        <v>48000</v>
      </c>
      <c r="E177" s="9">
        <v>0.83333333333333337</v>
      </c>
      <c r="F177" s="3">
        <f>+D177*E177*$D$160</f>
        <v>3600</v>
      </c>
    </row>
    <row r="178" spans="2:6" x14ac:dyDescent="0.2">
      <c r="B178" s="4">
        <v>45473</v>
      </c>
      <c r="D178" s="1">
        <f>+$D$118/2</f>
        <v>48000</v>
      </c>
      <c r="E178" s="9">
        <v>0.75</v>
      </c>
      <c r="F178" s="3">
        <f>+D178*E178*$D$160</f>
        <v>3240</v>
      </c>
    </row>
    <row r="179" spans="2:6" x14ac:dyDescent="0.2">
      <c r="B179" s="1" t="s">
        <v>78</v>
      </c>
      <c r="F179" s="10">
        <f>SUM(F168:F178)</f>
        <v>24802.5</v>
      </c>
    </row>
    <row r="180" spans="2:6" x14ac:dyDescent="0.2">
      <c r="B180" s="1" t="s">
        <v>79</v>
      </c>
      <c r="F180" s="11">
        <f>+D162</f>
        <v>24500</v>
      </c>
    </row>
    <row r="182" spans="2:6" ht="12.75" thickBot="1" x14ac:dyDescent="0.25">
      <c r="B182" s="1" t="s">
        <v>80</v>
      </c>
      <c r="F182" s="7">
        <f>+F180</f>
        <v>24500</v>
      </c>
    </row>
    <row r="183" spans="2:6" ht="12.75" thickTop="1" x14ac:dyDescent="0.2"/>
    <row r="184" spans="2:6" x14ac:dyDescent="0.2">
      <c r="B184" s="1" t="s">
        <v>81</v>
      </c>
    </row>
    <row r="186" spans="2:6" x14ac:dyDescent="0.2">
      <c r="B186" s="1" t="s">
        <v>82</v>
      </c>
      <c r="F186" s="1" t="s">
        <v>83</v>
      </c>
    </row>
    <row r="187" spans="2:6" x14ac:dyDescent="0.2">
      <c r="B187" s="1" t="s">
        <v>84</v>
      </c>
      <c r="D187" s="3">
        <v>15000000</v>
      </c>
      <c r="E187" s="3"/>
      <c r="F187" s="3"/>
    </row>
    <row r="188" spans="2:6" x14ac:dyDescent="0.2">
      <c r="B188" s="1" t="s">
        <v>60</v>
      </c>
      <c r="D188" s="3">
        <v>22000000</v>
      </c>
      <c r="E188" s="3"/>
      <c r="F188" s="3">
        <v>20000000</v>
      </c>
    </row>
    <row r="189" spans="2:6" x14ac:dyDescent="0.2">
      <c r="B189" s="1" t="s">
        <v>85</v>
      </c>
      <c r="D189" s="3">
        <v>7000000</v>
      </c>
      <c r="E189" s="3"/>
      <c r="F189" s="3"/>
    </row>
    <row r="190" spans="2:6" x14ac:dyDescent="0.2">
      <c r="B190" s="1" t="s">
        <v>86</v>
      </c>
      <c r="D190" s="1">
        <v>10</v>
      </c>
      <c r="F190" s="1">
        <v>20</v>
      </c>
    </row>
    <row r="193" spans="2:7" x14ac:dyDescent="0.2">
      <c r="B193" s="1" t="s">
        <v>87</v>
      </c>
      <c r="D193" s="3">
        <f>+F188-D187</f>
        <v>5000000</v>
      </c>
      <c r="G193" s="1" t="s">
        <v>88</v>
      </c>
    </row>
    <row r="196" spans="2:7" x14ac:dyDescent="0.2">
      <c r="B196" s="1" t="s">
        <v>89</v>
      </c>
      <c r="D196" s="3">
        <f>+F188</f>
        <v>20000000</v>
      </c>
    </row>
    <row r="197" spans="2:7" x14ac:dyDescent="0.2">
      <c r="B197" s="1" t="s">
        <v>91</v>
      </c>
      <c r="D197" s="3">
        <f>+D189</f>
        <v>7000000</v>
      </c>
    </row>
    <row r="198" spans="2:7" x14ac:dyDescent="0.2">
      <c r="B198" s="1" t="s">
        <v>90</v>
      </c>
      <c r="E198" s="3">
        <f>+D188</f>
        <v>22000000</v>
      </c>
    </row>
    <row r="199" spans="2:7" x14ac:dyDescent="0.2">
      <c r="B199" s="1" t="s">
        <v>92</v>
      </c>
      <c r="E199" s="3">
        <f>+D197+D196-E198</f>
        <v>5000000</v>
      </c>
    </row>
    <row r="202" spans="2:7" x14ac:dyDescent="0.2">
      <c r="B202" s="1" t="s">
        <v>93</v>
      </c>
      <c r="F202" s="1" t="s">
        <v>94</v>
      </c>
    </row>
    <row r="203" spans="2:7" x14ac:dyDescent="0.2">
      <c r="B203" s="1" t="s">
        <v>60</v>
      </c>
      <c r="D203" s="3">
        <v>15000000</v>
      </c>
      <c r="E203" s="3"/>
      <c r="F203" s="3">
        <v>5700000</v>
      </c>
    </row>
    <row r="204" spans="2:7" x14ac:dyDescent="0.2">
      <c r="B204" s="1" t="s">
        <v>85</v>
      </c>
      <c r="D204" s="3">
        <v>10000000</v>
      </c>
      <c r="E204" s="3"/>
      <c r="F204" s="3"/>
    </row>
    <row r="205" spans="2:7" x14ac:dyDescent="0.2">
      <c r="B205" s="1" t="s">
        <v>95</v>
      </c>
      <c r="D205" s="3">
        <f>+D203-D204</f>
        <v>5000000</v>
      </c>
      <c r="E205" s="3"/>
      <c r="F205" s="3"/>
    </row>
    <row r="206" spans="2:7" x14ac:dyDescent="0.2">
      <c r="D206" s="3"/>
      <c r="E206" s="3"/>
      <c r="F206" s="3"/>
    </row>
    <row r="207" spans="2:7" x14ac:dyDescent="0.2">
      <c r="B207" s="1" t="s">
        <v>96</v>
      </c>
      <c r="D207" s="3"/>
      <c r="E207" s="3"/>
      <c r="F207" s="3">
        <v>1500000</v>
      </c>
    </row>
    <row r="210" spans="2:5" x14ac:dyDescent="0.2">
      <c r="B210" s="1" t="s">
        <v>97</v>
      </c>
      <c r="D210" s="3">
        <f>+F203</f>
        <v>5700000</v>
      </c>
    </row>
    <row r="211" spans="2:5" x14ac:dyDescent="0.2">
      <c r="B211" s="1" t="s">
        <v>98</v>
      </c>
      <c r="D211" s="3">
        <f>+F207</f>
        <v>1500000</v>
      </c>
    </row>
    <row r="212" spans="2:5" x14ac:dyDescent="0.2">
      <c r="B212" s="1" t="s">
        <v>100</v>
      </c>
      <c r="D212" s="3">
        <f>+D204</f>
        <v>10000000</v>
      </c>
    </row>
    <row r="213" spans="2:5" x14ac:dyDescent="0.2">
      <c r="B213" s="1" t="s">
        <v>99</v>
      </c>
      <c r="E213" s="3">
        <f>+D203</f>
        <v>15000000</v>
      </c>
    </row>
    <row r="214" spans="2:5" x14ac:dyDescent="0.2">
      <c r="B214" s="1" t="s">
        <v>101</v>
      </c>
      <c r="E214" s="3">
        <f>+D212+D211+D210-E213</f>
        <v>2200000</v>
      </c>
    </row>
    <row r="215" spans="2:5" x14ac:dyDescent="0.2">
      <c r="B215" s="1" t="s">
        <v>102</v>
      </c>
    </row>
    <row r="217" spans="2:5" x14ac:dyDescent="0.2">
      <c r="B217" s="1" t="s">
        <v>103</v>
      </c>
    </row>
    <row r="222" spans="2:5" x14ac:dyDescent="0.2">
      <c r="B222" s="1" t="s">
        <v>104</v>
      </c>
    </row>
    <row r="223" spans="2:5" x14ac:dyDescent="0.2">
      <c r="B223" s="1" t="s">
        <v>33</v>
      </c>
      <c r="C223" s="4">
        <v>45657</v>
      </c>
    </row>
    <row r="226" spans="2:6" x14ac:dyDescent="0.2">
      <c r="B226" s="1" t="s">
        <v>105</v>
      </c>
      <c r="E226" s="3">
        <v>7000000</v>
      </c>
    </row>
    <row r="227" spans="2:6" x14ac:dyDescent="0.2">
      <c r="B227" s="1" t="s">
        <v>85</v>
      </c>
      <c r="E227" s="3">
        <v>-1400000</v>
      </c>
    </row>
    <row r="228" spans="2:6" ht="12.75" thickBot="1" x14ac:dyDescent="0.25">
      <c r="B228" s="1" t="s">
        <v>106</v>
      </c>
      <c r="E228" s="5">
        <f>SUM(E226:E227)</f>
        <v>5600000</v>
      </c>
    </row>
    <row r="229" spans="2:6" ht="12.75" thickTop="1" x14ac:dyDescent="0.2"/>
    <row r="230" spans="2:6" x14ac:dyDescent="0.2">
      <c r="B230" s="1" t="s">
        <v>107</v>
      </c>
      <c r="C230" s="4">
        <v>45658</v>
      </c>
      <c r="E230" s="3">
        <v>8300000</v>
      </c>
    </row>
    <row r="232" spans="2:6" x14ac:dyDescent="0.2">
      <c r="B232" s="1" t="s">
        <v>108</v>
      </c>
      <c r="E232" s="3">
        <f>+E230-E228</f>
        <v>2700000</v>
      </c>
      <c r="F232" s="1" t="s">
        <v>361</v>
      </c>
    </row>
    <row r="233" spans="2:6" x14ac:dyDescent="0.2">
      <c r="B233" s="1" t="s">
        <v>109</v>
      </c>
      <c r="E233" s="3">
        <f>+E227</f>
        <v>-1400000</v>
      </c>
      <c r="F233" s="1" t="s">
        <v>197</v>
      </c>
    </row>
    <row r="234" spans="2:6" x14ac:dyDescent="0.2">
      <c r="B234" s="1" t="s">
        <v>60</v>
      </c>
      <c r="E234" s="3">
        <f>SUM(E232:E233)</f>
        <v>1300000</v>
      </c>
      <c r="F234" s="1" t="s">
        <v>639</v>
      </c>
    </row>
    <row r="236" spans="2:6" x14ac:dyDescent="0.2">
      <c r="B236" s="1" t="s">
        <v>60</v>
      </c>
      <c r="E236" s="3">
        <f>+E230</f>
        <v>8300000</v>
      </c>
    </row>
    <row r="237" spans="2:6" x14ac:dyDescent="0.2">
      <c r="B237" s="1" t="s">
        <v>110</v>
      </c>
      <c r="E237" s="3">
        <f>+E236/16</f>
        <v>518750</v>
      </c>
    </row>
    <row r="238" spans="2:6" x14ac:dyDescent="0.2">
      <c r="B238" s="1" t="s">
        <v>111</v>
      </c>
      <c r="E238" s="3">
        <f>+E236-E237</f>
        <v>7781250</v>
      </c>
    </row>
    <row r="241" spans="2:6" x14ac:dyDescent="0.2">
      <c r="B241" s="1" t="s">
        <v>15</v>
      </c>
      <c r="E241" s="3">
        <f>+E234</f>
        <v>1300000</v>
      </c>
    </row>
    <row r="242" spans="2:6" x14ac:dyDescent="0.2">
      <c r="B242" s="1" t="s">
        <v>112</v>
      </c>
      <c r="E242" s="3">
        <f>-E233</f>
        <v>1400000</v>
      </c>
    </row>
    <row r="243" spans="2:6" x14ac:dyDescent="0.2">
      <c r="B243" s="1" t="s">
        <v>113</v>
      </c>
      <c r="F243" s="3">
        <f>SUM(E241:E242)</f>
        <v>2700000</v>
      </c>
    </row>
    <row r="244" spans="2:6" x14ac:dyDescent="0.2">
      <c r="B244" s="1" t="s">
        <v>114</v>
      </c>
    </row>
    <row r="246" spans="2:6" x14ac:dyDescent="0.2">
      <c r="B246" s="1" t="s">
        <v>24</v>
      </c>
      <c r="E246" s="3">
        <f>+E237</f>
        <v>518750</v>
      </c>
    </row>
    <row r="247" spans="2:6" x14ac:dyDescent="0.2">
      <c r="B247" s="1" t="s">
        <v>115</v>
      </c>
      <c r="F247" s="3">
        <f>+E246</f>
        <v>518750</v>
      </c>
    </row>
    <row r="248" spans="2:6" x14ac:dyDescent="0.2">
      <c r="B248" s="1" t="s">
        <v>116</v>
      </c>
    </row>
    <row r="251" spans="2:6" x14ac:dyDescent="0.2">
      <c r="B251" s="1" t="s">
        <v>117</v>
      </c>
    </row>
    <row r="253" spans="2:6" x14ac:dyDescent="0.2">
      <c r="B253" s="1" t="s">
        <v>118</v>
      </c>
      <c r="E253" s="3">
        <f>+E232/16</f>
        <v>168750</v>
      </c>
      <c r="F253" s="3"/>
    </row>
    <row r="254" spans="2:6" x14ac:dyDescent="0.2">
      <c r="B254" s="1" t="s">
        <v>119</v>
      </c>
      <c r="E254" s="3"/>
      <c r="F254" s="3">
        <f>+E253</f>
        <v>168750</v>
      </c>
    </row>
    <row r="257" spans="2:5" x14ac:dyDescent="0.2">
      <c r="B257" s="1" t="s">
        <v>120</v>
      </c>
    </row>
    <row r="259" spans="2:5" x14ac:dyDescent="0.2">
      <c r="B259" s="1" t="s">
        <v>121</v>
      </c>
      <c r="E259" s="3">
        <f>+E230</f>
        <v>8300000</v>
      </c>
    </row>
    <row r="260" spans="2:5" x14ac:dyDescent="0.2">
      <c r="B260" s="1" t="s">
        <v>122</v>
      </c>
      <c r="E260" s="3">
        <f>+E246</f>
        <v>518750</v>
      </c>
    </row>
    <row r="261" spans="2:5" ht="12.75" thickBot="1" x14ac:dyDescent="0.25">
      <c r="B261" s="1" t="s">
        <v>123</v>
      </c>
      <c r="E261" s="7">
        <f>+E259-E260</f>
        <v>7781250</v>
      </c>
    </row>
    <row r="262" spans="2:5" ht="12.75" thickTop="1" x14ac:dyDescent="0.2"/>
    <row r="263" spans="2:5" x14ac:dyDescent="0.2">
      <c r="B263" s="1" t="s">
        <v>124</v>
      </c>
    </row>
    <row r="266" spans="2:5" x14ac:dyDescent="0.2">
      <c r="B266" s="1" t="s">
        <v>125</v>
      </c>
    </row>
    <row r="268" spans="2:5" x14ac:dyDescent="0.2">
      <c r="B268" s="1" t="s">
        <v>33</v>
      </c>
      <c r="C268" s="4">
        <v>46022</v>
      </c>
    </row>
    <row r="270" spans="2:5" x14ac:dyDescent="0.2">
      <c r="B270" s="1" t="s">
        <v>126</v>
      </c>
      <c r="C270" s="4">
        <v>45657</v>
      </c>
      <c r="D270" s="3">
        <v>8000000</v>
      </c>
    </row>
    <row r="271" spans="2:5" x14ac:dyDescent="0.2">
      <c r="B271" s="1" t="s">
        <v>127</v>
      </c>
      <c r="C271" s="4">
        <v>45657</v>
      </c>
      <c r="D271" s="3">
        <v>7500000</v>
      </c>
    </row>
    <row r="272" spans="2:5" x14ac:dyDescent="0.2">
      <c r="B272" s="1" t="s">
        <v>128</v>
      </c>
      <c r="D272" s="3">
        <f>+D270-D271</f>
        <v>500000</v>
      </c>
    </row>
    <row r="273" spans="2:6" x14ac:dyDescent="0.2">
      <c r="B273" s="1" t="s">
        <v>129</v>
      </c>
      <c r="D273" s="1">
        <v>40</v>
      </c>
      <c r="E273" s="1" t="s">
        <v>130</v>
      </c>
    </row>
    <row r="274" spans="2:6" x14ac:dyDescent="0.2">
      <c r="B274" s="1" t="s">
        <v>131</v>
      </c>
      <c r="D274" s="3">
        <v>187500</v>
      </c>
    </row>
    <row r="275" spans="2:6" x14ac:dyDescent="0.2">
      <c r="B275" s="1" t="s">
        <v>132</v>
      </c>
      <c r="D275" s="3">
        <v>200000</v>
      </c>
      <c r="F275" s="1">
        <v>0</v>
      </c>
    </row>
    <row r="276" spans="2:6" x14ac:dyDescent="0.2">
      <c r="B276" s="1" t="s">
        <v>133</v>
      </c>
      <c r="C276" s="4">
        <v>46022</v>
      </c>
      <c r="D276" s="3">
        <v>8100000</v>
      </c>
    </row>
    <row r="277" spans="2:6" x14ac:dyDescent="0.2">
      <c r="B277" s="1" t="s">
        <v>111</v>
      </c>
      <c r="C277" s="4">
        <v>46022</v>
      </c>
      <c r="D277" s="15">
        <f>+D271-D274</f>
        <v>7312500</v>
      </c>
    </row>
    <row r="278" spans="2:6" x14ac:dyDescent="0.2">
      <c r="B278" s="1" t="s">
        <v>134</v>
      </c>
      <c r="D278" s="6">
        <f>+D276-D277</f>
        <v>787500</v>
      </c>
    </row>
    <row r="279" spans="2:6" x14ac:dyDescent="0.2">
      <c r="B279" s="1" t="s">
        <v>111</v>
      </c>
      <c r="C279" s="4">
        <v>46022</v>
      </c>
      <c r="D279" s="3">
        <f>+D271-D274</f>
        <v>7312500</v>
      </c>
    </row>
    <row r="280" spans="2:6" x14ac:dyDescent="0.2">
      <c r="B280" s="1" t="s">
        <v>135</v>
      </c>
      <c r="D280" s="3">
        <f>+D270-D275</f>
        <v>7800000</v>
      </c>
    </row>
    <row r="281" spans="2:6" x14ac:dyDescent="0.2">
      <c r="B281" s="1" t="s">
        <v>136</v>
      </c>
      <c r="D281" s="3">
        <f>+D280-D279</f>
        <v>487500</v>
      </c>
      <c r="E281" s="1" t="s">
        <v>640</v>
      </c>
    </row>
    <row r="282" spans="2:6" ht="12.75" thickBot="1" x14ac:dyDescent="0.25">
      <c r="B282" s="1" t="s">
        <v>137</v>
      </c>
      <c r="D282" s="5">
        <f>+D278-D281</f>
        <v>300000</v>
      </c>
      <c r="E282" s="1" t="s">
        <v>361</v>
      </c>
    </row>
    <row r="283" spans="2:6" ht="12.75" thickTop="1" x14ac:dyDescent="0.2"/>
    <row r="284" spans="2:6" x14ac:dyDescent="0.2">
      <c r="B284" s="1" t="s">
        <v>138</v>
      </c>
      <c r="D284" s="3">
        <f>+D278</f>
        <v>787500</v>
      </c>
    </row>
    <row r="285" spans="2:6" x14ac:dyDescent="0.2">
      <c r="B285" s="1" t="s">
        <v>139</v>
      </c>
      <c r="E285" s="3">
        <f>+D281</f>
        <v>487500</v>
      </c>
    </row>
    <row r="286" spans="2:6" x14ac:dyDescent="0.2">
      <c r="B286" s="1" t="s">
        <v>140</v>
      </c>
      <c r="E286" s="3">
        <f>+D282</f>
        <v>300000</v>
      </c>
    </row>
    <row r="288" spans="2:6" x14ac:dyDescent="0.2">
      <c r="B288" s="1" t="s">
        <v>641</v>
      </c>
    </row>
    <row r="289" spans="2:2" x14ac:dyDescent="0.2">
      <c r="B289" s="1" t="s">
        <v>642</v>
      </c>
    </row>
    <row r="308" spans="2:5" x14ac:dyDescent="0.2">
      <c r="B308" s="1" t="s">
        <v>141</v>
      </c>
    </row>
    <row r="310" spans="2:5" x14ac:dyDescent="0.2">
      <c r="B310" s="1" t="s">
        <v>142</v>
      </c>
      <c r="C310" s="4">
        <v>45658</v>
      </c>
      <c r="D310" s="3">
        <v>8300000</v>
      </c>
    </row>
    <row r="311" spans="2:5" x14ac:dyDescent="0.2">
      <c r="B311" s="1" t="s">
        <v>143</v>
      </c>
      <c r="C311" s="4">
        <v>45658</v>
      </c>
      <c r="D311" s="3">
        <v>2700000</v>
      </c>
    </row>
    <row r="312" spans="2:5" x14ac:dyDescent="0.2">
      <c r="B312" s="1" t="s">
        <v>144</v>
      </c>
      <c r="D312" s="1">
        <v>16</v>
      </c>
      <c r="E312" s="1" t="s">
        <v>130</v>
      </c>
    </row>
    <row r="313" spans="2:5" x14ac:dyDescent="0.2">
      <c r="B313" s="1" t="s">
        <v>85</v>
      </c>
      <c r="D313" s="3">
        <f>3/16*D310</f>
        <v>1556250</v>
      </c>
    </row>
    <row r="314" spans="2:5" x14ac:dyDescent="0.2">
      <c r="B314" s="1" t="s">
        <v>111</v>
      </c>
      <c r="C314" s="4">
        <v>46752</v>
      </c>
      <c r="D314" s="3">
        <f>+D310-D313</f>
        <v>6743750</v>
      </c>
    </row>
    <row r="315" spans="2:5" x14ac:dyDescent="0.2">
      <c r="B315" s="1" t="s">
        <v>133</v>
      </c>
      <c r="C315" s="4">
        <v>46753</v>
      </c>
      <c r="D315" s="3">
        <v>4000000</v>
      </c>
    </row>
    <row r="316" spans="2:5" ht="12.75" thickBot="1" x14ac:dyDescent="0.25">
      <c r="B316" s="1" t="s">
        <v>145</v>
      </c>
      <c r="D316" s="5">
        <f>+D314-D315</f>
        <v>2743750</v>
      </c>
    </row>
    <row r="317" spans="2:5" ht="12.75" thickTop="1" x14ac:dyDescent="0.2"/>
    <row r="318" spans="2:5" x14ac:dyDescent="0.2">
      <c r="B318" s="1" t="s">
        <v>146</v>
      </c>
      <c r="C318" s="4">
        <v>45658</v>
      </c>
      <c r="D318" s="3">
        <f>+D311</f>
        <v>2700000</v>
      </c>
    </row>
    <row r="319" spans="2:5" x14ac:dyDescent="0.2">
      <c r="B319" s="1" t="s">
        <v>147</v>
      </c>
      <c r="D319" s="3">
        <f>3/16*D318</f>
        <v>506250</v>
      </c>
    </row>
    <row r="320" spans="2:5" ht="12.75" thickBot="1" x14ac:dyDescent="0.25">
      <c r="B320" s="1" t="s">
        <v>111</v>
      </c>
      <c r="C320" s="4">
        <v>46752</v>
      </c>
      <c r="D320" s="5">
        <f>+D318-D319</f>
        <v>2193750</v>
      </c>
    </row>
    <row r="321" spans="2:6" ht="12.75" thickTop="1" x14ac:dyDescent="0.2"/>
    <row r="322" spans="2:6" x14ac:dyDescent="0.2">
      <c r="B322" s="1" t="s">
        <v>148</v>
      </c>
      <c r="D322" s="3">
        <f>+D316-D320</f>
        <v>550000</v>
      </c>
    </row>
    <row r="325" spans="2:6" x14ac:dyDescent="0.2">
      <c r="B325" s="1" t="s">
        <v>149</v>
      </c>
      <c r="E325" s="3">
        <f>+D313</f>
        <v>1556250</v>
      </c>
    </row>
    <row r="326" spans="2:6" x14ac:dyDescent="0.2">
      <c r="B326" s="1" t="s">
        <v>150</v>
      </c>
      <c r="E326" s="3">
        <f>+D320</f>
        <v>2193750</v>
      </c>
    </row>
    <row r="327" spans="2:6" x14ac:dyDescent="0.2">
      <c r="B327" s="1" t="s">
        <v>151</v>
      </c>
      <c r="E327" s="3">
        <f>+D322</f>
        <v>550000</v>
      </c>
    </row>
    <row r="328" spans="2:6" x14ac:dyDescent="0.2">
      <c r="C328" s="1" t="s">
        <v>152</v>
      </c>
      <c r="F328" s="3">
        <f>SUM(E325:E327)</f>
        <v>4300000</v>
      </c>
    </row>
    <row r="329" spans="2:6" x14ac:dyDescent="0.2">
      <c r="B329" s="1" t="s">
        <v>153</v>
      </c>
    </row>
  </sheetData>
  <hyperlinks>
    <hyperlink ref="A1" location="Main!A1" display="Main" xr:uid="{F6572F2E-BE9F-4021-A760-B7AF4A50DAB5}"/>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5EDEA-A94F-40AB-8E69-161D7E2B893C}">
  <dimension ref="A1:H96"/>
  <sheetViews>
    <sheetView topLeftCell="A61" zoomScale="190" zoomScaleNormal="190" workbookViewId="0">
      <selection activeCell="B85" sqref="B85"/>
    </sheetView>
  </sheetViews>
  <sheetFormatPr defaultRowHeight="12" x14ac:dyDescent="0.2"/>
  <cols>
    <col min="1" max="16384" width="9.140625" style="1"/>
  </cols>
  <sheetData>
    <row r="1" spans="1:6" ht="15" x14ac:dyDescent="0.25">
      <c r="A1" s="2" t="s">
        <v>10</v>
      </c>
    </row>
    <row r="4" spans="1:6" x14ac:dyDescent="0.2">
      <c r="B4" s="1" t="s">
        <v>154</v>
      </c>
    </row>
    <row r="5" spans="1:6" x14ac:dyDescent="0.2">
      <c r="B5" s="1" t="s">
        <v>33</v>
      </c>
      <c r="C5" s="4">
        <v>45838</v>
      </c>
    </row>
    <row r="6" spans="1:6" x14ac:dyDescent="0.2">
      <c r="B6" s="1" t="s">
        <v>155</v>
      </c>
      <c r="C6" s="4"/>
    </row>
    <row r="7" spans="1:6" x14ac:dyDescent="0.2">
      <c r="B7" s="1" t="s">
        <v>156</v>
      </c>
      <c r="C7" s="4">
        <v>45474</v>
      </c>
    </row>
    <row r="8" spans="1:6" x14ac:dyDescent="0.2">
      <c r="C8" s="1" t="s">
        <v>94</v>
      </c>
      <c r="D8" s="1" t="s">
        <v>157</v>
      </c>
      <c r="E8" s="1" t="s">
        <v>158</v>
      </c>
      <c r="F8" s="1" t="s">
        <v>159</v>
      </c>
    </row>
    <row r="9" spans="1:6" x14ac:dyDescent="0.2">
      <c r="B9" s="1" t="s">
        <v>105</v>
      </c>
      <c r="C9" s="3">
        <v>4100</v>
      </c>
      <c r="D9" s="3">
        <v>11100</v>
      </c>
      <c r="E9" s="3">
        <v>8900</v>
      </c>
      <c r="F9" s="3">
        <v>1400</v>
      </c>
    </row>
    <row r="10" spans="1:6" x14ac:dyDescent="0.2">
      <c r="B10" s="1" t="s">
        <v>85</v>
      </c>
      <c r="C10" s="3">
        <v>0</v>
      </c>
      <c r="D10" s="3">
        <v>3600</v>
      </c>
      <c r="E10" s="3">
        <v>4850</v>
      </c>
      <c r="F10" s="3">
        <v>610</v>
      </c>
    </row>
    <row r="11" spans="1:6" ht="12.75" thickBot="1" x14ac:dyDescent="0.25">
      <c r="B11" s="1" t="s">
        <v>111</v>
      </c>
      <c r="C11" s="5">
        <f>SUM(C9:C10)</f>
        <v>4100</v>
      </c>
      <c r="D11" s="5">
        <f>+D9-D10</f>
        <v>7500</v>
      </c>
      <c r="E11" s="5">
        <f t="shared" ref="E11:F11" si="0">+E9-E10</f>
        <v>4050</v>
      </c>
      <c r="F11" s="5">
        <f t="shared" si="0"/>
        <v>790</v>
      </c>
    </row>
    <row r="12" spans="1:6" ht="12.75" thickTop="1" x14ac:dyDescent="0.2"/>
    <row r="14" spans="1:6" x14ac:dyDescent="0.2">
      <c r="B14" s="1" t="s">
        <v>160</v>
      </c>
    </row>
    <row r="15" spans="1:6" x14ac:dyDescent="0.2">
      <c r="B15" s="1" t="s">
        <v>161</v>
      </c>
    </row>
    <row r="16" spans="1:6" x14ac:dyDescent="0.2">
      <c r="B16" s="1" t="s">
        <v>162</v>
      </c>
    </row>
    <row r="19" spans="2:7" x14ac:dyDescent="0.2">
      <c r="B19" s="1" t="s">
        <v>163</v>
      </c>
    </row>
    <row r="20" spans="2:7" x14ac:dyDescent="0.2">
      <c r="B20" s="1" t="s">
        <v>164</v>
      </c>
      <c r="C20" s="4">
        <v>45627</v>
      </c>
      <c r="D20" s="3">
        <v>1100</v>
      </c>
    </row>
    <row r="22" spans="2:7" x14ac:dyDescent="0.2">
      <c r="B22" s="14" t="s">
        <v>94</v>
      </c>
    </row>
    <row r="23" spans="2:7" x14ac:dyDescent="0.2">
      <c r="B23" s="1" t="s">
        <v>165</v>
      </c>
      <c r="E23" s="3">
        <f>+D20</f>
        <v>1100</v>
      </c>
    </row>
    <row r="24" spans="2:7" x14ac:dyDescent="0.2">
      <c r="B24" s="1" t="s">
        <v>166</v>
      </c>
      <c r="F24" s="3">
        <f>+E23</f>
        <v>1100</v>
      </c>
      <c r="G24" s="18" t="s">
        <v>167</v>
      </c>
    </row>
    <row r="26" spans="2:7" x14ac:dyDescent="0.2">
      <c r="B26" s="14" t="s">
        <v>168</v>
      </c>
    </row>
    <row r="27" spans="2:7" x14ac:dyDescent="0.2">
      <c r="B27" s="1" t="s">
        <v>60</v>
      </c>
      <c r="C27" s="4">
        <v>45627</v>
      </c>
      <c r="D27" s="3">
        <f>(5700000-1100000)/1000</f>
        <v>4600</v>
      </c>
    </row>
    <row r="28" spans="2:7" x14ac:dyDescent="0.2">
      <c r="C28" s="3">
        <v>7</v>
      </c>
      <c r="D28" s="3">
        <f>7/12*D27*0.02</f>
        <v>53.666666666666671</v>
      </c>
    </row>
    <row r="29" spans="2:7" x14ac:dyDescent="0.2">
      <c r="B29" s="1" t="s">
        <v>169</v>
      </c>
      <c r="C29" s="3"/>
      <c r="D29" s="1">
        <f>+D9*0.02</f>
        <v>222</v>
      </c>
    </row>
    <row r="30" spans="2:7" x14ac:dyDescent="0.2">
      <c r="C30" s="3"/>
      <c r="D30" s="3">
        <f>SUM(D28:D29)</f>
        <v>275.66666666666669</v>
      </c>
      <c r="G30" s="18" t="s">
        <v>170</v>
      </c>
    </row>
    <row r="31" spans="2:7" x14ac:dyDescent="0.2">
      <c r="C31" s="3"/>
      <c r="D31" s="3"/>
    </row>
    <row r="32" spans="2:7" x14ac:dyDescent="0.2">
      <c r="B32" s="1" t="s">
        <v>171</v>
      </c>
      <c r="C32" s="3"/>
      <c r="D32" s="3"/>
      <c r="E32" s="3">
        <f>+D27</f>
        <v>4600</v>
      </c>
    </row>
    <row r="33" spans="2:7" x14ac:dyDescent="0.2">
      <c r="B33" s="1" t="s">
        <v>172</v>
      </c>
      <c r="C33" s="3"/>
      <c r="D33" s="3"/>
      <c r="E33" s="3"/>
      <c r="F33" s="3">
        <f>+E32</f>
        <v>4600</v>
      </c>
    </row>
    <row r="35" spans="2:7" x14ac:dyDescent="0.2">
      <c r="B35" s="1" t="s">
        <v>173</v>
      </c>
    </row>
    <row r="36" spans="2:7" x14ac:dyDescent="0.2">
      <c r="B36" s="1" t="s">
        <v>174</v>
      </c>
      <c r="E36" s="3">
        <f>+D30</f>
        <v>275.66666666666669</v>
      </c>
    </row>
    <row r="37" spans="2:7" x14ac:dyDescent="0.2">
      <c r="B37" s="1" t="s">
        <v>175</v>
      </c>
      <c r="F37" s="3">
        <f>+E36</f>
        <v>275.66666666666669</v>
      </c>
      <c r="G37" s="18" t="s">
        <v>176</v>
      </c>
    </row>
    <row r="40" spans="2:7" x14ac:dyDescent="0.2">
      <c r="B40" s="14" t="s">
        <v>158</v>
      </c>
    </row>
    <row r="41" spans="2:7" x14ac:dyDescent="0.2">
      <c r="B41" s="1" t="s">
        <v>177</v>
      </c>
      <c r="C41" s="1" t="s">
        <v>178</v>
      </c>
      <c r="D41" s="1" t="s">
        <v>179</v>
      </c>
      <c r="E41" s="1" t="s">
        <v>180</v>
      </c>
    </row>
    <row r="42" spans="2:7" x14ac:dyDescent="0.2">
      <c r="B42" s="1" t="s">
        <v>181</v>
      </c>
      <c r="C42" s="4">
        <v>45505</v>
      </c>
      <c r="D42" s="4">
        <v>45627</v>
      </c>
      <c r="E42" s="4">
        <v>45689</v>
      </c>
    </row>
    <row r="43" spans="2:7" x14ac:dyDescent="0.2">
      <c r="C43" s="1">
        <f>+_xlfn.DAYS($C$5,C42)/30</f>
        <v>11.1</v>
      </c>
      <c r="D43" s="1">
        <f t="shared" ref="D43:E43" si="1">+_xlfn.DAYS($C$5,D42)/30</f>
        <v>7.0333333333333332</v>
      </c>
      <c r="E43" s="1">
        <f t="shared" si="1"/>
        <v>4.9666666666666668</v>
      </c>
    </row>
    <row r="44" spans="2:7" x14ac:dyDescent="0.2">
      <c r="B44" s="1" t="s">
        <v>182</v>
      </c>
      <c r="C44" s="1">
        <v>11</v>
      </c>
      <c r="D44" s="1">
        <v>7</v>
      </c>
      <c r="E44" s="1">
        <v>5</v>
      </c>
    </row>
    <row r="45" spans="2:7" x14ac:dyDescent="0.2">
      <c r="B45" s="1" t="s">
        <v>60</v>
      </c>
      <c r="C45" s="1">
        <v>45</v>
      </c>
      <c r="D45" s="1">
        <v>185</v>
      </c>
      <c r="E45" s="1">
        <v>248</v>
      </c>
    </row>
    <row r="46" spans="2:7" x14ac:dyDescent="0.2">
      <c r="B46" s="1" t="s">
        <v>183</v>
      </c>
      <c r="C46" s="3">
        <f>+C44/12*C45*0.2</f>
        <v>8.25</v>
      </c>
      <c r="D46" s="3">
        <f t="shared" ref="D46:E46" si="2">+D44/12*D45*0.2</f>
        <v>21.583333333333336</v>
      </c>
      <c r="E46" s="3">
        <f t="shared" si="2"/>
        <v>20.666666666666671</v>
      </c>
      <c r="F46" s="3">
        <f>SUM(C46:E46)</f>
        <v>50.500000000000007</v>
      </c>
    </row>
    <row r="48" spans="2:7" x14ac:dyDescent="0.2">
      <c r="B48" s="1" t="s">
        <v>184</v>
      </c>
    </row>
    <row r="49" spans="2:7" x14ac:dyDescent="0.2">
      <c r="B49" s="1" t="s">
        <v>111</v>
      </c>
      <c r="C49" s="3">
        <f>+E11</f>
        <v>4050</v>
      </c>
    </row>
    <row r="50" spans="2:7" x14ac:dyDescent="0.2">
      <c r="B50" s="1" t="s">
        <v>185</v>
      </c>
      <c r="C50" s="1">
        <f>0.2*C49</f>
        <v>810</v>
      </c>
    </row>
    <row r="52" spans="2:7" x14ac:dyDescent="0.2">
      <c r="B52" s="1" t="s">
        <v>186</v>
      </c>
      <c r="E52" s="3">
        <f>+C50+F46</f>
        <v>860.5</v>
      </c>
    </row>
    <row r="53" spans="2:7" x14ac:dyDescent="0.2">
      <c r="B53" s="1" t="s">
        <v>187</v>
      </c>
      <c r="F53" s="3">
        <f>+E52</f>
        <v>860.5</v>
      </c>
      <c r="G53" s="18" t="s">
        <v>188</v>
      </c>
    </row>
    <row r="56" spans="2:7" x14ac:dyDescent="0.2">
      <c r="B56" s="14" t="s">
        <v>189</v>
      </c>
    </row>
    <row r="57" spans="2:7" x14ac:dyDescent="0.2">
      <c r="B57" s="1" t="s">
        <v>190</v>
      </c>
    </row>
    <row r="58" spans="2:7" x14ac:dyDescent="0.2">
      <c r="B58" s="1" t="s">
        <v>191</v>
      </c>
      <c r="C58" s="4">
        <v>44440</v>
      </c>
      <c r="D58" s="3">
        <v>140000</v>
      </c>
    </row>
    <row r="59" spans="2:7" x14ac:dyDescent="0.2">
      <c r="C59" s="4">
        <v>45599</v>
      </c>
    </row>
    <row r="60" spans="2:7" x14ac:dyDescent="0.2">
      <c r="C60" s="3">
        <f>+YEARFRAC(C58,C59,1)*12</f>
        <v>38.078028747433265</v>
      </c>
      <c r="G60" s="1" t="s">
        <v>192</v>
      </c>
    </row>
    <row r="61" spans="2:7" x14ac:dyDescent="0.2">
      <c r="C61" s="1">
        <f>12*4</f>
        <v>48</v>
      </c>
    </row>
    <row r="62" spans="2:7" x14ac:dyDescent="0.2">
      <c r="B62" s="1" t="s">
        <v>85</v>
      </c>
      <c r="D62" s="3">
        <f>C60/C61*D58</f>
        <v>111060.91718001368</v>
      </c>
    </row>
    <row r="63" spans="2:7" x14ac:dyDescent="0.2">
      <c r="B63" s="1" t="s">
        <v>111</v>
      </c>
      <c r="D63" s="3">
        <f>+D58-D62</f>
        <v>28939.082819986317</v>
      </c>
    </row>
    <row r="64" spans="2:7" x14ac:dyDescent="0.2">
      <c r="B64" s="1" t="s">
        <v>193</v>
      </c>
      <c r="D64" s="1">
        <v>68000</v>
      </c>
    </row>
    <row r="65" spans="2:7" x14ac:dyDescent="0.2">
      <c r="B65" s="1" t="s">
        <v>87</v>
      </c>
      <c r="D65" s="3">
        <f>+D64-D63</f>
        <v>39060.917180013683</v>
      </c>
      <c r="E65" s="1" t="s">
        <v>194</v>
      </c>
    </row>
    <row r="66" spans="2:7" x14ac:dyDescent="0.2">
      <c r="D66" s="3"/>
    </row>
    <row r="67" spans="2:7" x14ac:dyDescent="0.2">
      <c r="B67" s="1" t="s">
        <v>195</v>
      </c>
      <c r="D67" s="3">
        <v>210000</v>
      </c>
    </row>
    <row r="68" spans="2:7" x14ac:dyDescent="0.2">
      <c r="D68" s="3">
        <f>+D58</f>
        <v>140000</v>
      </c>
    </row>
    <row r="69" spans="2:7" x14ac:dyDescent="0.2">
      <c r="D69" s="3">
        <f>+D67-D68</f>
        <v>70000</v>
      </c>
    </row>
    <row r="70" spans="2:7" x14ac:dyDescent="0.2">
      <c r="D70" s="3"/>
    </row>
    <row r="71" spans="2:7" x14ac:dyDescent="0.2">
      <c r="B71" s="1" t="s">
        <v>196</v>
      </c>
      <c r="D71" s="3"/>
      <c r="E71" s="3">
        <f>+D69</f>
        <v>70000</v>
      </c>
    </row>
    <row r="72" spans="2:7" x14ac:dyDescent="0.2">
      <c r="B72" s="1" t="s">
        <v>197</v>
      </c>
      <c r="E72" s="3">
        <f>+D62</f>
        <v>111060.91718001368</v>
      </c>
    </row>
    <row r="73" spans="2:7" x14ac:dyDescent="0.2">
      <c r="B73" s="1" t="s">
        <v>198</v>
      </c>
      <c r="E73" s="3"/>
      <c r="F73" s="3">
        <f>+D65</f>
        <v>39060.917180013683</v>
      </c>
    </row>
    <row r="74" spans="2:7" x14ac:dyDescent="0.2">
      <c r="B74" s="1" t="s">
        <v>199</v>
      </c>
      <c r="E74" s="3"/>
      <c r="F74" s="3">
        <f>+E72+E71-F73</f>
        <v>142000</v>
      </c>
    </row>
    <row r="75" spans="2:7" x14ac:dyDescent="0.2">
      <c r="B75" s="1" t="s">
        <v>200</v>
      </c>
    </row>
    <row r="77" spans="2:7" x14ac:dyDescent="0.2">
      <c r="B77" s="1" t="s">
        <v>201</v>
      </c>
      <c r="C77" s="4">
        <v>45474</v>
      </c>
      <c r="E77" s="3"/>
    </row>
    <row r="78" spans="2:7" x14ac:dyDescent="0.2">
      <c r="B78" s="1" t="s">
        <v>202</v>
      </c>
      <c r="C78" s="4">
        <f>+C59</f>
        <v>45599</v>
      </c>
      <c r="D78" s="3">
        <f>YEARFRAC(C77,C78,1)*12</f>
        <v>4.0983606557377046</v>
      </c>
      <c r="E78" s="3">
        <f>+F9</f>
        <v>1400</v>
      </c>
      <c r="F78" s="3">
        <f>+D78/48*E78</f>
        <v>119.53551912568305</v>
      </c>
    </row>
    <row r="79" spans="2:7" x14ac:dyDescent="0.2">
      <c r="C79" s="4">
        <f>+C5</f>
        <v>45838</v>
      </c>
      <c r="D79" s="3">
        <f>YEARFRAC(C78,C79,1)*12</f>
        <v>7.8575342465753426</v>
      </c>
      <c r="E79" s="3">
        <f>+E78+D69/1000</f>
        <v>1470</v>
      </c>
      <c r="F79" s="3">
        <f>+D79/48*E79</f>
        <v>240.63698630136986</v>
      </c>
      <c r="G79" s="1" t="s">
        <v>203</v>
      </c>
    </row>
    <row r="80" spans="2:7" x14ac:dyDescent="0.2">
      <c r="B80" s="1" t="s">
        <v>204</v>
      </c>
      <c r="F80" s="6">
        <f>SUM(F78:F79)</f>
        <v>360.1725054270529</v>
      </c>
    </row>
    <row r="82" spans="2:8" x14ac:dyDescent="0.2">
      <c r="B82" s="1" t="s">
        <v>205</v>
      </c>
      <c r="E82" s="3">
        <f>+F80</f>
        <v>360.1725054270529</v>
      </c>
    </row>
    <row r="83" spans="2:8" x14ac:dyDescent="0.2">
      <c r="B83" s="1" t="s">
        <v>206</v>
      </c>
      <c r="F83" s="3">
        <f>+E82</f>
        <v>360.1725054270529</v>
      </c>
    </row>
    <row r="84" spans="2:8" x14ac:dyDescent="0.2">
      <c r="B84" s="1" t="s">
        <v>643</v>
      </c>
    </row>
    <row r="96" spans="2:8" x14ac:dyDescent="0.2">
      <c r="H96" s="3"/>
    </row>
  </sheetData>
  <hyperlinks>
    <hyperlink ref="A1" location="Main!A1" display="Main" xr:uid="{FFDFB78B-635F-4D88-AC7F-E51FBAA5D5A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B6E37-A445-4269-A9E5-C906BD5A7B87}">
  <dimension ref="A1:I150"/>
  <sheetViews>
    <sheetView topLeftCell="A115" zoomScale="175" zoomScaleNormal="175" workbookViewId="0">
      <selection activeCell="B151" sqref="B151"/>
    </sheetView>
  </sheetViews>
  <sheetFormatPr defaultRowHeight="12" x14ac:dyDescent="0.2"/>
  <cols>
    <col min="1" max="16384" width="9.140625" style="1"/>
  </cols>
  <sheetData>
    <row r="1" spans="1:3" ht="15" x14ac:dyDescent="0.25">
      <c r="A1" s="2" t="s">
        <v>10</v>
      </c>
    </row>
    <row r="4" spans="1:3" x14ac:dyDescent="0.2">
      <c r="B4" s="1" t="s">
        <v>208</v>
      </c>
    </row>
    <row r="6" spans="1:3" x14ac:dyDescent="0.2">
      <c r="B6" s="1" t="s">
        <v>33</v>
      </c>
      <c r="C6" s="4">
        <v>46265</v>
      </c>
    </row>
    <row r="9" spans="1:3" x14ac:dyDescent="0.2">
      <c r="B9" s="1" t="s">
        <v>209</v>
      </c>
    </row>
    <row r="10" spans="1:3" x14ac:dyDescent="0.2">
      <c r="B10" s="1" t="s">
        <v>210</v>
      </c>
      <c r="C10" s="8"/>
    </row>
    <row r="11" spans="1:3" x14ac:dyDescent="0.2">
      <c r="B11" s="1" t="s">
        <v>211</v>
      </c>
    </row>
    <row r="14" spans="1:3" x14ac:dyDescent="0.2">
      <c r="B14" s="14" t="s">
        <v>94</v>
      </c>
    </row>
    <row r="17" spans="2:6" x14ac:dyDescent="0.2">
      <c r="B17" s="1" t="s">
        <v>60</v>
      </c>
      <c r="D17" s="3">
        <v>1250000</v>
      </c>
    </row>
    <row r="18" spans="2:6" x14ac:dyDescent="0.2">
      <c r="B18" s="1" t="s">
        <v>85</v>
      </c>
      <c r="D18" s="3">
        <v>0</v>
      </c>
    </row>
    <row r="19" spans="2:6" ht="12.75" thickBot="1" x14ac:dyDescent="0.25">
      <c r="B19" s="1" t="s">
        <v>111</v>
      </c>
      <c r="C19" s="4">
        <f>+C6</f>
        <v>46265</v>
      </c>
      <c r="D19" s="5">
        <f>+D17-D18</f>
        <v>1250000</v>
      </c>
    </row>
    <row r="20" spans="2:6" ht="12.75" thickTop="1" x14ac:dyDescent="0.2"/>
    <row r="21" spans="2:6" x14ac:dyDescent="0.2">
      <c r="B21" s="14" t="s">
        <v>168</v>
      </c>
    </row>
    <row r="23" spans="2:6" x14ac:dyDescent="0.2">
      <c r="B23" s="1" t="s">
        <v>212</v>
      </c>
      <c r="D23" s="3">
        <v>150000</v>
      </c>
    </row>
    <row r="24" spans="2:6" x14ac:dyDescent="0.2">
      <c r="B24" s="1" t="s">
        <v>213</v>
      </c>
      <c r="D24" s="3">
        <f>1000000-D23</f>
        <v>850000</v>
      </c>
    </row>
    <row r="25" spans="2:6" x14ac:dyDescent="0.2">
      <c r="B25" s="1" t="s">
        <v>85</v>
      </c>
      <c r="D25" s="3">
        <f>+D24*22/50</f>
        <v>374000</v>
      </c>
    </row>
    <row r="26" spans="2:6" x14ac:dyDescent="0.2">
      <c r="B26" s="1" t="s">
        <v>111</v>
      </c>
      <c r="C26" s="4">
        <v>46265</v>
      </c>
      <c r="D26" s="3">
        <f>+D24-D25</f>
        <v>476000</v>
      </c>
    </row>
    <row r="27" spans="2:6" x14ac:dyDescent="0.2">
      <c r="B27" s="1" t="s">
        <v>133</v>
      </c>
      <c r="C27" s="4">
        <v>46265</v>
      </c>
      <c r="D27" s="1">
        <v>1150000</v>
      </c>
    </row>
    <row r="28" spans="2:6" x14ac:dyDescent="0.2">
      <c r="B28" s="1" t="s">
        <v>143</v>
      </c>
      <c r="C28" s="4">
        <v>46265</v>
      </c>
      <c r="D28" s="3">
        <f>+D27-D26</f>
        <v>674000</v>
      </c>
    </row>
    <row r="30" spans="2:6" x14ac:dyDescent="0.2">
      <c r="F30" s="3"/>
    </row>
    <row r="31" spans="2:6" x14ac:dyDescent="0.2">
      <c r="B31" s="1" t="s">
        <v>214</v>
      </c>
      <c r="E31" s="3">
        <f>+F33-E32</f>
        <v>300000</v>
      </c>
      <c r="F31" s="3"/>
    </row>
    <row r="32" spans="2:6" x14ac:dyDescent="0.2">
      <c r="B32" s="1" t="s">
        <v>215</v>
      </c>
      <c r="E32" s="3">
        <f>+D25</f>
        <v>374000</v>
      </c>
      <c r="F32" s="3"/>
    </row>
    <row r="33" spans="2:6" x14ac:dyDescent="0.2">
      <c r="C33" s="1" t="s">
        <v>216</v>
      </c>
      <c r="F33" s="3">
        <f>+D28</f>
        <v>674000</v>
      </c>
    </row>
    <row r="35" spans="2:6" x14ac:dyDescent="0.2">
      <c r="B35" s="1" t="s">
        <v>217</v>
      </c>
    </row>
    <row r="37" spans="2:6" x14ac:dyDescent="0.2">
      <c r="B37" s="1" t="s">
        <v>94</v>
      </c>
      <c r="D37" s="1">
        <v>1250</v>
      </c>
    </row>
    <row r="38" spans="2:6" x14ac:dyDescent="0.2">
      <c r="B38" s="1" t="s">
        <v>168</v>
      </c>
      <c r="D38" s="3">
        <f>10000-D37</f>
        <v>8750</v>
      </c>
    </row>
    <row r="39" spans="2:6" x14ac:dyDescent="0.2">
      <c r="B39" s="1" t="s">
        <v>85</v>
      </c>
      <c r="D39" s="3">
        <v>1340</v>
      </c>
    </row>
    <row r="40" spans="2:6" x14ac:dyDescent="0.2">
      <c r="B40" s="1" t="s">
        <v>111</v>
      </c>
      <c r="C40" s="4">
        <v>45901</v>
      </c>
      <c r="D40" s="3">
        <f>+D38-D39+D37</f>
        <v>8660</v>
      </c>
    </row>
    <row r="43" spans="2:6" x14ac:dyDescent="0.2">
      <c r="B43" s="1" t="s">
        <v>218</v>
      </c>
      <c r="E43" s="1">
        <f>+D38*0.02</f>
        <v>175</v>
      </c>
    </row>
    <row r="44" spans="2:6" x14ac:dyDescent="0.2">
      <c r="C44" s="1" t="s">
        <v>219</v>
      </c>
      <c r="F44" s="1">
        <f>+E43</f>
        <v>175</v>
      </c>
    </row>
    <row r="46" spans="2:6" x14ac:dyDescent="0.2">
      <c r="B46" s="14" t="s">
        <v>220</v>
      </c>
    </row>
    <row r="48" spans="2:6" x14ac:dyDescent="0.2">
      <c r="B48" s="1" t="s">
        <v>221</v>
      </c>
    </row>
    <row r="50" spans="2:8" x14ac:dyDescent="0.2">
      <c r="B50" s="1" t="s">
        <v>222</v>
      </c>
      <c r="C50" s="1" t="s">
        <v>220</v>
      </c>
      <c r="D50" s="1" t="s">
        <v>223</v>
      </c>
      <c r="E50" s="1" t="s">
        <v>224</v>
      </c>
      <c r="F50" s="1" t="s">
        <v>225</v>
      </c>
    </row>
    <row r="51" spans="2:8" x14ac:dyDescent="0.2">
      <c r="B51" s="1" t="s">
        <v>226</v>
      </c>
      <c r="C51" s="4">
        <v>45930</v>
      </c>
      <c r="D51" s="4">
        <v>45930</v>
      </c>
      <c r="E51" s="4">
        <v>45961</v>
      </c>
      <c r="F51" s="4">
        <v>45991</v>
      </c>
      <c r="G51" s="4"/>
      <c r="H51" s="4"/>
    </row>
    <row r="52" spans="2:8" x14ac:dyDescent="0.2">
      <c r="C52" s="1">
        <v>670</v>
      </c>
      <c r="D52" s="1">
        <v>45</v>
      </c>
      <c r="E52" s="1">
        <v>115</v>
      </c>
      <c r="F52" s="1">
        <v>55</v>
      </c>
    </row>
    <row r="54" spans="2:8" x14ac:dyDescent="0.2">
      <c r="B54" s="1" t="s">
        <v>227</v>
      </c>
      <c r="C54" s="3">
        <v>22000</v>
      </c>
    </row>
    <row r="55" spans="2:8" x14ac:dyDescent="0.2">
      <c r="B55" s="1" t="s">
        <v>228</v>
      </c>
      <c r="C55" s="3">
        <v>23000</v>
      </c>
      <c r="D55" s="1" t="s">
        <v>229</v>
      </c>
    </row>
    <row r="56" spans="2:8" x14ac:dyDescent="0.2">
      <c r="B56" s="1" t="s">
        <v>230</v>
      </c>
      <c r="C56" s="3">
        <v>30000</v>
      </c>
      <c r="D56" s="1" t="s">
        <v>231</v>
      </c>
    </row>
    <row r="57" spans="2:8" x14ac:dyDescent="0.2">
      <c r="B57" s="1" t="s">
        <v>232</v>
      </c>
      <c r="C57" s="1">
        <v>0</v>
      </c>
      <c r="D57" s="1" t="s">
        <v>233</v>
      </c>
    </row>
    <row r="59" spans="2:8" x14ac:dyDescent="0.2">
      <c r="B59" s="1" t="s">
        <v>234</v>
      </c>
    </row>
    <row r="60" spans="2:8" x14ac:dyDescent="0.2">
      <c r="B60" s="1" t="s">
        <v>235</v>
      </c>
    </row>
    <row r="62" spans="2:8" x14ac:dyDescent="0.2">
      <c r="B62" s="1" t="s">
        <v>236</v>
      </c>
      <c r="D62" s="3"/>
      <c r="E62" s="3">
        <v>23000</v>
      </c>
      <c r="F62" s="3"/>
    </row>
    <row r="63" spans="2:8" x14ac:dyDescent="0.2">
      <c r="C63" s="1" t="s">
        <v>237</v>
      </c>
      <c r="D63" s="3"/>
      <c r="E63" s="3"/>
      <c r="F63" s="3">
        <f>+E62</f>
        <v>23000</v>
      </c>
    </row>
    <row r="64" spans="2:8" x14ac:dyDescent="0.2">
      <c r="B64" s="1" t="s">
        <v>238</v>
      </c>
      <c r="D64" s="3"/>
      <c r="E64" s="3"/>
      <c r="F64" s="3"/>
    </row>
    <row r="65" spans="2:6" x14ac:dyDescent="0.2">
      <c r="D65" s="3"/>
      <c r="E65" s="3"/>
      <c r="F65" s="3"/>
    </row>
    <row r="66" spans="2:6" x14ac:dyDescent="0.2">
      <c r="D66" s="3"/>
      <c r="E66" s="3"/>
      <c r="F66" s="3"/>
    </row>
    <row r="67" spans="2:6" x14ac:dyDescent="0.2">
      <c r="B67" s="1" t="s">
        <v>239</v>
      </c>
      <c r="C67" s="4">
        <v>46054</v>
      </c>
      <c r="D67" s="3">
        <f>+SUM(C52:F52)+22</f>
        <v>907</v>
      </c>
      <c r="E67" s="3"/>
      <c r="F67" s="3"/>
    </row>
    <row r="68" spans="2:6" x14ac:dyDescent="0.2">
      <c r="B68" s="1" t="s">
        <v>110</v>
      </c>
      <c r="C68" s="1">
        <v>7</v>
      </c>
      <c r="D68" s="3">
        <f>+D67*0.1*7/12</f>
        <v>52.908333333333331</v>
      </c>
      <c r="E68" s="3"/>
      <c r="F68" s="3"/>
    </row>
    <row r="69" spans="2:6" x14ac:dyDescent="0.2">
      <c r="B69" s="1" t="s">
        <v>111</v>
      </c>
      <c r="C69" s="4">
        <f>+C6</f>
        <v>46265</v>
      </c>
      <c r="D69" s="3">
        <f>+D67-D68</f>
        <v>854.0916666666667</v>
      </c>
      <c r="E69" s="3"/>
      <c r="F69" s="3"/>
    </row>
    <row r="70" spans="2:6" x14ac:dyDescent="0.2">
      <c r="D70" s="3"/>
      <c r="E70" s="3"/>
      <c r="F70" s="3"/>
    </row>
    <row r="71" spans="2:6" x14ac:dyDescent="0.2">
      <c r="B71" s="1" t="s">
        <v>240</v>
      </c>
      <c r="D71" s="3"/>
      <c r="E71" s="3">
        <f>+D67</f>
        <v>907</v>
      </c>
      <c r="F71" s="3"/>
    </row>
    <row r="72" spans="2:6" x14ac:dyDescent="0.2">
      <c r="B72" s="1" t="s">
        <v>241</v>
      </c>
      <c r="D72" s="3"/>
      <c r="E72" s="3">
        <v>30</v>
      </c>
      <c r="F72" s="3"/>
    </row>
    <row r="73" spans="2:6" x14ac:dyDescent="0.2">
      <c r="C73" s="1" t="s">
        <v>242</v>
      </c>
      <c r="D73" s="3"/>
      <c r="E73" s="3"/>
      <c r="F73" s="3">
        <v>23</v>
      </c>
    </row>
    <row r="74" spans="2:6" x14ac:dyDescent="0.2">
      <c r="B74" s="1" t="s">
        <v>243</v>
      </c>
      <c r="D74" s="3"/>
      <c r="E74" s="3"/>
      <c r="F74" s="3">
        <f>SUM(E71:E72)</f>
        <v>937</v>
      </c>
    </row>
    <row r="75" spans="2:6" x14ac:dyDescent="0.2">
      <c r="B75" s="1" t="s">
        <v>244</v>
      </c>
      <c r="D75" s="3"/>
      <c r="E75" s="3"/>
      <c r="F75" s="3"/>
    </row>
    <row r="76" spans="2:6" x14ac:dyDescent="0.2">
      <c r="D76" s="3"/>
      <c r="E76" s="3"/>
      <c r="F76" s="3"/>
    </row>
    <row r="77" spans="2:6" x14ac:dyDescent="0.2">
      <c r="B77" s="1" t="s">
        <v>245</v>
      </c>
      <c r="D77" s="3"/>
      <c r="E77" s="3"/>
      <c r="F77" s="3"/>
    </row>
    <row r="78" spans="2:6" x14ac:dyDescent="0.2">
      <c r="B78" s="1" t="s">
        <v>60</v>
      </c>
      <c r="D78" s="3">
        <v>150</v>
      </c>
      <c r="E78" s="3"/>
      <c r="F78" s="3"/>
    </row>
    <row r="79" spans="2:6" x14ac:dyDescent="0.2">
      <c r="B79" s="1" t="s">
        <v>85</v>
      </c>
      <c r="D79" s="3">
        <v>28</v>
      </c>
      <c r="E79" s="3"/>
      <c r="F79" s="3"/>
    </row>
    <row r="80" spans="2:6" x14ac:dyDescent="0.2">
      <c r="B80" s="1" t="s">
        <v>111</v>
      </c>
      <c r="D80" s="3">
        <f>+D78-D79</f>
        <v>122</v>
      </c>
      <c r="E80" s="3"/>
      <c r="F80" s="3"/>
    </row>
    <row r="81" spans="2:6" x14ac:dyDescent="0.2">
      <c r="B81" s="1" t="s">
        <v>246</v>
      </c>
      <c r="D81" s="3">
        <f>0.1*D78</f>
        <v>15</v>
      </c>
      <c r="E81" s="3"/>
      <c r="F81" s="3"/>
    </row>
    <row r="82" spans="2:6" x14ac:dyDescent="0.2">
      <c r="D82" s="3"/>
      <c r="E82" s="3"/>
      <c r="F82" s="3"/>
    </row>
    <row r="83" spans="2:6" x14ac:dyDescent="0.2">
      <c r="D83" s="3"/>
      <c r="E83" s="3"/>
      <c r="F83" s="3"/>
    </row>
    <row r="84" spans="2:6" x14ac:dyDescent="0.2">
      <c r="B84" s="1" t="s">
        <v>247</v>
      </c>
      <c r="D84" s="3"/>
      <c r="E84" s="3">
        <f>+D81+D68</f>
        <v>67.908333333333331</v>
      </c>
      <c r="F84" s="3"/>
    </row>
    <row r="85" spans="2:6" x14ac:dyDescent="0.2">
      <c r="C85" s="1" t="s">
        <v>248</v>
      </c>
      <c r="D85" s="3"/>
      <c r="E85" s="3"/>
      <c r="F85" s="3">
        <f>+E84</f>
        <v>67.908333333333331</v>
      </c>
    </row>
    <row r="86" spans="2:6" x14ac:dyDescent="0.2">
      <c r="B86" s="1" t="s">
        <v>249</v>
      </c>
      <c r="D86" s="3"/>
      <c r="E86" s="3"/>
      <c r="F86" s="3"/>
    </row>
    <row r="87" spans="2:6" x14ac:dyDescent="0.2">
      <c r="D87" s="3"/>
      <c r="E87" s="3"/>
      <c r="F87" s="3"/>
    </row>
    <row r="88" spans="2:6" x14ac:dyDescent="0.2">
      <c r="D88" s="3"/>
      <c r="E88" s="3"/>
      <c r="F88" s="3"/>
    </row>
    <row r="89" spans="2:6" x14ac:dyDescent="0.2">
      <c r="B89" s="14" t="s">
        <v>250</v>
      </c>
      <c r="D89" s="3"/>
      <c r="E89" s="3"/>
      <c r="F89" s="3"/>
    </row>
    <row r="90" spans="2:6" x14ac:dyDescent="0.2">
      <c r="B90" s="1" t="s">
        <v>60</v>
      </c>
      <c r="C90" s="4">
        <v>45200</v>
      </c>
      <c r="D90" s="3">
        <v>22</v>
      </c>
      <c r="E90" s="3"/>
      <c r="F90" s="3"/>
    </row>
    <row r="91" spans="2:6" x14ac:dyDescent="0.2">
      <c r="C91" s="4">
        <v>46082</v>
      </c>
      <c r="D91" s="3"/>
      <c r="E91" s="3"/>
      <c r="F91" s="3"/>
    </row>
    <row r="92" spans="2:6" x14ac:dyDescent="0.2">
      <c r="B92" s="1" t="s">
        <v>85</v>
      </c>
      <c r="C92" s="3">
        <f>YEARFRAC(C90,C91,1)*12</f>
        <v>28.977412731006158</v>
      </c>
      <c r="D92" s="3">
        <f>+D90*C92/48</f>
        <v>13.281314168377824</v>
      </c>
      <c r="E92" s="3"/>
      <c r="F92" s="3"/>
    </row>
    <row r="93" spans="2:6" x14ac:dyDescent="0.2">
      <c r="B93" s="1" t="s">
        <v>111</v>
      </c>
      <c r="D93" s="3">
        <f>+D90-D92</f>
        <v>8.7186858316221763</v>
      </c>
      <c r="E93" s="3"/>
      <c r="F93" s="3"/>
    </row>
    <row r="94" spans="2:6" x14ac:dyDescent="0.2">
      <c r="B94" s="1" t="s">
        <v>193</v>
      </c>
      <c r="D94" s="3">
        <v>8</v>
      </c>
    </row>
    <row r="95" spans="2:6" x14ac:dyDescent="0.2">
      <c r="B95" s="1" t="s">
        <v>251</v>
      </c>
      <c r="D95" s="3">
        <f>+D93-D94</f>
        <v>0.71868583162217625</v>
      </c>
    </row>
    <row r="98" spans="2:7" x14ac:dyDescent="0.2">
      <c r="B98" s="1" t="s">
        <v>252</v>
      </c>
      <c r="D98" s="3"/>
      <c r="E98" s="3"/>
      <c r="F98" s="3">
        <f>+D90</f>
        <v>22</v>
      </c>
    </row>
    <row r="99" spans="2:7" x14ac:dyDescent="0.2">
      <c r="B99" s="1" t="s">
        <v>197</v>
      </c>
      <c r="D99" s="3"/>
      <c r="E99" s="3">
        <f>+D92</f>
        <v>13.281314168377824</v>
      </c>
      <c r="F99" s="3"/>
    </row>
    <row r="100" spans="2:7" x14ac:dyDescent="0.2">
      <c r="B100" s="1" t="s">
        <v>253</v>
      </c>
      <c r="D100" s="3"/>
      <c r="E100" s="3">
        <f>+D94</f>
        <v>8</v>
      </c>
      <c r="F100" s="3"/>
    </row>
    <row r="101" spans="2:7" x14ac:dyDescent="0.2">
      <c r="B101" s="1" t="s">
        <v>254</v>
      </c>
      <c r="D101" s="3"/>
      <c r="E101" s="3">
        <f>+D95</f>
        <v>0.71868583162217625</v>
      </c>
      <c r="F101" s="3"/>
      <c r="G101" s="1" t="s">
        <v>255</v>
      </c>
    </row>
    <row r="102" spans="2:7" x14ac:dyDescent="0.2">
      <c r="D102" s="3"/>
      <c r="E102" s="3"/>
      <c r="F102" s="3"/>
    </row>
    <row r="103" spans="2:7" x14ac:dyDescent="0.2">
      <c r="B103" s="1" t="s">
        <v>256</v>
      </c>
      <c r="D103" s="3"/>
      <c r="E103" s="3"/>
      <c r="F103" s="3"/>
    </row>
    <row r="104" spans="2:7" x14ac:dyDescent="0.2">
      <c r="B104" s="1" t="s">
        <v>60</v>
      </c>
      <c r="D104" s="3">
        <v>360</v>
      </c>
      <c r="E104" s="3"/>
      <c r="F104" s="3"/>
    </row>
    <row r="105" spans="2:7" x14ac:dyDescent="0.2">
      <c r="B105" s="1" t="s">
        <v>85</v>
      </c>
      <c r="D105" s="3">
        <v>90</v>
      </c>
      <c r="E105" s="3"/>
      <c r="F105" s="3"/>
    </row>
    <row r="106" spans="2:7" x14ac:dyDescent="0.2">
      <c r="B106" s="1" t="s">
        <v>111</v>
      </c>
      <c r="D106" s="3">
        <f>+D104-D105</f>
        <v>270</v>
      </c>
      <c r="E106" s="3"/>
      <c r="F106" s="3"/>
    </row>
    <row r="107" spans="2:7" x14ac:dyDescent="0.2">
      <c r="D107" s="3"/>
      <c r="E107" s="3"/>
      <c r="F107" s="3"/>
    </row>
    <row r="108" spans="2:7" x14ac:dyDescent="0.2">
      <c r="C108" s="4">
        <f>+C6-365</f>
        <v>45900</v>
      </c>
      <c r="D108" s="3"/>
      <c r="E108" s="3"/>
      <c r="F108" s="3"/>
    </row>
    <row r="109" spans="2:7" x14ac:dyDescent="0.2">
      <c r="B109" s="1" t="s">
        <v>257</v>
      </c>
      <c r="C109" s="4">
        <f>+C91</f>
        <v>46082</v>
      </c>
      <c r="D109" s="3">
        <f>+YEARFRAC(C108,C109,1)*12</f>
        <v>5.9835616438356167</v>
      </c>
      <c r="E109" s="3">
        <f>+D109/48*D104</f>
        <v>44.876712328767127</v>
      </c>
      <c r="F109" s="3"/>
    </row>
    <row r="110" spans="2:7" x14ac:dyDescent="0.2">
      <c r="B110" s="1" t="s">
        <v>258</v>
      </c>
      <c r="C110" s="4">
        <f>+C6</f>
        <v>46265</v>
      </c>
      <c r="D110" s="3">
        <f>+YEARFRAC(C109,C110,1)*12</f>
        <v>6.0164383561643842</v>
      </c>
      <c r="E110" s="3">
        <f>+D110/48*(D104-D90)</f>
        <v>42.365753424657541</v>
      </c>
      <c r="F110" s="3"/>
    </row>
    <row r="111" spans="2:7" x14ac:dyDescent="0.2">
      <c r="D111" s="3"/>
      <c r="E111" s="3"/>
      <c r="F111" s="3"/>
    </row>
    <row r="112" spans="2:7" x14ac:dyDescent="0.2">
      <c r="D112" s="3"/>
      <c r="E112" s="3"/>
      <c r="F112" s="3"/>
    </row>
    <row r="113" spans="2:6" x14ac:dyDescent="0.2">
      <c r="B113" s="1" t="s">
        <v>259</v>
      </c>
      <c r="D113" s="3">
        <f>+D104-22</f>
        <v>338</v>
      </c>
      <c r="E113" s="3"/>
      <c r="F113" s="3"/>
    </row>
    <row r="114" spans="2:6" x14ac:dyDescent="0.2">
      <c r="B114" s="1" t="s">
        <v>183</v>
      </c>
      <c r="D114" s="3">
        <f>+D113*0.25</f>
        <v>84.5</v>
      </c>
      <c r="E114" s="3"/>
      <c r="F114" s="3"/>
    </row>
    <row r="115" spans="2:6" x14ac:dyDescent="0.2">
      <c r="B115" s="1" t="s">
        <v>111</v>
      </c>
      <c r="D115" s="3">
        <f>+D113-D114</f>
        <v>253.5</v>
      </c>
      <c r="E115" s="3"/>
      <c r="F115" s="3"/>
    </row>
    <row r="116" spans="2:6" x14ac:dyDescent="0.2">
      <c r="D116" s="3"/>
      <c r="E116" s="3"/>
      <c r="F116" s="3"/>
    </row>
    <row r="117" spans="2:6" x14ac:dyDescent="0.2">
      <c r="B117" s="1" t="s">
        <v>260</v>
      </c>
      <c r="D117" s="3"/>
      <c r="E117" s="3">
        <f>SUM(E109:E116)</f>
        <v>87.242465753424668</v>
      </c>
      <c r="F117" s="3"/>
    </row>
    <row r="118" spans="2:6" x14ac:dyDescent="0.2">
      <c r="C118" s="1" t="s">
        <v>261</v>
      </c>
      <c r="D118" s="3"/>
      <c r="E118" s="3"/>
      <c r="F118" s="3">
        <f>+E117</f>
        <v>87.242465753424668</v>
      </c>
    </row>
    <row r="119" spans="2:6" x14ac:dyDescent="0.2">
      <c r="B119" s="1" t="s">
        <v>207</v>
      </c>
    </row>
    <row r="121" spans="2:6" x14ac:dyDescent="0.2">
      <c r="B121" s="1" t="s">
        <v>262</v>
      </c>
    </row>
    <row r="122" spans="2:6" x14ac:dyDescent="0.2">
      <c r="B122" s="1" t="s">
        <v>105</v>
      </c>
      <c r="C122" s="4"/>
      <c r="D122" s="3">
        <v>28</v>
      </c>
    </row>
    <row r="123" spans="2:6" x14ac:dyDescent="0.2">
      <c r="B123" s="1" t="s">
        <v>85</v>
      </c>
      <c r="D123" s="3">
        <f>+D122-D124</f>
        <v>22</v>
      </c>
    </row>
    <row r="124" spans="2:6" x14ac:dyDescent="0.2">
      <c r="B124" s="1" t="s">
        <v>111</v>
      </c>
      <c r="C124" s="4">
        <v>45901</v>
      </c>
      <c r="D124" s="3">
        <v>6</v>
      </c>
    </row>
    <row r="125" spans="2:6" x14ac:dyDescent="0.2">
      <c r="B125" s="1" t="s">
        <v>193</v>
      </c>
      <c r="C125" s="4">
        <v>45901</v>
      </c>
      <c r="D125" s="3">
        <v>4</v>
      </c>
    </row>
    <row r="126" spans="2:6" x14ac:dyDescent="0.2">
      <c r="B126" s="14" t="s">
        <v>251</v>
      </c>
      <c r="D126" s="3">
        <f>+D124-D125</f>
        <v>2</v>
      </c>
    </row>
    <row r="127" spans="2:6" x14ac:dyDescent="0.2">
      <c r="D127" s="3"/>
    </row>
    <row r="128" spans="2:6" x14ac:dyDescent="0.2">
      <c r="B128" s="1" t="s">
        <v>263</v>
      </c>
      <c r="C128" s="4">
        <v>45901</v>
      </c>
      <c r="D128" s="3">
        <v>40</v>
      </c>
      <c r="E128" s="3"/>
      <c r="F128" s="3"/>
    </row>
    <row r="129" spans="2:9" x14ac:dyDescent="0.2">
      <c r="D129" s="3"/>
      <c r="E129" s="3"/>
      <c r="F129" s="3"/>
    </row>
    <row r="130" spans="2:9" x14ac:dyDescent="0.2">
      <c r="B130" s="1" t="s">
        <v>264</v>
      </c>
      <c r="D130" s="3"/>
      <c r="E130" s="3"/>
      <c r="F130" s="3"/>
    </row>
    <row r="131" spans="2:9" x14ac:dyDescent="0.2">
      <c r="D131" s="3"/>
      <c r="E131" s="3"/>
      <c r="F131" s="3"/>
    </row>
    <row r="132" spans="2:9" x14ac:dyDescent="0.2">
      <c r="B132" s="1" t="s">
        <v>265</v>
      </c>
      <c r="D132" s="3"/>
      <c r="E132" s="3">
        <f>+D128</f>
        <v>40</v>
      </c>
      <c r="F132" s="3"/>
    </row>
    <row r="133" spans="2:9" x14ac:dyDescent="0.2">
      <c r="B133" s="1" t="s">
        <v>266</v>
      </c>
      <c r="D133" s="3"/>
      <c r="E133" s="3"/>
      <c r="F133" s="3">
        <f>+E132</f>
        <v>40</v>
      </c>
    </row>
    <row r="134" spans="2:9" x14ac:dyDescent="0.2">
      <c r="B134" s="1" t="s">
        <v>267</v>
      </c>
      <c r="D134" s="3"/>
      <c r="E134" s="3"/>
      <c r="F134" s="3">
        <f>+D122</f>
        <v>28</v>
      </c>
    </row>
    <row r="135" spans="2:9" x14ac:dyDescent="0.2">
      <c r="B135" s="1" t="s">
        <v>197</v>
      </c>
      <c r="D135" s="3"/>
      <c r="E135" s="3">
        <f>+D123</f>
        <v>22</v>
      </c>
      <c r="F135" s="3"/>
    </row>
    <row r="136" spans="2:9" x14ac:dyDescent="0.2">
      <c r="B136" s="1" t="s">
        <v>268</v>
      </c>
      <c r="D136" s="3"/>
      <c r="E136" s="3">
        <f>+D125</f>
        <v>4</v>
      </c>
      <c r="F136" s="3"/>
    </row>
    <row r="137" spans="2:9" x14ac:dyDescent="0.2">
      <c r="B137" s="1" t="s">
        <v>269</v>
      </c>
      <c r="D137" s="3"/>
      <c r="E137" s="3">
        <f>+F134-E135-E136</f>
        <v>2</v>
      </c>
      <c r="F137" s="3"/>
    </row>
    <row r="138" spans="2:9" x14ac:dyDescent="0.2">
      <c r="B138" s="1" t="s">
        <v>270</v>
      </c>
      <c r="D138" s="3"/>
      <c r="E138" s="3"/>
      <c r="F138" s="3"/>
    </row>
    <row r="139" spans="2:9" x14ac:dyDescent="0.2">
      <c r="D139" s="3"/>
      <c r="E139" s="3"/>
      <c r="F139" s="3"/>
    </row>
    <row r="140" spans="2:9" x14ac:dyDescent="0.2">
      <c r="B140" s="1" t="s">
        <v>201</v>
      </c>
      <c r="D140" s="3"/>
      <c r="E140" s="3"/>
      <c r="F140" s="3"/>
    </row>
    <row r="141" spans="2:9" x14ac:dyDescent="0.2">
      <c r="B141" s="1" t="s">
        <v>60</v>
      </c>
      <c r="D141" s="3">
        <v>124</v>
      </c>
      <c r="E141" s="3"/>
      <c r="F141" s="3"/>
    </row>
    <row r="142" spans="2:9" x14ac:dyDescent="0.2">
      <c r="B142" s="1" t="s">
        <v>271</v>
      </c>
      <c r="D142" s="3">
        <v>40</v>
      </c>
      <c r="E142" s="3"/>
      <c r="F142" s="3"/>
      <c r="I142" s="3"/>
    </row>
    <row r="143" spans="2:9" x14ac:dyDescent="0.2">
      <c r="B143" s="1" t="s">
        <v>272</v>
      </c>
      <c r="D143" s="3">
        <f>+E135</f>
        <v>22</v>
      </c>
      <c r="E143" s="3"/>
      <c r="F143" s="3"/>
      <c r="I143" s="3"/>
    </row>
    <row r="144" spans="2:9" x14ac:dyDescent="0.2">
      <c r="B144" s="1" t="s">
        <v>273</v>
      </c>
      <c r="D144" s="3">
        <f>+F134</f>
        <v>28</v>
      </c>
      <c r="E144" s="3"/>
      <c r="F144" s="3"/>
      <c r="I144" s="3"/>
    </row>
    <row r="145" spans="2:9" x14ac:dyDescent="0.2">
      <c r="D145" s="3">
        <f>+D141+D142+D143-D144</f>
        <v>158</v>
      </c>
      <c r="E145" s="3"/>
      <c r="F145" s="3"/>
    </row>
    <row r="146" spans="2:9" x14ac:dyDescent="0.2">
      <c r="D146" s="3">
        <f>+D145/3</f>
        <v>52.666666666666664</v>
      </c>
      <c r="E146" s="3"/>
      <c r="F146" s="3"/>
    </row>
    <row r="147" spans="2:9" x14ac:dyDescent="0.2">
      <c r="D147" s="3"/>
      <c r="E147" s="3"/>
      <c r="F147" s="3"/>
    </row>
    <row r="148" spans="2:9" x14ac:dyDescent="0.2">
      <c r="B148" s="1" t="s">
        <v>274</v>
      </c>
      <c r="D148" s="3"/>
      <c r="E148" s="3">
        <f>+D146</f>
        <v>52.666666666666664</v>
      </c>
      <c r="F148" s="3"/>
      <c r="I148" s="3"/>
    </row>
    <row r="149" spans="2:9" x14ac:dyDescent="0.2">
      <c r="C149" s="1" t="s">
        <v>275</v>
      </c>
      <c r="D149" s="3"/>
      <c r="E149" s="3"/>
      <c r="F149" s="3">
        <f>+E148</f>
        <v>52.666666666666664</v>
      </c>
      <c r="I149" s="3"/>
    </row>
    <row r="150" spans="2:9" x14ac:dyDescent="0.2">
      <c r="B150" s="1" t="s">
        <v>644</v>
      </c>
      <c r="D150" s="3"/>
      <c r="I150" s="3"/>
    </row>
  </sheetData>
  <hyperlinks>
    <hyperlink ref="A1" location="Main!A1" display="Main" xr:uid="{DAECCA4B-9493-4BBC-ACC0-5CBD496D327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DFEC3-0E23-4DA0-97DF-D618D5C4A79F}">
  <dimension ref="A1:G74"/>
  <sheetViews>
    <sheetView topLeftCell="A42" zoomScale="190" zoomScaleNormal="190" workbookViewId="0">
      <selection activeCell="B75" sqref="B75"/>
    </sheetView>
  </sheetViews>
  <sheetFormatPr defaultRowHeight="12" x14ac:dyDescent="0.2"/>
  <cols>
    <col min="1" max="16384" width="9.140625" style="1"/>
  </cols>
  <sheetData>
    <row r="1" spans="1:7" ht="15" x14ac:dyDescent="0.25">
      <c r="A1" s="2" t="s">
        <v>10</v>
      </c>
    </row>
    <row r="4" spans="1:7" x14ac:dyDescent="0.2">
      <c r="B4" s="1" t="s">
        <v>276</v>
      </c>
    </row>
    <row r="6" spans="1:7" x14ac:dyDescent="0.2">
      <c r="B6" s="14" t="s">
        <v>277</v>
      </c>
      <c r="G6" s="1" t="s">
        <v>278</v>
      </c>
    </row>
    <row r="7" spans="1:7" x14ac:dyDescent="0.2">
      <c r="B7" s="1" t="s">
        <v>279</v>
      </c>
    </row>
    <row r="9" spans="1:7" x14ac:dyDescent="0.2">
      <c r="B9" s="1" t="s">
        <v>280</v>
      </c>
    </row>
    <row r="10" spans="1:7" x14ac:dyDescent="0.2">
      <c r="B10" s="1" t="s">
        <v>60</v>
      </c>
      <c r="C10" s="4">
        <v>44378</v>
      </c>
      <c r="D10" s="3">
        <v>440000</v>
      </c>
    </row>
    <row r="11" spans="1:7" x14ac:dyDescent="0.2">
      <c r="B11" s="1" t="s">
        <v>281</v>
      </c>
      <c r="D11" s="1">
        <v>50</v>
      </c>
      <c r="E11" s="1" t="s">
        <v>282</v>
      </c>
    </row>
    <row r="12" spans="1:7" x14ac:dyDescent="0.2">
      <c r="B12" s="1" t="s">
        <v>33</v>
      </c>
      <c r="C12" s="4">
        <v>45473</v>
      </c>
    </row>
    <row r="13" spans="1:7" x14ac:dyDescent="0.2">
      <c r="D13" s="1">
        <v>3</v>
      </c>
    </row>
    <row r="14" spans="1:7" x14ac:dyDescent="0.2">
      <c r="B14" s="1" t="s">
        <v>283</v>
      </c>
      <c r="D14" s="3">
        <f>+D10/D11</f>
        <v>8800</v>
      </c>
    </row>
    <row r="15" spans="1:7" x14ac:dyDescent="0.2">
      <c r="B15" s="1" t="s">
        <v>85</v>
      </c>
      <c r="D15" s="3">
        <f>+D13*D14</f>
        <v>26400</v>
      </c>
    </row>
    <row r="16" spans="1:7" x14ac:dyDescent="0.2">
      <c r="B16" s="1" t="s">
        <v>284</v>
      </c>
      <c r="D16" s="3">
        <f>+D10-D15</f>
        <v>413600</v>
      </c>
      <c r="E16" s="3"/>
    </row>
    <row r="17" spans="2:7" x14ac:dyDescent="0.2">
      <c r="B17" s="1" t="s">
        <v>127</v>
      </c>
      <c r="D17" s="3">
        <v>520000</v>
      </c>
      <c r="E17" s="1" t="s">
        <v>285</v>
      </c>
    </row>
    <row r="18" spans="2:7" x14ac:dyDescent="0.2">
      <c r="B18" s="1" t="s">
        <v>108</v>
      </c>
      <c r="D18" s="3">
        <f>+D17-D16</f>
        <v>106400</v>
      </c>
      <c r="E18" s="18" t="s">
        <v>286</v>
      </c>
    </row>
    <row r="20" spans="2:7" x14ac:dyDescent="0.2">
      <c r="B20" s="1" t="s">
        <v>287</v>
      </c>
    </row>
    <row r="21" spans="2:7" x14ac:dyDescent="0.2">
      <c r="B21" s="1" t="s">
        <v>288</v>
      </c>
      <c r="E21" s="3">
        <f>+D18</f>
        <v>106400</v>
      </c>
    </row>
    <row r="22" spans="2:7" x14ac:dyDescent="0.2">
      <c r="B22" s="1" t="s">
        <v>289</v>
      </c>
      <c r="F22" s="3">
        <f>+E21</f>
        <v>106400</v>
      </c>
    </row>
    <row r="25" spans="2:7" x14ac:dyDescent="0.2">
      <c r="B25" s="1" t="s">
        <v>109</v>
      </c>
      <c r="E25" s="3">
        <f>+D15</f>
        <v>26400</v>
      </c>
    </row>
    <row r="26" spans="2:7" x14ac:dyDescent="0.2">
      <c r="B26" s="1" t="s">
        <v>290</v>
      </c>
      <c r="E26" s="3">
        <f>+D18-D15</f>
        <v>80000</v>
      </c>
    </row>
    <row r="29" spans="2:7" x14ac:dyDescent="0.2">
      <c r="B29" s="1" t="s">
        <v>291</v>
      </c>
      <c r="E29" s="3">
        <f>+E26</f>
        <v>80000</v>
      </c>
    </row>
    <row r="30" spans="2:7" x14ac:dyDescent="0.2">
      <c r="B30" s="1" t="s">
        <v>292</v>
      </c>
      <c r="E30" s="3">
        <f>+E25</f>
        <v>26400</v>
      </c>
    </row>
    <row r="31" spans="2:7" x14ac:dyDescent="0.2">
      <c r="B31" s="1" t="s">
        <v>293</v>
      </c>
      <c r="F31" s="3">
        <f>+SUM(E29:E30)</f>
        <v>106400</v>
      </c>
      <c r="G31" s="18" t="s">
        <v>286</v>
      </c>
    </row>
    <row r="32" spans="2:7" x14ac:dyDescent="0.2">
      <c r="F32" s="3"/>
    </row>
    <row r="33" spans="2:7" x14ac:dyDescent="0.2">
      <c r="B33" s="14" t="s">
        <v>294</v>
      </c>
      <c r="C33" s="14"/>
      <c r="G33" s="1" t="s">
        <v>295</v>
      </c>
    </row>
    <row r="35" spans="2:7" x14ac:dyDescent="0.2">
      <c r="B35" s="1" t="s">
        <v>296</v>
      </c>
      <c r="E35" s="3">
        <f>+D17</f>
        <v>520000</v>
      </c>
    </row>
    <row r="36" spans="2:7" x14ac:dyDescent="0.2">
      <c r="B36" s="1" t="s">
        <v>129</v>
      </c>
      <c r="E36" s="1">
        <v>47</v>
      </c>
    </row>
    <row r="37" spans="2:7" x14ac:dyDescent="0.2">
      <c r="B37" s="1" t="s">
        <v>297</v>
      </c>
      <c r="E37" s="3">
        <f>+E35/E36</f>
        <v>11063.829787234043</v>
      </c>
      <c r="G37" s="18" t="s">
        <v>286</v>
      </c>
    </row>
    <row r="38" spans="2:7" x14ac:dyDescent="0.2">
      <c r="B38" s="1" t="s">
        <v>298</v>
      </c>
      <c r="E38" s="3">
        <f>+E35-E37</f>
        <v>508936.17021276598</v>
      </c>
    </row>
    <row r="40" spans="2:7" x14ac:dyDescent="0.2">
      <c r="B40" s="1" t="s">
        <v>299</v>
      </c>
      <c r="E40" s="3">
        <f>+E37</f>
        <v>11063.829787234043</v>
      </c>
    </row>
    <row r="41" spans="2:7" x14ac:dyDescent="0.2">
      <c r="B41" s="1" t="s">
        <v>300</v>
      </c>
      <c r="F41" s="3">
        <f>+E40</f>
        <v>11063.829787234043</v>
      </c>
    </row>
    <row r="42" spans="2:7" x14ac:dyDescent="0.2">
      <c r="B42" s="1" t="s">
        <v>301</v>
      </c>
      <c r="G42" s="18" t="s">
        <v>286</v>
      </c>
    </row>
    <row r="44" spans="2:7" x14ac:dyDescent="0.2">
      <c r="B44" s="1" t="s">
        <v>302</v>
      </c>
    </row>
    <row r="45" spans="2:7" x14ac:dyDescent="0.2">
      <c r="B45" s="1" t="s">
        <v>303</v>
      </c>
      <c r="G45" s="1" t="s">
        <v>304</v>
      </c>
    </row>
    <row r="47" spans="2:7" x14ac:dyDescent="0.2">
      <c r="B47" s="1" t="s">
        <v>118</v>
      </c>
      <c r="E47" s="3">
        <f>0.0212765957446809*F31</f>
        <v>2263.8297872340427</v>
      </c>
      <c r="F47" s="3"/>
      <c r="G47" s="3"/>
    </row>
    <row r="48" spans="2:7" x14ac:dyDescent="0.2">
      <c r="B48" s="1" t="s">
        <v>119</v>
      </c>
      <c r="F48" s="3">
        <f>+E47</f>
        <v>2263.8297872340427</v>
      </c>
      <c r="G48" s="3"/>
    </row>
    <row r="49" spans="2:7" x14ac:dyDescent="0.2">
      <c r="B49" s="1" t="s">
        <v>305</v>
      </c>
      <c r="G49" s="18" t="s">
        <v>286</v>
      </c>
    </row>
    <row r="52" spans="2:7" x14ac:dyDescent="0.2">
      <c r="B52" s="14" t="s">
        <v>306</v>
      </c>
      <c r="C52" s="14"/>
      <c r="G52" s="1" t="s">
        <v>307</v>
      </c>
    </row>
    <row r="53" spans="2:7" x14ac:dyDescent="0.2">
      <c r="C53" s="14"/>
    </row>
    <row r="54" spans="2:7" x14ac:dyDescent="0.2">
      <c r="B54" s="1" t="s">
        <v>308</v>
      </c>
      <c r="C54" s="14"/>
      <c r="E54" s="3">
        <v>520000</v>
      </c>
    </row>
    <row r="55" spans="2:7" x14ac:dyDescent="0.2">
      <c r="B55" s="1" t="s">
        <v>85</v>
      </c>
      <c r="C55" s="14"/>
      <c r="E55" s="3">
        <f>+E40</f>
        <v>11063.829787234043</v>
      </c>
    </row>
    <row r="56" spans="2:7" x14ac:dyDescent="0.2">
      <c r="B56" s="1" t="s">
        <v>106</v>
      </c>
      <c r="C56" s="14"/>
      <c r="E56" s="3">
        <f>SUM(E54:E55)</f>
        <v>531063.82978723408</v>
      </c>
    </row>
    <row r="57" spans="2:7" x14ac:dyDescent="0.2">
      <c r="B57" s="1" t="s">
        <v>193</v>
      </c>
      <c r="C57" s="14"/>
      <c r="E57" s="1">
        <v>596000</v>
      </c>
    </row>
    <row r="58" spans="2:7" x14ac:dyDescent="0.2">
      <c r="B58" s="1" t="s">
        <v>309</v>
      </c>
      <c r="C58" s="14"/>
      <c r="E58" s="3">
        <f>+E57-E56</f>
        <v>64936.170212765923</v>
      </c>
    </row>
    <row r="59" spans="2:7" x14ac:dyDescent="0.2">
      <c r="C59" s="14"/>
      <c r="E59" s="3"/>
    </row>
    <row r="60" spans="2:7" x14ac:dyDescent="0.2">
      <c r="B60" s="1" t="s">
        <v>310</v>
      </c>
      <c r="C60" s="14"/>
      <c r="E60" s="3">
        <f>+E57</f>
        <v>596000</v>
      </c>
    </row>
    <row r="61" spans="2:7" x14ac:dyDescent="0.2">
      <c r="B61" s="1" t="s">
        <v>20</v>
      </c>
      <c r="C61" s="14"/>
      <c r="E61" s="3">
        <f>+E55</f>
        <v>11063.829787234043</v>
      </c>
    </row>
    <row r="62" spans="2:7" x14ac:dyDescent="0.2">
      <c r="B62" s="1" t="s">
        <v>311</v>
      </c>
      <c r="C62" s="14"/>
      <c r="E62" s="3"/>
      <c r="F62" s="3">
        <f>+E54</f>
        <v>520000</v>
      </c>
    </row>
    <row r="63" spans="2:7" x14ac:dyDescent="0.2">
      <c r="B63" s="1" t="s">
        <v>312</v>
      </c>
      <c r="C63" s="14"/>
      <c r="E63" s="3"/>
      <c r="F63" s="3">
        <f>+E60+E61-F62</f>
        <v>87063.829787234077</v>
      </c>
    </row>
    <row r="64" spans="2:7" x14ac:dyDescent="0.2">
      <c r="C64" s="14"/>
      <c r="E64" s="3"/>
      <c r="F64" s="3"/>
    </row>
    <row r="65" spans="2:6" x14ac:dyDescent="0.2">
      <c r="B65" s="1" t="s">
        <v>313</v>
      </c>
      <c r="C65" s="14"/>
      <c r="D65" s="19" t="s">
        <v>314</v>
      </c>
      <c r="E65" s="3">
        <f>+F31-E47</f>
        <v>104136.17021276595</v>
      </c>
      <c r="F65" s="3"/>
    </row>
    <row r="66" spans="2:6" x14ac:dyDescent="0.2">
      <c r="C66" s="14"/>
      <c r="E66" s="3"/>
      <c r="F66" s="3"/>
    </row>
    <row r="67" spans="2:6" x14ac:dyDescent="0.2">
      <c r="B67" s="1" t="s">
        <v>315</v>
      </c>
      <c r="C67" s="14"/>
      <c r="E67" s="3">
        <f>+E65</f>
        <v>104136.17021276595</v>
      </c>
      <c r="F67" s="3"/>
    </row>
    <row r="68" spans="2:6" x14ac:dyDescent="0.2">
      <c r="B68" s="1" t="s">
        <v>316</v>
      </c>
      <c r="C68" s="14"/>
      <c r="E68" s="3"/>
      <c r="F68" s="3">
        <f>+E67</f>
        <v>104136.17021276595</v>
      </c>
    </row>
    <row r="70" spans="2:6" x14ac:dyDescent="0.2">
      <c r="B70" s="16" t="s">
        <v>317</v>
      </c>
    </row>
    <row r="71" spans="2:6" x14ac:dyDescent="0.2">
      <c r="B71" s="1" t="s">
        <v>318</v>
      </c>
    </row>
    <row r="72" spans="2:6" x14ac:dyDescent="0.2">
      <c r="B72" s="1" t="s">
        <v>645</v>
      </c>
    </row>
    <row r="73" spans="2:6" x14ac:dyDescent="0.2">
      <c r="B73" s="1" t="s">
        <v>646</v>
      </c>
    </row>
    <row r="74" spans="2:6" x14ac:dyDescent="0.2">
      <c r="B74" s="1" t="s">
        <v>647</v>
      </c>
    </row>
  </sheetData>
  <hyperlinks>
    <hyperlink ref="A1" location="Main!A1" display="Main" xr:uid="{FC6765A6-A127-443F-B47B-B5C1A85690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AF1FA-D9B9-43AD-A945-26F33C4F2952}">
  <dimension ref="A1:K40"/>
  <sheetViews>
    <sheetView zoomScale="145" zoomScaleNormal="145" workbookViewId="0">
      <selection activeCell="B40" sqref="B40"/>
    </sheetView>
  </sheetViews>
  <sheetFormatPr defaultRowHeight="12" x14ac:dyDescent="0.2"/>
  <cols>
    <col min="1" max="8" width="9.140625" style="1"/>
    <col min="9" max="9" width="9.85546875" style="1" bestFit="1" customWidth="1"/>
    <col min="10" max="16384" width="9.140625" style="1"/>
  </cols>
  <sheetData>
    <row r="1" spans="1:8" ht="15" x14ac:dyDescent="0.25">
      <c r="A1" s="2" t="s">
        <v>10</v>
      </c>
    </row>
    <row r="2" spans="1:8" x14ac:dyDescent="0.2">
      <c r="B2" s="1" t="s">
        <v>319</v>
      </c>
    </row>
    <row r="4" spans="1:8" x14ac:dyDescent="0.2">
      <c r="B4" s="1" t="s">
        <v>320</v>
      </c>
    </row>
    <row r="7" spans="1:8" x14ac:dyDescent="0.2">
      <c r="B7" s="1" t="s">
        <v>321</v>
      </c>
      <c r="E7" s="4">
        <v>45474</v>
      </c>
    </row>
    <row r="8" spans="1:8" x14ac:dyDescent="0.2">
      <c r="B8" s="1" t="s">
        <v>322</v>
      </c>
      <c r="E8" s="1" t="s">
        <v>323</v>
      </c>
    </row>
    <row r="9" spans="1:8" x14ac:dyDescent="0.2">
      <c r="B9" s="1" t="s">
        <v>33</v>
      </c>
      <c r="E9" s="4">
        <v>45747</v>
      </c>
    </row>
    <row r="11" spans="1:8" x14ac:dyDescent="0.2">
      <c r="B11" s="1" t="s">
        <v>324</v>
      </c>
      <c r="E11" s="12">
        <v>7.0000000000000007E-2</v>
      </c>
    </row>
    <row r="12" spans="1:8" x14ac:dyDescent="0.2">
      <c r="B12" s="1" t="s">
        <v>325</v>
      </c>
      <c r="E12" s="12">
        <v>8.5000000000000006E-2</v>
      </c>
    </row>
    <row r="13" spans="1:8" x14ac:dyDescent="0.2">
      <c r="H13" s="22"/>
    </row>
    <row r="15" spans="1:8" x14ac:dyDescent="0.2">
      <c r="B15" s="1" t="s">
        <v>326</v>
      </c>
      <c r="E15" s="3">
        <v>13800000</v>
      </c>
      <c r="F15" s="14" t="s">
        <v>14</v>
      </c>
      <c r="G15" s="14" t="s">
        <v>327</v>
      </c>
    </row>
    <row r="16" spans="1:8" x14ac:dyDescent="0.2">
      <c r="E16" s="3">
        <v>2400000</v>
      </c>
      <c r="F16" s="14" t="s">
        <v>14</v>
      </c>
      <c r="G16" s="14" t="s">
        <v>328</v>
      </c>
    </row>
    <row r="17" spans="2:11" x14ac:dyDescent="0.2">
      <c r="D17" s="1">
        <v>4.4999999999999998E-2</v>
      </c>
      <c r="E17" s="3"/>
      <c r="F17" s="14"/>
      <c r="G17" s="14"/>
    </row>
    <row r="18" spans="2:11" x14ac:dyDescent="0.2">
      <c r="D18" s="1">
        <f>+E15+E16</f>
        <v>16200000</v>
      </c>
      <c r="E18" s="3"/>
      <c r="F18" s="14"/>
      <c r="G18" s="14"/>
    </row>
    <row r="19" spans="2:11" x14ac:dyDescent="0.2">
      <c r="B19" s="1" t="s">
        <v>329</v>
      </c>
      <c r="E19" s="3">
        <f>+D17*D18</f>
        <v>729000</v>
      </c>
      <c r="F19" s="14" t="s">
        <v>330</v>
      </c>
      <c r="G19" s="14" t="s">
        <v>328</v>
      </c>
    </row>
    <row r="20" spans="2:11" x14ac:dyDescent="0.2">
      <c r="B20" s="1" t="s">
        <v>331</v>
      </c>
      <c r="E20" s="3">
        <f>+J33</f>
        <v>385000</v>
      </c>
      <c r="F20" s="14" t="s">
        <v>14</v>
      </c>
      <c r="G20" s="14" t="s">
        <v>332</v>
      </c>
    </row>
    <row r="21" spans="2:11" ht="12.75" thickBot="1" x14ac:dyDescent="0.25">
      <c r="B21" s="14" t="s">
        <v>333</v>
      </c>
      <c r="E21" s="7">
        <f>SUM(E15:E20)</f>
        <v>17314000</v>
      </c>
      <c r="F21" s="14" t="s">
        <v>334</v>
      </c>
      <c r="G21" s="14" t="s">
        <v>335</v>
      </c>
    </row>
    <row r="22" spans="2:11" ht="12.75" thickTop="1" x14ac:dyDescent="0.2">
      <c r="E22" s="3"/>
    </row>
    <row r="23" spans="2:11" x14ac:dyDescent="0.2">
      <c r="B23" s="1" t="s">
        <v>336</v>
      </c>
      <c r="E23" s="3"/>
      <c r="H23" s="1" t="s">
        <v>337</v>
      </c>
    </row>
    <row r="24" spans="2:11" x14ac:dyDescent="0.2">
      <c r="B24" s="1" t="s">
        <v>338</v>
      </c>
      <c r="E24" s="4">
        <v>45505</v>
      </c>
      <c r="F24" s="3">
        <v>3800000</v>
      </c>
      <c r="G24" s="12">
        <f>+E12</f>
        <v>8.5000000000000006E-2</v>
      </c>
      <c r="H24" s="1">
        <f>+_xlfn.DAYS($E$9,E24)/30</f>
        <v>8.0666666666666664</v>
      </c>
      <c r="I24" s="9">
        <f>(8-1)/12</f>
        <v>0.58333333333333337</v>
      </c>
      <c r="J24" s="3">
        <f>+F24*G24*I24</f>
        <v>188416.66666666669</v>
      </c>
    </row>
    <row r="25" spans="2:11" x14ac:dyDescent="0.2">
      <c r="B25" s="1" t="s">
        <v>339</v>
      </c>
      <c r="E25" s="4">
        <v>45566</v>
      </c>
      <c r="F25" s="3">
        <v>4000000</v>
      </c>
      <c r="G25" s="12">
        <f>+E11</f>
        <v>7.0000000000000007E-2</v>
      </c>
      <c r="H25" s="1">
        <f t="shared" ref="H25:H28" si="0">+_xlfn.DAYS($E$9,E25)/30</f>
        <v>6.0333333333333332</v>
      </c>
      <c r="I25" s="9">
        <f>+(6-1)/12</f>
        <v>0.41666666666666669</v>
      </c>
      <c r="J25" s="3">
        <f t="shared" ref="J25:J28" si="1">+F25*G25*I25</f>
        <v>116666.66666666667</v>
      </c>
    </row>
    <row r="26" spans="2:11" x14ac:dyDescent="0.2">
      <c r="B26" s="1" t="s">
        <v>340</v>
      </c>
      <c r="E26" s="4">
        <v>45627</v>
      </c>
      <c r="F26" s="3">
        <v>4500000</v>
      </c>
      <c r="G26" s="12">
        <f>+E11</f>
        <v>7.0000000000000007E-2</v>
      </c>
      <c r="H26" s="1">
        <f t="shared" si="0"/>
        <v>4</v>
      </c>
      <c r="I26" s="9">
        <f>+(4-1)/12</f>
        <v>0.25</v>
      </c>
      <c r="J26" s="3">
        <f t="shared" si="1"/>
        <v>78750.000000000015</v>
      </c>
    </row>
    <row r="27" spans="2:11" x14ac:dyDescent="0.2">
      <c r="B27" s="1" t="s">
        <v>341</v>
      </c>
      <c r="E27" s="4">
        <v>45658</v>
      </c>
      <c r="F27" s="3">
        <v>200000</v>
      </c>
      <c r="G27" s="12">
        <f>+E12</f>
        <v>8.5000000000000006E-2</v>
      </c>
      <c r="H27" s="1">
        <f t="shared" si="0"/>
        <v>2.9666666666666668</v>
      </c>
      <c r="I27" s="9">
        <f>+(3-1)/12</f>
        <v>0.16666666666666666</v>
      </c>
      <c r="J27" s="3">
        <f t="shared" si="1"/>
        <v>2833.333333333333</v>
      </c>
    </row>
    <row r="28" spans="2:11" x14ac:dyDescent="0.2">
      <c r="B28" s="1" t="s">
        <v>342</v>
      </c>
      <c r="E28" s="4">
        <v>45717</v>
      </c>
      <c r="F28" s="3">
        <v>1300000</v>
      </c>
      <c r="G28" s="12">
        <f>+E12</f>
        <v>8.5000000000000006E-2</v>
      </c>
      <c r="H28" s="1">
        <f t="shared" si="0"/>
        <v>1</v>
      </c>
      <c r="I28" s="9">
        <v>8.3333333333333329E-2</v>
      </c>
      <c r="J28" s="15">
        <f t="shared" si="1"/>
        <v>9208.3333333333339</v>
      </c>
      <c r="K28" s="1" t="s">
        <v>343</v>
      </c>
    </row>
    <row r="29" spans="2:11" x14ac:dyDescent="0.2">
      <c r="F29" s="3">
        <f>SUM(F24:F28)</f>
        <v>13800000</v>
      </c>
      <c r="J29" s="6">
        <f>SUM(J24:J28)</f>
        <v>395875</v>
      </c>
    </row>
    <row r="31" spans="2:11" x14ac:dyDescent="0.2">
      <c r="B31" s="1" t="s">
        <v>344</v>
      </c>
      <c r="J31" s="14">
        <v>385000</v>
      </c>
    </row>
    <row r="32" spans="2:11" x14ac:dyDescent="0.2">
      <c r="J32" s="14"/>
    </row>
    <row r="33" spans="2:10" ht="12.75" thickBot="1" x14ac:dyDescent="0.25">
      <c r="B33" s="1" t="s">
        <v>345</v>
      </c>
      <c r="J33" s="7">
        <f>+MIN(J29,J31)</f>
        <v>385000</v>
      </c>
    </row>
    <row r="34" spans="2:10" ht="12.75" thickTop="1" x14ac:dyDescent="0.2"/>
    <row r="35" spans="2:10" x14ac:dyDescent="0.2">
      <c r="B35" s="1" t="s">
        <v>346</v>
      </c>
    </row>
    <row r="36" spans="2:10" x14ac:dyDescent="0.2">
      <c r="B36" s="1" t="s">
        <v>347</v>
      </c>
    </row>
    <row r="37" spans="2:10" x14ac:dyDescent="0.2">
      <c r="B37" s="1" t="s">
        <v>348</v>
      </c>
    </row>
    <row r="38" spans="2:10" x14ac:dyDescent="0.2">
      <c r="B38" s="1" t="s">
        <v>349</v>
      </c>
    </row>
    <row r="39" spans="2:10" x14ac:dyDescent="0.2">
      <c r="B39" s="1" t="s">
        <v>350</v>
      </c>
    </row>
    <row r="40" spans="2:10" x14ac:dyDescent="0.2">
      <c r="B40" s="1" t="s">
        <v>351</v>
      </c>
    </row>
  </sheetData>
  <hyperlinks>
    <hyperlink ref="A1" location="Main!A1" display="Main" xr:uid="{82D334D7-81CF-4F00-AD77-467EB03802C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5D5A-2A10-4D2D-B99A-ABB575909A63}">
  <dimension ref="A1:F44"/>
  <sheetViews>
    <sheetView zoomScale="130" zoomScaleNormal="130" workbookViewId="0">
      <selection activeCell="D36" sqref="D36"/>
    </sheetView>
  </sheetViews>
  <sheetFormatPr defaultRowHeight="12" x14ac:dyDescent="0.2"/>
  <cols>
    <col min="1" max="1" width="9.140625" style="1"/>
    <col min="2" max="3" width="9.42578125" style="1" bestFit="1" customWidth="1"/>
    <col min="4" max="16384" width="9.140625" style="1"/>
  </cols>
  <sheetData>
    <row r="1" spans="1:5" ht="15" x14ac:dyDescent="0.25">
      <c r="A1" s="2" t="s">
        <v>10</v>
      </c>
    </row>
    <row r="3" spans="1:5" x14ac:dyDescent="0.2">
      <c r="B3" s="1" t="s">
        <v>352</v>
      </c>
      <c r="C3" s="1" t="s">
        <v>353</v>
      </c>
    </row>
    <row r="5" spans="1:5" x14ac:dyDescent="0.2">
      <c r="B5" s="1" t="s">
        <v>354</v>
      </c>
    </row>
    <row r="7" spans="1:5" x14ac:dyDescent="0.2">
      <c r="B7" s="1" t="s">
        <v>60</v>
      </c>
      <c r="C7" s="4">
        <v>44197</v>
      </c>
      <c r="D7" s="3">
        <v>12000000</v>
      </c>
    </row>
    <row r="8" spans="1:5" x14ac:dyDescent="0.2">
      <c r="B8" s="1" t="s">
        <v>355</v>
      </c>
      <c r="D8" s="8">
        <v>0.02</v>
      </c>
      <c r="E8" s="1" t="s">
        <v>356</v>
      </c>
    </row>
    <row r="9" spans="1:5" x14ac:dyDescent="0.2">
      <c r="B9" s="1" t="s">
        <v>357</v>
      </c>
      <c r="D9" s="3">
        <v>4000000</v>
      </c>
    </row>
    <row r="10" spans="1:5" x14ac:dyDescent="0.2">
      <c r="B10" s="1" t="s">
        <v>358</v>
      </c>
      <c r="C10" s="4">
        <v>46022</v>
      </c>
      <c r="D10" s="3">
        <v>14000000</v>
      </c>
    </row>
    <row r="11" spans="1:5" x14ac:dyDescent="0.2">
      <c r="B11" s="1" t="s">
        <v>358</v>
      </c>
      <c r="C11" s="4">
        <v>46752</v>
      </c>
      <c r="D11" s="3">
        <v>9000000</v>
      </c>
    </row>
    <row r="14" spans="1:5" x14ac:dyDescent="0.2">
      <c r="B14" s="1" t="s">
        <v>60</v>
      </c>
      <c r="C14" s="4">
        <v>46022</v>
      </c>
      <c r="D14" s="3">
        <f>+D7</f>
        <v>12000000</v>
      </c>
    </row>
    <row r="15" spans="1:5" x14ac:dyDescent="0.2">
      <c r="B15" s="1" t="s">
        <v>85</v>
      </c>
      <c r="C15" s="4">
        <v>46022</v>
      </c>
      <c r="D15" s="3">
        <f>5*D8*(D14-D9)</f>
        <v>800000</v>
      </c>
    </row>
    <row r="16" spans="1:5" x14ac:dyDescent="0.2">
      <c r="B16" s="1" t="s">
        <v>111</v>
      </c>
      <c r="C16" s="4">
        <v>46022</v>
      </c>
      <c r="D16" s="3">
        <f>+D14-D15</f>
        <v>11200000</v>
      </c>
    </row>
    <row r="17" spans="2:6" x14ac:dyDescent="0.2">
      <c r="B17" s="1" t="s">
        <v>133</v>
      </c>
      <c r="C17" s="4">
        <v>46022</v>
      </c>
      <c r="D17" s="3">
        <f>+D10</f>
        <v>14000000</v>
      </c>
    </row>
    <row r="18" spans="2:6" x14ac:dyDescent="0.2">
      <c r="B18" s="1" t="s">
        <v>143</v>
      </c>
      <c r="C18" s="4">
        <v>46022</v>
      </c>
      <c r="D18" s="3">
        <f>+D17-D16</f>
        <v>2800000</v>
      </c>
    </row>
    <row r="20" spans="2:6" x14ac:dyDescent="0.2">
      <c r="B20" s="1" t="s">
        <v>359</v>
      </c>
      <c r="E20" s="3">
        <f>+D15</f>
        <v>800000</v>
      </c>
    </row>
    <row r="21" spans="2:6" x14ac:dyDescent="0.2">
      <c r="B21" s="1" t="s">
        <v>360</v>
      </c>
      <c r="E21" s="3">
        <f>+D18-E20</f>
        <v>2000000</v>
      </c>
    </row>
    <row r="22" spans="2:6" x14ac:dyDescent="0.2">
      <c r="B22" s="1" t="s">
        <v>361</v>
      </c>
      <c r="F22" s="3">
        <f>SUM(E20:E21)</f>
        <v>2800000</v>
      </c>
    </row>
    <row r="24" spans="2:6" x14ac:dyDescent="0.2">
      <c r="B24" s="1" t="s">
        <v>362</v>
      </c>
      <c r="E24" s="3">
        <f>+F22/45</f>
        <v>62222.222222222219</v>
      </c>
      <c r="F24" s="3"/>
    </row>
    <row r="25" spans="2:6" x14ac:dyDescent="0.2">
      <c r="E25" s="3"/>
      <c r="F25" s="3">
        <f>+E24</f>
        <v>62222.222222222219</v>
      </c>
    </row>
    <row r="28" spans="2:6" x14ac:dyDescent="0.2">
      <c r="B28" s="1" t="s">
        <v>60</v>
      </c>
      <c r="C28" s="4">
        <v>46752</v>
      </c>
      <c r="D28" s="3">
        <f>+D17</f>
        <v>14000000</v>
      </c>
    </row>
    <row r="29" spans="2:6" x14ac:dyDescent="0.2">
      <c r="B29" s="1" t="s">
        <v>85</v>
      </c>
      <c r="C29" s="4">
        <v>46752</v>
      </c>
      <c r="D29" s="3">
        <f>+(D17-D9)*(2/45)</f>
        <v>444444.44444444444</v>
      </c>
      <c r="E29" s="1" t="s">
        <v>363</v>
      </c>
    </row>
    <row r="30" spans="2:6" x14ac:dyDescent="0.2">
      <c r="B30" s="1" t="s">
        <v>111</v>
      </c>
      <c r="C30" s="4">
        <v>46752</v>
      </c>
      <c r="D30" s="3">
        <f>+D28-D29</f>
        <v>13555555.555555556</v>
      </c>
    </row>
    <row r="31" spans="2:6" x14ac:dyDescent="0.2">
      <c r="B31" s="1" t="s">
        <v>133</v>
      </c>
      <c r="C31" s="4">
        <v>46752</v>
      </c>
      <c r="D31" s="3">
        <v>9000000</v>
      </c>
    </row>
    <row r="32" spans="2:6" x14ac:dyDescent="0.2">
      <c r="B32" s="1" t="s">
        <v>364</v>
      </c>
      <c r="D32" s="3">
        <f>+D30-D31</f>
        <v>4555555.555555556</v>
      </c>
    </row>
    <row r="33" spans="2:6" x14ac:dyDescent="0.2">
      <c r="D33" s="3"/>
    </row>
    <row r="34" spans="2:6" x14ac:dyDescent="0.2">
      <c r="B34" s="1" t="s">
        <v>365</v>
      </c>
      <c r="D34" s="3">
        <f>+F22</f>
        <v>2800000</v>
      </c>
    </row>
    <row r="35" spans="2:6" x14ac:dyDescent="0.2">
      <c r="B35" s="1" t="s">
        <v>366</v>
      </c>
      <c r="D35" s="3">
        <f>+E24*2</f>
        <v>124444.44444444444</v>
      </c>
    </row>
    <row r="36" spans="2:6" x14ac:dyDescent="0.2">
      <c r="B36" s="1" t="s">
        <v>126</v>
      </c>
      <c r="D36" s="3">
        <f>+D34-D35</f>
        <v>2675555.5555555555</v>
      </c>
    </row>
    <row r="37" spans="2:6" x14ac:dyDescent="0.2">
      <c r="D37" s="3"/>
    </row>
    <row r="38" spans="2:6" x14ac:dyDescent="0.2">
      <c r="B38" s="1" t="s">
        <v>367</v>
      </c>
      <c r="D38" s="3">
        <f>+D32-D36</f>
        <v>1880000.0000000005</v>
      </c>
    </row>
    <row r="39" spans="2:6" x14ac:dyDescent="0.2">
      <c r="D39" s="3"/>
    </row>
    <row r="41" spans="2:6" x14ac:dyDescent="0.2">
      <c r="B41" s="1" t="s">
        <v>368</v>
      </c>
      <c r="E41" s="3">
        <f>+F22-E24*2</f>
        <v>2675555.5555555555</v>
      </c>
    </row>
    <row r="42" spans="2:6" x14ac:dyDescent="0.2">
      <c r="B42" s="1" t="s">
        <v>369</v>
      </c>
      <c r="E42" s="3">
        <f>+D38</f>
        <v>1880000.0000000005</v>
      </c>
    </row>
    <row r="43" spans="2:6" x14ac:dyDescent="0.2">
      <c r="B43" s="1" t="s">
        <v>370</v>
      </c>
      <c r="E43" s="3">
        <f>+D29</f>
        <v>444444.44444444444</v>
      </c>
    </row>
    <row r="44" spans="2:6" x14ac:dyDescent="0.2">
      <c r="C44" s="1" t="s">
        <v>371</v>
      </c>
      <c r="F44" s="3">
        <f>SUM(E41:E43)</f>
        <v>5000000</v>
      </c>
    </row>
  </sheetData>
  <hyperlinks>
    <hyperlink ref="A1" location="Main!A1" display="Main" xr:uid="{A5A2EEA8-1B31-49E5-8BD0-EFBC968CE20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7E1D1-B24B-4308-941A-21BB5CC61C72}">
  <dimension ref="A1:I65"/>
  <sheetViews>
    <sheetView topLeftCell="A24" zoomScale="130" zoomScaleNormal="130" workbookViewId="0">
      <selection activeCell="E59" sqref="E59"/>
    </sheetView>
  </sheetViews>
  <sheetFormatPr defaultRowHeight="12" x14ac:dyDescent="0.2"/>
  <cols>
    <col min="1" max="16384" width="9.140625" style="1"/>
  </cols>
  <sheetData>
    <row r="1" spans="1:8" ht="15" x14ac:dyDescent="0.25">
      <c r="A1" s="2" t="s">
        <v>10</v>
      </c>
    </row>
    <row r="4" spans="1:8" x14ac:dyDescent="0.2">
      <c r="B4" s="1" t="s">
        <v>372</v>
      </c>
      <c r="C4" s="1" t="s">
        <v>373</v>
      </c>
    </row>
    <row r="6" spans="1:8" x14ac:dyDescent="0.2">
      <c r="B6" s="1" t="s">
        <v>33</v>
      </c>
      <c r="C6" s="4">
        <v>44561</v>
      </c>
    </row>
    <row r="7" spans="1:8" x14ac:dyDescent="0.2">
      <c r="B7" s="1" t="s">
        <v>60</v>
      </c>
      <c r="C7" s="1">
        <v>2021</v>
      </c>
      <c r="D7" s="3">
        <v>20000000</v>
      </c>
    </row>
    <row r="8" spans="1:8" x14ac:dyDescent="0.2">
      <c r="B8" s="1" t="s">
        <v>355</v>
      </c>
      <c r="D8" s="8">
        <v>0.05</v>
      </c>
      <c r="E8" s="1" t="s">
        <v>356</v>
      </c>
    </row>
    <row r="9" spans="1:8" x14ac:dyDescent="0.2">
      <c r="B9" s="1" t="s">
        <v>374</v>
      </c>
      <c r="D9" s="3">
        <f>+D7*D8</f>
        <v>1000000</v>
      </c>
    </row>
    <row r="10" spans="1:8" x14ac:dyDescent="0.2">
      <c r="B10" s="1" t="s">
        <v>358</v>
      </c>
      <c r="C10" s="4">
        <v>46387</v>
      </c>
      <c r="D10" s="3">
        <v>10000000</v>
      </c>
    </row>
    <row r="11" spans="1:8" x14ac:dyDescent="0.2">
      <c r="B11" s="1" t="s">
        <v>133</v>
      </c>
      <c r="C11" s="4">
        <v>47483</v>
      </c>
      <c r="D11" s="3">
        <v>18000000</v>
      </c>
    </row>
    <row r="14" spans="1:8" x14ac:dyDescent="0.2">
      <c r="B14" s="4">
        <v>44561</v>
      </c>
    </row>
    <row r="15" spans="1:8" x14ac:dyDescent="0.2">
      <c r="B15" s="1" t="s">
        <v>375</v>
      </c>
      <c r="E15" s="3">
        <v>20000000</v>
      </c>
      <c r="F15" s="3"/>
    </row>
    <row r="16" spans="1:8" x14ac:dyDescent="0.2">
      <c r="B16" s="1" t="s">
        <v>376</v>
      </c>
      <c r="E16" s="3"/>
      <c r="F16" s="3">
        <v>20000000</v>
      </c>
      <c r="H16" s="1" t="s">
        <v>377</v>
      </c>
    </row>
    <row r="17" spans="2:8" x14ac:dyDescent="0.2">
      <c r="B17" s="1" t="s">
        <v>378</v>
      </c>
      <c r="E17" s="3"/>
      <c r="F17" s="3"/>
    </row>
    <row r="18" spans="2:8" x14ac:dyDescent="0.2">
      <c r="E18" s="3"/>
      <c r="F18" s="3"/>
    </row>
    <row r="19" spans="2:8" x14ac:dyDescent="0.2">
      <c r="B19" s="1" t="s">
        <v>299</v>
      </c>
      <c r="E19" s="3">
        <f>+D9</f>
        <v>1000000</v>
      </c>
      <c r="F19" s="3"/>
    </row>
    <row r="20" spans="2:8" x14ac:dyDescent="0.2">
      <c r="C20" s="1" t="s">
        <v>379</v>
      </c>
      <c r="E20" s="3"/>
      <c r="F20" s="3">
        <f>+E19</f>
        <v>1000000</v>
      </c>
      <c r="H20" s="1" t="s">
        <v>377</v>
      </c>
    </row>
    <row r="21" spans="2:8" x14ac:dyDescent="0.2">
      <c r="B21" s="1" t="s">
        <v>380</v>
      </c>
      <c r="E21" s="3"/>
      <c r="F21" s="3"/>
    </row>
    <row r="22" spans="2:8" x14ac:dyDescent="0.2">
      <c r="E22" s="3"/>
      <c r="F22" s="3"/>
    </row>
    <row r="23" spans="2:8" x14ac:dyDescent="0.2">
      <c r="B23" s="4">
        <v>44926</v>
      </c>
      <c r="E23" s="3"/>
      <c r="F23" s="3"/>
    </row>
    <row r="24" spans="2:8" x14ac:dyDescent="0.2">
      <c r="B24" s="1" t="s">
        <v>299</v>
      </c>
      <c r="E24" s="3">
        <f>+E19</f>
        <v>1000000</v>
      </c>
      <c r="F24" s="3"/>
    </row>
    <row r="25" spans="2:8" x14ac:dyDescent="0.2">
      <c r="C25" s="1" t="s">
        <v>379</v>
      </c>
      <c r="E25" s="3"/>
      <c r="F25" s="3">
        <f>+E24</f>
        <v>1000000</v>
      </c>
    </row>
    <row r="26" spans="2:8" x14ac:dyDescent="0.2">
      <c r="E26" s="3"/>
      <c r="F26" s="3"/>
    </row>
    <row r="27" spans="2:8" x14ac:dyDescent="0.2">
      <c r="B27" s="1" t="s">
        <v>381</v>
      </c>
      <c r="E27" s="3"/>
      <c r="F27" s="3"/>
    </row>
    <row r="28" spans="2:8" x14ac:dyDescent="0.2">
      <c r="B28" s="1" t="s">
        <v>382</v>
      </c>
      <c r="E28" s="3"/>
      <c r="F28" s="3">
        <f>+F25*6</f>
        <v>6000000</v>
      </c>
    </row>
    <row r="30" spans="2:8" x14ac:dyDescent="0.2">
      <c r="B30" s="4"/>
    </row>
    <row r="31" spans="2:8" x14ac:dyDescent="0.2">
      <c r="B31" s="1" t="s">
        <v>111</v>
      </c>
      <c r="C31" s="4">
        <v>46387</v>
      </c>
      <c r="D31" s="3">
        <f>+D7-F28</f>
        <v>14000000</v>
      </c>
    </row>
    <row r="32" spans="2:8" x14ac:dyDescent="0.2">
      <c r="B32" s="1" t="s">
        <v>142</v>
      </c>
      <c r="C32" s="4">
        <v>46387</v>
      </c>
      <c r="D32" s="3">
        <f>+D10</f>
        <v>10000000</v>
      </c>
    </row>
    <row r="33" spans="2:8" x14ac:dyDescent="0.2">
      <c r="B33" s="1" t="s">
        <v>128</v>
      </c>
      <c r="D33" s="3">
        <f>+D32-D31</f>
        <v>-4000000</v>
      </c>
      <c r="H33" s="1" t="s">
        <v>377</v>
      </c>
    </row>
    <row r="34" spans="2:8" x14ac:dyDescent="0.2">
      <c r="B34" s="1" t="s">
        <v>144</v>
      </c>
      <c r="D34" s="1">
        <v>14</v>
      </c>
    </row>
    <row r="35" spans="2:8" x14ac:dyDescent="0.2">
      <c r="B35" s="1" t="s">
        <v>131</v>
      </c>
      <c r="D35" s="3">
        <f>+D32/D34</f>
        <v>714285.71428571432</v>
      </c>
      <c r="E35" s="3"/>
      <c r="F35" s="3"/>
    </row>
    <row r="36" spans="2:8" x14ac:dyDescent="0.2">
      <c r="B36" s="1" t="s">
        <v>132</v>
      </c>
      <c r="D36" s="3">
        <f>+D9</f>
        <v>1000000</v>
      </c>
      <c r="E36" s="3"/>
      <c r="F36" s="3"/>
    </row>
    <row r="37" spans="2:8" x14ac:dyDescent="0.2">
      <c r="D37" s="3"/>
      <c r="E37" s="3"/>
      <c r="F37" s="3"/>
    </row>
    <row r="38" spans="2:8" x14ac:dyDescent="0.2">
      <c r="B38" s="1" t="s">
        <v>383</v>
      </c>
      <c r="D38" s="3"/>
      <c r="E38" s="3">
        <f>-D33</f>
        <v>4000000</v>
      </c>
      <c r="F38" s="3"/>
    </row>
    <row r="39" spans="2:8" x14ac:dyDescent="0.2">
      <c r="B39" s="1" t="s">
        <v>384</v>
      </c>
      <c r="D39" s="3"/>
      <c r="E39" s="3">
        <f>+F28</f>
        <v>6000000</v>
      </c>
      <c r="F39" s="3"/>
    </row>
    <row r="40" spans="2:8" x14ac:dyDescent="0.2">
      <c r="B40" s="1" t="s">
        <v>22</v>
      </c>
      <c r="D40" s="3"/>
      <c r="E40" s="3"/>
      <c r="F40" s="3">
        <f>+D32</f>
        <v>10000000</v>
      </c>
      <c r="H40" s="1" t="s">
        <v>385</v>
      </c>
    </row>
    <row r="41" spans="2:8" x14ac:dyDescent="0.2">
      <c r="B41" s="1" t="s">
        <v>386</v>
      </c>
      <c r="D41" s="3"/>
      <c r="E41" s="3"/>
      <c r="F41" s="3"/>
    </row>
    <row r="42" spans="2:8" x14ac:dyDescent="0.2">
      <c r="D42" s="3"/>
      <c r="E42" s="3"/>
      <c r="F42" s="3"/>
    </row>
    <row r="43" spans="2:8" x14ac:dyDescent="0.2">
      <c r="D43" s="3"/>
      <c r="E43" s="3"/>
      <c r="F43" s="3"/>
    </row>
    <row r="44" spans="2:8" x14ac:dyDescent="0.2">
      <c r="B44" s="1" t="s">
        <v>299</v>
      </c>
      <c r="C44" s="4"/>
      <c r="D44" s="3"/>
      <c r="E44" s="3">
        <f>+D35</f>
        <v>714285.71428571432</v>
      </c>
      <c r="F44" s="3"/>
      <c r="H44" s="1" t="s">
        <v>377</v>
      </c>
    </row>
    <row r="45" spans="2:8" x14ac:dyDescent="0.2">
      <c r="B45" s="1" t="s">
        <v>387</v>
      </c>
      <c r="D45" s="3"/>
      <c r="E45" s="3"/>
      <c r="F45" s="3">
        <f>+E44</f>
        <v>714285.71428571432</v>
      </c>
    </row>
    <row r="46" spans="2:8" x14ac:dyDescent="0.2">
      <c r="D46" s="3"/>
      <c r="E46" s="3"/>
      <c r="F46" s="3"/>
    </row>
    <row r="47" spans="2:8" x14ac:dyDescent="0.2">
      <c r="B47" s="1" t="s">
        <v>299</v>
      </c>
      <c r="C47" s="4"/>
      <c r="D47" s="3"/>
      <c r="E47" s="3">
        <f>+D35</f>
        <v>714285.71428571432</v>
      </c>
      <c r="F47" s="3"/>
    </row>
    <row r="48" spans="2:8" x14ac:dyDescent="0.2">
      <c r="B48" s="1" t="s">
        <v>387</v>
      </c>
      <c r="D48" s="3"/>
      <c r="E48" s="3"/>
      <c r="F48" s="3">
        <f>+E47</f>
        <v>714285.71428571432</v>
      </c>
    </row>
    <row r="49" spans="2:9" x14ac:dyDescent="0.2">
      <c r="D49" s="3"/>
      <c r="E49" s="3"/>
      <c r="F49" s="3"/>
    </row>
    <row r="50" spans="2:9" x14ac:dyDescent="0.2">
      <c r="B50" s="1" t="s">
        <v>388</v>
      </c>
      <c r="D50" s="3"/>
      <c r="E50" s="3"/>
      <c r="F50" s="3"/>
    </row>
    <row r="51" spans="2:9" x14ac:dyDescent="0.2">
      <c r="D51" s="3"/>
      <c r="E51" s="3"/>
      <c r="F51" s="3"/>
    </row>
    <row r="52" spans="2:9" x14ac:dyDescent="0.2">
      <c r="B52" s="1" t="s">
        <v>111</v>
      </c>
      <c r="C52" s="4">
        <v>47483</v>
      </c>
      <c r="D52" s="3">
        <f>+D32-3*D35</f>
        <v>7857142.8571428573</v>
      </c>
      <c r="E52" s="3"/>
      <c r="F52" s="3"/>
      <c r="H52" s="1" t="s">
        <v>377</v>
      </c>
      <c r="I52" s="1" t="s">
        <v>389</v>
      </c>
    </row>
    <row r="53" spans="2:9" x14ac:dyDescent="0.2">
      <c r="B53" s="1" t="s">
        <v>390</v>
      </c>
      <c r="C53" s="4">
        <v>47483</v>
      </c>
      <c r="D53" s="3">
        <v>18000000</v>
      </c>
    </row>
    <row r="54" spans="2:9" x14ac:dyDescent="0.2">
      <c r="B54" s="1" t="s">
        <v>391</v>
      </c>
      <c r="C54" s="4">
        <v>47483</v>
      </c>
      <c r="D54" s="3">
        <f>+D53-D52</f>
        <v>10142857.142857142</v>
      </c>
      <c r="H54" s="1" t="s">
        <v>377</v>
      </c>
    </row>
    <row r="55" spans="2:9" x14ac:dyDescent="0.2">
      <c r="C55" s="4"/>
      <c r="D55" s="3"/>
    </row>
    <row r="56" spans="2:9" x14ac:dyDescent="0.2">
      <c r="C56" s="4"/>
      <c r="D56" s="3"/>
      <c r="H56" s="1" t="s">
        <v>392</v>
      </c>
    </row>
    <row r="57" spans="2:9" x14ac:dyDescent="0.2">
      <c r="C57" s="4"/>
      <c r="D57" s="3"/>
    </row>
    <row r="58" spans="2:9" x14ac:dyDescent="0.2">
      <c r="B58" s="1" t="s">
        <v>393</v>
      </c>
      <c r="C58" s="4"/>
      <c r="D58" s="3">
        <f>0.55*D7</f>
        <v>11000000</v>
      </c>
      <c r="E58" s="1" t="s">
        <v>650</v>
      </c>
    </row>
    <row r="59" spans="2:9" x14ac:dyDescent="0.2">
      <c r="B59" s="1" t="s">
        <v>126</v>
      </c>
      <c r="C59" s="4"/>
      <c r="D59" s="3">
        <f>+D52</f>
        <v>7857142.8571428573</v>
      </c>
    </row>
    <row r="60" spans="2:9" x14ac:dyDescent="0.2">
      <c r="B60" s="1" t="s">
        <v>394</v>
      </c>
      <c r="C60" s="4"/>
      <c r="D60" s="3">
        <f>+D58-D59</f>
        <v>3142857.1428571427</v>
      </c>
    </row>
    <row r="61" spans="2:9" x14ac:dyDescent="0.2">
      <c r="C61" s="4"/>
      <c r="D61" s="3"/>
    </row>
    <row r="62" spans="2:9" x14ac:dyDescent="0.2">
      <c r="B62" s="1" t="s">
        <v>395</v>
      </c>
      <c r="C62" s="4"/>
      <c r="D62" s="3"/>
      <c r="E62" s="3">
        <f>+D53-D32</f>
        <v>8000000</v>
      </c>
    </row>
    <row r="63" spans="2:9" x14ac:dyDescent="0.2">
      <c r="B63" s="1" t="s">
        <v>20</v>
      </c>
      <c r="C63" s="4"/>
      <c r="D63" s="3"/>
      <c r="E63" s="3">
        <f>+D54-E62</f>
        <v>2142857.1428571418</v>
      </c>
    </row>
    <row r="64" spans="2:9" x14ac:dyDescent="0.2">
      <c r="B64" s="1" t="s">
        <v>396</v>
      </c>
      <c r="C64" s="4"/>
      <c r="D64" s="3"/>
      <c r="F64" s="3">
        <f>+D60</f>
        <v>3142857.1428571427</v>
      </c>
      <c r="G64" s="1" t="s">
        <v>648</v>
      </c>
    </row>
    <row r="65" spans="2:7" x14ac:dyDescent="0.2">
      <c r="B65" s="1" t="s">
        <v>397</v>
      </c>
      <c r="C65" s="4"/>
      <c r="D65" s="3"/>
      <c r="F65" s="3">
        <f>+E63+E62-F64</f>
        <v>6999999.9999999991</v>
      </c>
      <c r="G65" s="1" t="s">
        <v>649</v>
      </c>
    </row>
  </sheetData>
  <hyperlinks>
    <hyperlink ref="A1" location="Main!A1" display="Main" xr:uid="{CC8C932C-1C2A-4744-AA8C-BBB296F5569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71976-7B78-4445-8DFC-B3D71AC5A2B3}">
  <dimension ref="A1:H142"/>
  <sheetViews>
    <sheetView topLeftCell="A109" zoomScale="130" zoomScaleNormal="130" workbookViewId="0">
      <selection activeCell="E141" sqref="E141"/>
    </sheetView>
  </sheetViews>
  <sheetFormatPr defaultRowHeight="12" x14ac:dyDescent="0.2"/>
  <cols>
    <col min="1" max="16384" width="9.140625" style="1"/>
  </cols>
  <sheetData>
    <row r="1" spans="1:5" ht="15" x14ac:dyDescent="0.25">
      <c r="A1" s="2" t="s">
        <v>10</v>
      </c>
    </row>
    <row r="4" spans="1:5" x14ac:dyDescent="0.2">
      <c r="B4" s="1" t="s">
        <v>398</v>
      </c>
    </row>
    <row r="5" spans="1:5" x14ac:dyDescent="0.2">
      <c r="B5" s="1" t="s">
        <v>33</v>
      </c>
      <c r="C5" s="4">
        <v>43830</v>
      </c>
    </row>
    <row r="7" spans="1:5" x14ac:dyDescent="0.2">
      <c r="B7" s="1" t="s">
        <v>399</v>
      </c>
    </row>
    <row r="8" spans="1:5" x14ac:dyDescent="0.2">
      <c r="B8" s="1" t="s">
        <v>400</v>
      </c>
    </row>
    <row r="10" spans="1:5" x14ac:dyDescent="0.2">
      <c r="B10" s="1" t="s">
        <v>401</v>
      </c>
    </row>
    <row r="11" spans="1:5" x14ac:dyDescent="0.2">
      <c r="B11" s="1" t="s">
        <v>402</v>
      </c>
    </row>
    <row r="13" spans="1:5" x14ac:dyDescent="0.2">
      <c r="B13" s="4">
        <v>43465</v>
      </c>
      <c r="C13" s="1" t="s">
        <v>403</v>
      </c>
      <c r="D13" s="1" t="s">
        <v>158</v>
      </c>
      <c r="E13" s="1" t="s">
        <v>404</v>
      </c>
    </row>
    <row r="14" spans="1:5" x14ac:dyDescent="0.2">
      <c r="B14" s="1" t="s">
        <v>105</v>
      </c>
      <c r="C14" s="3">
        <v>6107</v>
      </c>
      <c r="D14" s="3">
        <v>6200</v>
      </c>
      <c r="E14" s="3">
        <v>1410</v>
      </c>
    </row>
    <row r="15" spans="1:5" x14ac:dyDescent="0.2">
      <c r="B15" s="1" t="s">
        <v>85</v>
      </c>
      <c r="C15" s="3">
        <v>2207</v>
      </c>
      <c r="D15" s="3">
        <v>3800</v>
      </c>
      <c r="E15" s="3">
        <v>600</v>
      </c>
    </row>
    <row r="16" spans="1:5" ht="12.75" thickBot="1" x14ac:dyDescent="0.25">
      <c r="B16" s="1" t="s">
        <v>111</v>
      </c>
      <c r="C16" s="5">
        <f>+C14-C15</f>
        <v>3900</v>
      </c>
      <c r="D16" s="5">
        <f t="shared" ref="D16:E16" si="0">+D14-D15</f>
        <v>2400</v>
      </c>
      <c r="E16" s="5">
        <f t="shared" si="0"/>
        <v>810</v>
      </c>
    </row>
    <row r="17" spans="2:6" ht="12.75" thickTop="1" x14ac:dyDescent="0.2"/>
    <row r="19" spans="2:6" x14ac:dyDescent="0.2">
      <c r="B19" s="14" t="s">
        <v>405</v>
      </c>
    </row>
    <row r="21" spans="2:6" x14ac:dyDescent="0.2">
      <c r="B21" s="1" t="s">
        <v>406</v>
      </c>
    </row>
    <row r="22" spans="2:6" x14ac:dyDescent="0.2">
      <c r="D22" s="1" t="s">
        <v>94</v>
      </c>
      <c r="E22" s="1" t="s">
        <v>407</v>
      </c>
      <c r="F22" s="1" t="s">
        <v>408</v>
      </c>
    </row>
    <row r="23" spans="2:6" x14ac:dyDescent="0.2">
      <c r="B23" s="1" t="s">
        <v>105</v>
      </c>
      <c r="D23" s="3">
        <v>1200</v>
      </c>
      <c r="E23" s="3">
        <v>1467</v>
      </c>
      <c r="F23" s="3">
        <v>2000</v>
      </c>
    </row>
    <row r="24" spans="2:6" x14ac:dyDescent="0.2">
      <c r="B24" s="1" t="s">
        <v>85</v>
      </c>
      <c r="D24" s="3">
        <v>0</v>
      </c>
      <c r="E24" s="3">
        <v>367</v>
      </c>
      <c r="F24" s="3">
        <v>1000</v>
      </c>
    </row>
    <row r="25" spans="2:6" x14ac:dyDescent="0.2">
      <c r="B25" s="1" t="s">
        <v>111</v>
      </c>
      <c r="D25" s="3">
        <f>+D23-D24</f>
        <v>1200</v>
      </c>
      <c r="E25" s="3">
        <f t="shared" ref="E25:F25" si="1">+E23-E24</f>
        <v>1100</v>
      </c>
      <c r="F25" s="3">
        <f t="shared" si="1"/>
        <v>1000</v>
      </c>
    </row>
    <row r="26" spans="2:6" x14ac:dyDescent="0.2">
      <c r="B26" s="1" t="s">
        <v>133</v>
      </c>
      <c r="C26" s="4">
        <v>43466</v>
      </c>
      <c r="D26" s="3">
        <v>2300</v>
      </c>
      <c r="E26" s="3">
        <v>1700</v>
      </c>
      <c r="F26" s="3">
        <v>700</v>
      </c>
    </row>
    <row r="27" spans="2:6" ht="12.75" thickBot="1" x14ac:dyDescent="0.25">
      <c r="B27" s="1" t="s">
        <v>409</v>
      </c>
      <c r="D27" s="5">
        <f>+D26-D25</f>
        <v>1100</v>
      </c>
      <c r="E27" s="5">
        <f t="shared" ref="E27:F27" si="2">+E26-E25</f>
        <v>600</v>
      </c>
      <c r="F27" s="5">
        <f t="shared" si="2"/>
        <v>-300</v>
      </c>
    </row>
    <row r="28" spans="2:6" ht="12.75" thickTop="1" x14ac:dyDescent="0.2">
      <c r="D28" s="3"/>
      <c r="E28" s="3"/>
      <c r="F28" s="3"/>
    </row>
    <row r="29" spans="2:6" x14ac:dyDescent="0.2">
      <c r="B29" s="1" t="s">
        <v>144</v>
      </c>
      <c r="D29" s="3" t="s">
        <v>410</v>
      </c>
      <c r="E29" s="3">
        <v>30</v>
      </c>
      <c r="F29" s="3">
        <v>20</v>
      </c>
    </row>
    <row r="30" spans="2:6" x14ac:dyDescent="0.2">
      <c r="D30" s="3"/>
      <c r="E30" s="3"/>
      <c r="F30" s="3"/>
    </row>
    <row r="31" spans="2:6" x14ac:dyDescent="0.2">
      <c r="B31" s="14" t="s">
        <v>411</v>
      </c>
      <c r="D31" s="3"/>
      <c r="E31" s="3"/>
      <c r="F31" s="3"/>
    </row>
    <row r="32" spans="2:6" x14ac:dyDescent="0.2">
      <c r="B32" s="14" t="s">
        <v>94</v>
      </c>
      <c r="D32" s="3"/>
      <c r="E32" s="3"/>
      <c r="F32" s="3"/>
    </row>
    <row r="33" spans="2:7" x14ac:dyDescent="0.2">
      <c r="B33" s="1" t="s">
        <v>412</v>
      </c>
      <c r="D33" s="3"/>
      <c r="E33" s="3">
        <f>+D27</f>
        <v>1100</v>
      </c>
      <c r="F33" s="3"/>
      <c r="G33" s="16" t="s">
        <v>413</v>
      </c>
    </row>
    <row r="34" spans="2:7" x14ac:dyDescent="0.2">
      <c r="C34" s="1" t="s">
        <v>414</v>
      </c>
      <c r="D34" s="3"/>
      <c r="E34" s="3"/>
      <c r="F34" s="17">
        <f>+E33</f>
        <v>1100</v>
      </c>
      <c r="G34" s="1" t="s">
        <v>415</v>
      </c>
    </row>
    <row r="35" spans="2:7" x14ac:dyDescent="0.2">
      <c r="B35" s="1" t="s">
        <v>416</v>
      </c>
      <c r="D35" s="3"/>
      <c r="E35" s="3"/>
      <c r="F35" s="3"/>
      <c r="G35" s="1" t="s">
        <v>417</v>
      </c>
    </row>
    <row r="36" spans="2:7" x14ac:dyDescent="0.2">
      <c r="D36" s="3"/>
      <c r="E36" s="3"/>
      <c r="F36" s="3"/>
    </row>
    <row r="37" spans="2:7" x14ac:dyDescent="0.2">
      <c r="B37" s="14" t="s">
        <v>418</v>
      </c>
      <c r="D37" s="3"/>
      <c r="E37" s="3"/>
      <c r="F37" s="3"/>
    </row>
    <row r="38" spans="2:7" x14ac:dyDescent="0.2">
      <c r="B38" s="1" t="s">
        <v>419</v>
      </c>
      <c r="D38" s="3"/>
      <c r="E38" s="3">
        <f>+F40-E39</f>
        <v>233</v>
      </c>
      <c r="F38" s="3"/>
    </row>
    <row r="39" spans="2:7" x14ac:dyDescent="0.2">
      <c r="B39" s="1" t="s">
        <v>197</v>
      </c>
      <c r="D39" s="3"/>
      <c r="E39" s="17">
        <f>+E24</f>
        <v>367</v>
      </c>
    </row>
    <row r="40" spans="2:7" x14ac:dyDescent="0.2">
      <c r="C40" s="1" t="s">
        <v>414</v>
      </c>
      <c r="D40" s="3"/>
      <c r="E40" s="3"/>
      <c r="F40" s="17">
        <f>+E27</f>
        <v>600</v>
      </c>
    </row>
    <row r="41" spans="2:7" x14ac:dyDescent="0.2">
      <c r="D41" s="3"/>
      <c r="E41" s="3"/>
      <c r="F41" s="3"/>
    </row>
    <row r="42" spans="2:7" x14ac:dyDescent="0.2">
      <c r="B42" s="14" t="s">
        <v>408</v>
      </c>
      <c r="D42" s="3"/>
      <c r="E42" s="3"/>
      <c r="F42" s="3"/>
    </row>
    <row r="43" spans="2:7" x14ac:dyDescent="0.2">
      <c r="B43" s="1" t="s">
        <v>420</v>
      </c>
      <c r="D43" s="3"/>
      <c r="E43" s="17">
        <f>-F27</f>
        <v>300</v>
      </c>
      <c r="F43" s="3"/>
    </row>
    <row r="44" spans="2:7" x14ac:dyDescent="0.2">
      <c r="C44" s="1" t="s">
        <v>421</v>
      </c>
      <c r="D44" s="3"/>
      <c r="E44" s="3"/>
      <c r="F44" s="3">
        <f>-F27</f>
        <v>300</v>
      </c>
    </row>
    <row r="45" spans="2:7" x14ac:dyDescent="0.2">
      <c r="D45" s="3"/>
      <c r="E45" s="3"/>
      <c r="F45" s="3"/>
    </row>
    <row r="46" spans="2:7" x14ac:dyDescent="0.2">
      <c r="B46" s="1" t="s">
        <v>422</v>
      </c>
      <c r="D46" s="3"/>
      <c r="E46" s="3">
        <f>+E43</f>
        <v>300</v>
      </c>
      <c r="F46" s="3"/>
    </row>
    <row r="47" spans="2:7" x14ac:dyDescent="0.2">
      <c r="B47" s="1" t="s">
        <v>423</v>
      </c>
      <c r="D47" s="3"/>
      <c r="E47" s="3">
        <f>+E33+E38-F44</f>
        <v>1033</v>
      </c>
      <c r="F47" s="3"/>
    </row>
    <row r="48" spans="2:7" x14ac:dyDescent="0.2">
      <c r="B48" s="1" t="s">
        <v>424</v>
      </c>
      <c r="D48" s="3"/>
      <c r="E48" s="3">
        <f>+E39</f>
        <v>367</v>
      </c>
      <c r="F48" s="3"/>
    </row>
    <row r="49" spans="2:6" x14ac:dyDescent="0.2">
      <c r="C49" s="1" t="s">
        <v>216</v>
      </c>
      <c r="D49" s="3"/>
      <c r="E49" s="3"/>
      <c r="F49" s="3">
        <f>+F34+F40</f>
        <v>1700</v>
      </c>
    </row>
    <row r="50" spans="2:6" x14ac:dyDescent="0.2">
      <c r="E50" s="3"/>
      <c r="F50" s="3"/>
    </row>
    <row r="51" spans="2:6" x14ac:dyDescent="0.2">
      <c r="B51" s="1" t="s">
        <v>201</v>
      </c>
      <c r="E51" s="3"/>
      <c r="F51" s="3"/>
    </row>
    <row r="52" spans="2:6" x14ac:dyDescent="0.2">
      <c r="B52" s="1" t="s">
        <v>425</v>
      </c>
      <c r="C52" s="3">
        <v>6107</v>
      </c>
      <c r="E52" s="3"/>
      <c r="F52" s="3"/>
    </row>
    <row r="53" spans="2:6" x14ac:dyDescent="0.2">
      <c r="B53" s="1" t="s">
        <v>426</v>
      </c>
      <c r="C53" s="3">
        <f>+D23</f>
        <v>1200</v>
      </c>
      <c r="E53" s="3"/>
      <c r="F53" s="3"/>
    </row>
    <row r="54" spans="2:6" x14ac:dyDescent="0.2">
      <c r="B54" s="1" t="s">
        <v>427</v>
      </c>
      <c r="C54" s="3">
        <f>+E23</f>
        <v>1467</v>
      </c>
      <c r="E54" s="3"/>
      <c r="F54" s="3"/>
    </row>
    <row r="55" spans="2:6" x14ac:dyDescent="0.2">
      <c r="B55" s="1" t="s">
        <v>428</v>
      </c>
      <c r="C55" s="3">
        <f>+F23</f>
        <v>2000</v>
      </c>
      <c r="E55" s="3"/>
      <c r="F55" s="3"/>
    </row>
    <row r="56" spans="2:6" x14ac:dyDescent="0.2">
      <c r="C56" s="3">
        <f>+C52-SUM(C53:C55)</f>
        <v>1440</v>
      </c>
      <c r="E56" s="3"/>
      <c r="F56" s="3"/>
    </row>
    <row r="57" spans="2:6" x14ac:dyDescent="0.2">
      <c r="D57" s="3">
        <f>+C56/40</f>
        <v>36</v>
      </c>
      <c r="E57" s="3"/>
      <c r="F57" s="3"/>
    </row>
    <row r="58" spans="2:6" x14ac:dyDescent="0.2">
      <c r="D58" s="3"/>
      <c r="E58" s="3"/>
      <c r="F58" s="3"/>
    </row>
    <row r="59" spans="2:6" x14ac:dyDescent="0.2">
      <c r="B59" s="1" t="s">
        <v>429</v>
      </c>
      <c r="D59" s="3">
        <f>+E26/E29</f>
        <v>56.666666666666664</v>
      </c>
      <c r="E59" s="3"/>
      <c r="F59" s="3"/>
    </row>
    <row r="60" spans="2:6" x14ac:dyDescent="0.2">
      <c r="B60" s="1" t="s">
        <v>430</v>
      </c>
      <c r="D60" s="3">
        <f>+F26/F29</f>
        <v>35</v>
      </c>
      <c r="E60" s="3"/>
      <c r="F60" s="3"/>
    </row>
    <row r="61" spans="2:6" ht="12.75" thickBot="1" x14ac:dyDescent="0.25">
      <c r="D61" s="5">
        <f>SUM(D57:D60)</f>
        <v>127.66666666666666</v>
      </c>
      <c r="E61" s="3"/>
      <c r="F61" s="3"/>
    </row>
    <row r="62" spans="2:6" ht="12.75" thickTop="1" x14ac:dyDescent="0.2">
      <c r="E62" s="3"/>
      <c r="F62" s="3"/>
    </row>
    <row r="63" spans="2:6" x14ac:dyDescent="0.2">
      <c r="B63" s="1" t="s">
        <v>431</v>
      </c>
      <c r="E63" s="3">
        <f>+D61</f>
        <v>127.66666666666666</v>
      </c>
      <c r="F63" s="3"/>
    </row>
    <row r="64" spans="2:6" x14ac:dyDescent="0.2">
      <c r="C64" s="1" t="s">
        <v>197</v>
      </c>
      <c r="E64" s="3"/>
      <c r="F64" s="3">
        <f>+E63</f>
        <v>127.66666666666666</v>
      </c>
    </row>
    <row r="68" spans="2:8" x14ac:dyDescent="0.2">
      <c r="B68" s="14" t="s">
        <v>432</v>
      </c>
    </row>
    <row r="69" spans="2:8" x14ac:dyDescent="0.2">
      <c r="B69" s="1" t="s">
        <v>433</v>
      </c>
    </row>
    <row r="70" spans="2:8" x14ac:dyDescent="0.2">
      <c r="B70" s="1" t="s">
        <v>105</v>
      </c>
      <c r="C70" s="4">
        <v>43497</v>
      </c>
      <c r="D70" s="3">
        <v>410</v>
      </c>
    </row>
    <row r="71" spans="2:8" x14ac:dyDescent="0.2">
      <c r="B71" s="1" t="s">
        <v>434</v>
      </c>
      <c r="C71" s="1">
        <v>11</v>
      </c>
      <c r="D71" s="3">
        <f>+C71/12*D70*0.1</f>
        <v>37.583333333333336</v>
      </c>
    </row>
    <row r="72" spans="2:8" x14ac:dyDescent="0.2">
      <c r="B72" s="1" t="s">
        <v>111</v>
      </c>
      <c r="C72" s="4">
        <f>+C5</f>
        <v>43830</v>
      </c>
      <c r="D72" s="3">
        <f>+D70-D71</f>
        <v>372.41666666666669</v>
      </c>
      <c r="H72" s="1" t="s">
        <v>435</v>
      </c>
    </row>
    <row r="73" spans="2:8" x14ac:dyDescent="0.2">
      <c r="H73" s="1" t="s">
        <v>436</v>
      </c>
    </row>
    <row r="74" spans="2:8" x14ac:dyDescent="0.2">
      <c r="B74" s="1" t="s">
        <v>437</v>
      </c>
      <c r="E74" s="17">
        <f>+D70</f>
        <v>410</v>
      </c>
    </row>
    <row r="75" spans="2:8" x14ac:dyDescent="0.2">
      <c r="B75" s="1" t="s">
        <v>438</v>
      </c>
      <c r="F75" s="17">
        <f>+E74</f>
        <v>410</v>
      </c>
    </row>
    <row r="76" spans="2:8" x14ac:dyDescent="0.2">
      <c r="B76" s="1" t="s">
        <v>439</v>
      </c>
    </row>
    <row r="78" spans="2:8" x14ac:dyDescent="0.2">
      <c r="B78" s="1" t="s">
        <v>440</v>
      </c>
    </row>
    <row r="79" spans="2:8" x14ac:dyDescent="0.2">
      <c r="B79" s="1" t="s">
        <v>60</v>
      </c>
      <c r="C79" s="4">
        <v>40544</v>
      </c>
      <c r="D79" s="3">
        <v>125</v>
      </c>
    </row>
    <row r="80" spans="2:8" x14ac:dyDescent="0.2">
      <c r="B80" s="1" t="s">
        <v>85</v>
      </c>
      <c r="C80" s="1">
        <v>8</v>
      </c>
      <c r="D80" s="3">
        <f>+D79*C80/10</f>
        <v>100</v>
      </c>
    </row>
    <row r="81" spans="2:6" x14ac:dyDescent="0.2">
      <c r="B81" s="1" t="s">
        <v>111</v>
      </c>
      <c r="D81" s="3">
        <f>+D79-D80</f>
        <v>25</v>
      </c>
    </row>
    <row r="82" spans="2:6" x14ac:dyDescent="0.2">
      <c r="B82" s="1" t="s">
        <v>193</v>
      </c>
      <c r="D82" s="1">
        <v>60</v>
      </c>
    </row>
    <row r="83" spans="2:6" x14ac:dyDescent="0.2">
      <c r="B83" s="1" t="s">
        <v>441</v>
      </c>
      <c r="D83" s="3">
        <f>+D82-D81</f>
        <v>35</v>
      </c>
    </row>
    <row r="84" spans="2:6" x14ac:dyDescent="0.2">
      <c r="B84" s="1" t="s">
        <v>442</v>
      </c>
      <c r="C84" s="4">
        <v>43601</v>
      </c>
      <c r="D84" s="1">
        <v>240</v>
      </c>
    </row>
    <row r="85" spans="2:6" x14ac:dyDescent="0.2">
      <c r="B85" s="1" t="s">
        <v>185</v>
      </c>
      <c r="C85" s="4">
        <f>+C5</f>
        <v>43830</v>
      </c>
      <c r="D85" s="1">
        <f>+D84*0.1</f>
        <v>24</v>
      </c>
    </row>
    <row r="86" spans="2:6" x14ac:dyDescent="0.2">
      <c r="B86" s="1" t="s">
        <v>111</v>
      </c>
      <c r="C86" s="4">
        <f>+C6</f>
        <v>0</v>
      </c>
      <c r="D86" s="1">
        <f>+D84-D85</f>
        <v>216</v>
      </c>
    </row>
    <row r="88" spans="2:6" x14ac:dyDescent="0.2">
      <c r="B88" s="1" t="s">
        <v>443</v>
      </c>
      <c r="E88" s="18">
        <f>+D84</f>
        <v>240</v>
      </c>
    </row>
    <row r="89" spans="2:6" x14ac:dyDescent="0.2">
      <c r="C89" s="1" t="s">
        <v>444</v>
      </c>
      <c r="F89" s="18">
        <f>+E88</f>
        <v>240</v>
      </c>
    </row>
    <row r="90" spans="2:6" x14ac:dyDescent="0.2">
      <c r="B90" s="1" t="s">
        <v>445</v>
      </c>
      <c r="F90" s="17">
        <f>+D79</f>
        <v>125</v>
      </c>
    </row>
    <row r="91" spans="2:6" x14ac:dyDescent="0.2">
      <c r="B91" s="1" t="s">
        <v>446</v>
      </c>
      <c r="E91" s="17">
        <f>+D80</f>
        <v>100</v>
      </c>
    </row>
    <row r="92" spans="2:6" x14ac:dyDescent="0.2">
      <c r="B92" s="1" t="s">
        <v>447</v>
      </c>
      <c r="E92" s="18">
        <f>+D82</f>
        <v>60</v>
      </c>
    </row>
    <row r="93" spans="2:6" x14ac:dyDescent="0.2">
      <c r="C93" s="1" t="s">
        <v>448</v>
      </c>
      <c r="F93" s="17">
        <f>+E92+E91-F90</f>
        <v>35</v>
      </c>
    </row>
    <row r="94" spans="2:6" x14ac:dyDescent="0.2">
      <c r="B94" s="1" t="s">
        <v>449</v>
      </c>
    </row>
    <row r="96" spans="2:6" x14ac:dyDescent="0.2">
      <c r="B96" s="1" t="s">
        <v>450</v>
      </c>
      <c r="E96" s="1">
        <v>110</v>
      </c>
    </row>
    <row r="97" spans="2:6" x14ac:dyDescent="0.2">
      <c r="C97" s="1" t="s">
        <v>451</v>
      </c>
      <c r="F97" s="1">
        <f>+E96</f>
        <v>110</v>
      </c>
    </row>
    <row r="98" spans="2:6" x14ac:dyDescent="0.2">
      <c r="B98" s="1" t="s">
        <v>452</v>
      </c>
    </row>
    <row r="101" spans="2:6" x14ac:dyDescent="0.2">
      <c r="B101" s="14" t="s">
        <v>201</v>
      </c>
      <c r="E101" s="3"/>
    </row>
    <row r="102" spans="2:6" x14ac:dyDescent="0.2">
      <c r="B102" s="1" t="s">
        <v>453</v>
      </c>
      <c r="D102" s="3">
        <f>+D14</f>
        <v>6200</v>
      </c>
    </row>
    <row r="103" spans="2:6" x14ac:dyDescent="0.2">
      <c r="B103" s="1" t="s">
        <v>454</v>
      </c>
      <c r="D103" s="3">
        <f>+D70</f>
        <v>410</v>
      </c>
    </row>
    <row r="104" spans="2:6" x14ac:dyDescent="0.2">
      <c r="D104" s="3">
        <f>+E88</f>
        <v>240</v>
      </c>
    </row>
    <row r="105" spans="2:6" x14ac:dyDescent="0.2">
      <c r="B105" s="1" t="s">
        <v>455</v>
      </c>
      <c r="D105" s="3">
        <f>-F90</f>
        <v>-125</v>
      </c>
    </row>
    <row r="106" spans="2:6" x14ac:dyDescent="0.2">
      <c r="B106" s="1" t="s">
        <v>456</v>
      </c>
      <c r="D106" s="3">
        <f>SUM(D102:D105)</f>
        <v>6725</v>
      </c>
    </row>
    <row r="107" spans="2:6" x14ac:dyDescent="0.2">
      <c r="B107" s="1" t="s">
        <v>457</v>
      </c>
      <c r="D107" s="3">
        <f>+D106/10</f>
        <v>672.5</v>
      </c>
    </row>
    <row r="109" spans="2:6" x14ac:dyDescent="0.2">
      <c r="B109" s="1" t="s">
        <v>458</v>
      </c>
      <c r="E109" s="3">
        <f>+D107</f>
        <v>672.5</v>
      </c>
    </row>
    <row r="110" spans="2:6" x14ac:dyDescent="0.2">
      <c r="C110" s="1" t="s">
        <v>187</v>
      </c>
      <c r="F110" s="3">
        <f>+E109</f>
        <v>672.5</v>
      </c>
    </row>
    <row r="111" spans="2:6" x14ac:dyDescent="0.2">
      <c r="B111" s="1" t="s">
        <v>651</v>
      </c>
    </row>
    <row r="113" spans="2:6" x14ac:dyDescent="0.2">
      <c r="B113" s="14" t="s">
        <v>262</v>
      </c>
    </row>
    <row r="114" spans="2:6" x14ac:dyDescent="0.2">
      <c r="B114" s="1" t="s">
        <v>60</v>
      </c>
      <c r="C114" s="4">
        <v>43677</v>
      </c>
      <c r="D114" s="3">
        <f>1720*25</f>
        <v>43000</v>
      </c>
      <c r="E114" s="3"/>
      <c r="F114" s="3"/>
    </row>
    <row r="115" spans="2:6" x14ac:dyDescent="0.2">
      <c r="B115" s="1" t="s">
        <v>110</v>
      </c>
      <c r="C115" s="3">
        <f>YEARFRAC(C114,C5,1)*12</f>
        <v>5.0301369863013701</v>
      </c>
      <c r="D115" s="3">
        <f>+D114*C115/48</f>
        <v>4506.1643835616442</v>
      </c>
      <c r="E115" s="3"/>
      <c r="F115" s="3"/>
    </row>
    <row r="116" spans="2:6" x14ac:dyDescent="0.2">
      <c r="B116" s="1" t="s">
        <v>111</v>
      </c>
      <c r="C116" s="4">
        <f>+C5</f>
        <v>43830</v>
      </c>
      <c r="D116" s="3">
        <f>+D114-D115</f>
        <v>38493.835616438359</v>
      </c>
      <c r="E116" s="3"/>
      <c r="F116" s="3"/>
    </row>
    <row r="117" spans="2:6" x14ac:dyDescent="0.2">
      <c r="D117" s="3"/>
      <c r="E117" s="3"/>
      <c r="F117" s="3"/>
    </row>
    <row r="118" spans="2:6" x14ac:dyDescent="0.2">
      <c r="B118" s="1" t="s">
        <v>459</v>
      </c>
      <c r="D118" s="3"/>
      <c r="E118" s="3">
        <f>+D114</f>
        <v>43000</v>
      </c>
      <c r="F118" s="3"/>
    </row>
    <row r="119" spans="2:6" x14ac:dyDescent="0.2">
      <c r="B119" s="1" t="s">
        <v>460</v>
      </c>
      <c r="D119" s="3"/>
      <c r="E119" s="3"/>
      <c r="F119" s="3">
        <f>+E118</f>
        <v>43000</v>
      </c>
    </row>
    <row r="120" spans="2:6" x14ac:dyDescent="0.2">
      <c r="D120" s="3"/>
      <c r="E120" s="3"/>
      <c r="F120" s="3"/>
    </row>
    <row r="121" spans="2:6" x14ac:dyDescent="0.2">
      <c r="B121" s="1" t="s">
        <v>60</v>
      </c>
      <c r="C121" s="4">
        <v>42370</v>
      </c>
      <c r="D121" s="3">
        <f>1500*10</f>
        <v>15000</v>
      </c>
      <c r="E121" s="3"/>
      <c r="F121" s="3"/>
    </row>
    <row r="122" spans="2:6" x14ac:dyDescent="0.2">
      <c r="B122" s="1" t="s">
        <v>85</v>
      </c>
      <c r="C122" s="1">
        <v>43</v>
      </c>
      <c r="D122" s="3">
        <f>3/4*D121</f>
        <v>11250</v>
      </c>
      <c r="E122" s="3"/>
      <c r="F122" s="3"/>
    </row>
    <row r="123" spans="2:6" x14ac:dyDescent="0.2">
      <c r="B123" s="1" t="s">
        <v>111</v>
      </c>
      <c r="D123" s="3">
        <f>+D121-D122</f>
        <v>3750</v>
      </c>
      <c r="E123" s="3"/>
      <c r="F123" s="3"/>
    </row>
    <row r="124" spans="2:6" x14ac:dyDescent="0.2">
      <c r="B124" s="1" t="s">
        <v>193</v>
      </c>
      <c r="C124" s="4">
        <v>43678</v>
      </c>
      <c r="D124" s="3">
        <f>200*10</f>
        <v>2000</v>
      </c>
      <c r="E124" s="3"/>
      <c r="F124" s="3"/>
    </row>
    <row r="125" spans="2:6" x14ac:dyDescent="0.2">
      <c r="B125" s="1" t="s">
        <v>461</v>
      </c>
      <c r="D125" s="3">
        <f>+D124-D123</f>
        <v>-1750</v>
      </c>
      <c r="E125" s="3"/>
      <c r="F125" s="3"/>
    </row>
    <row r="126" spans="2:6" x14ac:dyDescent="0.2">
      <c r="D126" s="3"/>
      <c r="E126" s="3"/>
      <c r="F126" s="3"/>
    </row>
    <row r="127" spans="2:6" x14ac:dyDescent="0.2">
      <c r="D127" s="3"/>
      <c r="E127" s="3"/>
      <c r="F127" s="3"/>
    </row>
    <row r="128" spans="2:6" x14ac:dyDescent="0.2">
      <c r="C128" s="1" t="s">
        <v>462</v>
      </c>
      <c r="D128" s="3"/>
      <c r="E128" s="3"/>
      <c r="F128" s="3">
        <f>+D121</f>
        <v>15000</v>
      </c>
    </row>
    <row r="129" spans="2:6" x14ac:dyDescent="0.2">
      <c r="B129" s="1" t="s">
        <v>463</v>
      </c>
      <c r="D129" s="3"/>
      <c r="E129" s="3">
        <f>+D122</f>
        <v>11250</v>
      </c>
      <c r="F129" s="3"/>
    </row>
    <row r="130" spans="2:6" x14ac:dyDescent="0.2">
      <c r="B130" s="1" t="s">
        <v>447</v>
      </c>
      <c r="D130" s="3"/>
      <c r="E130" s="3">
        <f>+D124</f>
        <v>2000</v>
      </c>
      <c r="F130" s="3"/>
    </row>
    <row r="131" spans="2:6" x14ac:dyDescent="0.2">
      <c r="B131" s="1" t="s">
        <v>464</v>
      </c>
      <c r="D131" s="3"/>
      <c r="E131" s="3">
        <f>-D125</f>
        <v>1750</v>
      </c>
      <c r="F131" s="3"/>
    </row>
    <row r="132" spans="2:6" x14ac:dyDescent="0.2">
      <c r="B132" s="1" t="s">
        <v>465</v>
      </c>
      <c r="D132" s="3"/>
      <c r="E132" s="3"/>
      <c r="F132" s="3"/>
    </row>
    <row r="133" spans="2:6" x14ac:dyDescent="0.2">
      <c r="D133" s="3"/>
      <c r="E133" s="3"/>
      <c r="F133" s="3"/>
    </row>
    <row r="134" spans="2:6" x14ac:dyDescent="0.2">
      <c r="B134" s="1" t="s">
        <v>201</v>
      </c>
      <c r="D134" s="3"/>
      <c r="E134" s="3"/>
      <c r="F134" s="3"/>
    </row>
    <row r="135" spans="2:6" x14ac:dyDescent="0.2">
      <c r="B135" s="1" t="s">
        <v>466</v>
      </c>
      <c r="D135" s="3">
        <f>+E14*1000</f>
        <v>1410000</v>
      </c>
      <c r="E135" s="3"/>
      <c r="F135" s="3"/>
    </row>
    <row r="136" spans="2:6" x14ac:dyDescent="0.2">
      <c r="B136" s="1" t="s">
        <v>271</v>
      </c>
      <c r="D136" s="3">
        <f>+D114</f>
        <v>43000</v>
      </c>
      <c r="E136" s="3"/>
      <c r="F136" s="3"/>
    </row>
    <row r="137" spans="2:6" x14ac:dyDescent="0.2">
      <c r="B137" s="1" t="s">
        <v>455</v>
      </c>
      <c r="D137" s="3">
        <f>+D121</f>
        <v>15000</v>
      </c>
      <c r="E137" s="3"/>
      <c r="F137" s="3"/>
    </row>
    <row r="138" spans="2:6" x14ac:dyDescent="0.2">
      <c r="B138" s="1" t="s">
        <v>467</v>
      </c>
      <c r="D138" s="3">
        <f>+D135+D136-D137</f>
        <v>1438000</v>
      </c>
      <c r="E138" s="3"/>
      <c r="F138" s="3"/>
    </row>
    <row r="139" spans="2:6" x14ac:dyDescent="0.2">
      <c r="D139" s="3">
        <f>+D138/4</f>
        <v>359500</v>
      </c>
      <c r="E139" s="3"/>
      <c r="F139" s="3"/>
    </row>
    <row r="140" spans="2:6" x14ac:dyDescent="0.2">
      <c r="D140" s="3"/>
      <c r="E140" s="3"/>
      <c r="F140" s="3"/>
    </row>
    <row r="141" spans="2:6" x14ac:dyDescent="0.2">
      <c r="B141" s="1" t="s">
        <v>468</v>
      </c>
      <c r="D141" s="3"/>
      <c r="E141" s="3">
        <f>+D139/1000</f>
        <v>359.5</v>
      </c>
      <c r="F141" s="3"/>
    </row>
    <row r="142" spans="2:6" x14ac:dyDescent="0.2">
      <c r="C142" s="1" t="s">
        <v>469</v>
      </c>
      <c r="D142" s="3"/>
      <c r="E142" s="3"/>
      <c r="F142" s="3">
        <f>+E141</f>
        <v>359.5</v>
      </c>
    </row>
  </sheetData>
  <hyperlinks>
    <hyperlink ref="A1" location="Main!A1" display="Main" xr:uid="{310F3042-AB78-48F8-BAB7-2874C91A4C6A}"/>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Module 5</vt:lpstr>
      <vt:lpstr>WSE5.1</vt:lpstr>
      <vt:lpstr>WSE5.2</vt:lpstr>
      <vt:lpstr>WSE5.3</vt:lpstr>
      <vt:lpstr>WSE5.4</vt:lpstr>
      <vt:lpstr>WSE5.5</vt:lpstr>
      <vt:lpstr>WSE5.6</vt:lpstr>
      <vt:lpstr>WSE5.7</vt:lpstr>
      <vt:lpstr>WSE5.8</vt:lpstr>
      <vt:lpstr>WSE5.9</vt:lpstr>
      <vt:lpstr>WSE5.10</vt:lpstr>
    </vt:vector>
  </TitlesOfParts>
  <Manager/>
  <Company>Deloitte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bcornish</dc:creator>
  <cp:keywords/>
  <dc:description/>
  <cp:lastModifiedBy>Cornish, Bob</cp:lastModifiedBy>
  <cp:revision/>
  <dcterms:created xsi:type="dcterms:W3CDTF">2023-04-27T20:29:23Z</dcterms:created>
  <dcterms:modified xsi:type="dcterms:W3CDTF">2023-05-30T12:57:27Z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2023-04-27T20:29:24Z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fa1712da-abad-499e-946d-1ecc066f7929</vt:lpwstr>
  </property>
  <property fmtid="{D5CDD505-2E9C-101B-9397-08002B2CF9AE}" pid="8" name="MSIP_Label_ea60d57e-af5b-4752-ac57-3e4f28ca11dc_ContentBits">
    <vt:lpwstr>0</vt:lpwstr>
  </property>
</Properties>
</file>