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1738" documentId="8_{A7061520-38C6-4548-A697-98A98EC967F4}" xr6:coauthVersionLast="47" xr6:coauthVersionMax="47" xr10:uidLastSave="{C14267DA-B7BD-4D23-9DCF-175DA73C5E94}"/>
  <bookViews>
    <workbookView xWindow="3075" yWindow="3075" windowWidth="12420" windowHeight="11385" firstSheet="3" activeTab="7" xr2:uid="{5DE79D18-A7DC-45EE-96BD-1AC3843D2D9E}"/>
  </bookViews>
  <sheets>
    <sheet name="Main" sheetId="1" r:id="rId1"/>
    <sheet name="Module 24" sheetId="2" r:id="rId2"/>
    <sheet name="WSE24.1" sheetId="3" r:id="rId3"/>
    <sheet name="WSE24.2" sheetId="4" r:id="rId4"/>
    <sheet name="WSE24.3" sheetId="5" r:id="rId5"/>
    <sheet name="WSE24.4" sheetId="6" r:id="rId6"/>
    <sheet name="WSE24.5" sheetId="7" r:id="rId7"/>
    <sheet name="WSE24.6" sheetId="8" r:id="rId8"/>
    <sheet name="WSE24.7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9" i="7" l="1"/>
  <c r="K127" i="7"/>
  <c r="K118" i="7"/>
  <c r="K120" i="7" s="1"/>
  <c r="C47" i="7" s="1"/>
  <c r="K110" i="7"/>
  <c r="K112" i="7" s="1"/>
  <c r="C46" i="7" s="1"/>
  <c r="K99" i="7"/>
  <c r="K101" i="7" s="1"/>
  <c r="K103" i="7" s="1"/>
  <c r="K94" i="7"/>
  <c r="C35" i="7" s="1"/>
  <c r="K92" i="7"/>
  <c r="K86" i="7"/>
  <c r="K83" i="7"/>
  <c r="K78" i="7"/>
  <c r="K80" i="7" s="1"/>
  <c r="C42" i="7" s="1"/>
  <c r="K70" i="7"/>
  <c r="K72" i="7" s="1"/>
  <c r="C50" i="7" s="1"/>
  <c r="K61" i="7"/>
  <c r="K63" i="7" s="1"/>
  <c r="C37" i="7" s="1"/>
  <c r="D55" i="7"/>
  <c r="K53" i="7"/>
  <c r="C34" i="7" s="1"/>
  <c r="C44" i="7"/>
  <c r="K42" i="7"/>
  <c r="K46" i="7" s="1"/>
  <c r="K48" i="7" s="1"/>
  <c r="C33" i="7" s="1"/>
  <c r="C38" i="7"/>
  <c r="K37" i="7"/>
  <c r="K33" i="7"/>
  <c r="K35" i="7" s="1"/>
  <c r="K24" i="7"/>
  <c r="K27" i="7" s="1"/>
  <c r="K29" i="7" s="1"/>
  <c r="C26" i="7" s="1"/>
  <c r="L14" i="7"/>
  <c r="C24" i="7" s="1"/>
  <c r="B24" i="7" s="1"/>
  <c r="K14" i="7"/>
  <c r="C23" i="7" s="1"/>
  <c r="B23" i="7" s="1"/>
  <c r="J14" i="7"/>
  <c r="C22" i="7" s="1"/>
  <c r="B22" i="7" s="1"/>
  <c r="I14" i="7"/>
  <c r="C21" i="7" s="1"/>
  <c r="B21" i="7" s="1"/>
  <c r="C7" i="7"/>
  <c r="C20" i="7" s="1"/>
  <c r="K6" i="7"/>
  <c r="D54" i="7" s="1"/>
  <c r="J6" i="7"/>
  <c r="C260" i="7"/>
  <c r="C261" i="7" s="1"/>
  <c r="C262" i="7" s="1"/>
  <c r="D260" i="7"/>
  <c r="D255" i="7"/>
  <c r="D249" i="7"/>
  <c r="D242" i="7"/>
  <c r="D236" i="7"/>
  <c r="C255" i="7"/>
  <c r="C249" i="7"/>
  <c r="C242" i="7"/>
  <c r="C236" i="7"/>
  <c r="D124" i="6"/>
  <c r="D123" i="6"/>
  <c r="D121" i="6"/>
  <c r="D118" i="6"/>
  <c r="D117" i="6"/>
  <c r="D115" i="6"/>
  <c r="D112" i="6"/>
  <c r="D111" i="6"/>
  <c r="D110" i="6"/>
  <c r="D109" i="6"/>
  <c r="D106" i="6"/>
  <c r="D104" i="6"/>
  <c r="D105" i="6"/>
  <c r="D102" i="6"/>
  <c r="D101" i="6"/>
  <c r="D96" i="6"/>
  <c r="D89" i="6"/>
  <c r="D90" i="6" s="1"/>
  <c r="D87" i="6"/>
  <c r="D83" i="6"/>
  <c r="D84" i="6" s="1"/>
  <c r="D82" i="6"/>
  <c r="D81" i="6"/>
  <c r="D75" i="6"/>
  <c r="F69" i="6"/>
  <c r="F70" i="6" s="1"/>
  <c r="F67" i="6"/>
  <c r="E69" i="6"/>
  <c r="E67" i="6"/>
  <c r="D69" i="6"/>
  <c r="D70" i="6" s="1"/>
  <c r="D67" i="6"/>
  <c r="E63" i="6"/>
  <c r="D63" i="6"/>
  <c r="E62" i="6"/>
  <c r="D62" i="6"/>
  <c r="L94" i="7"/>
  <c r="L79" i="7"/>
  <c r="L64" i="7"/>
  <c r="L52" i="7"/>
  <c r="L78" i="7"/>
  <c r="L51" i="7"/>
  <c r="L32" i="7"/>
  <c r="L92" i="7"/>
  <c r="L41" i="7"/>
  <c r="L22" i="7"/>
  <c r="L70" i="7"/>
  <c r="L45" i="7"/>
  <c r="L99" i="7"/>
  <c r="L34" i="7"/>
  <c r="L81" i="7"/>
  <c r="L31" i="7"/>
  <c r="L66" i="7"/>
  <c r="L62" i="7"/>
  <c r="L77" i="7"/>
  <c r="L50" i="7"/>
  <c r="L40" i="7"/>
  <c r="L30" i="7"/>
  <c r="L75" i="7"/>
  <c r="L59" i="7"/>
  <c r="L49" i="7"/>
  <c r="L28" i="7"/>
  <c r="L21" i="7"/>
  <c r="L74" i="7"/>
  <c r="L58" i="7"/>
  <c r="L57" i="7"/>
  <c r="L72" i="7"/>
  <c r="L56" i="7"/>
  <c r="L44" i="7"/>
  <c r="L42" i="7"/>
  <c r="L91" i="7"/>
  <c r="L76" i="7"/>
  <c r="L60" i="7"/>
  <c r="L39" i="7"/>
  <c r="L90" i="7"/>
  <c r="L89" i="7"/>
  <c r="L87" i="7"/>
  <c r="L73" i="7"/>
  <c r="L100" i="7"/>
  <c r="L55" i="7"/>
  <c r="L97" i="7"/>
  <c r="L43" i="7"/>
  <c r="L96" i="7"/>
  <c r="L26" i="7"/>
  <c r="L36" i="7"/>
  <c r="L84" i="7"/>
  <c r="L83" i="7"/>
  <c r="L54" i="7"/>
  <c r="L67" i="7"/>
  <c r="L23" i="7"/>
  <c r="L102" i="7"/>
  <c r="L86" i="7"/>
  <c r="L98" i="7"/>
  <c r="L65" i="7"/>
  <c r="L68" i="7"/>
  <c r="E110" i="6"/>
  <c r="D39" i="7" l="1"/>
  <c r="K38" i="7"/>
  <c r="C27" i="7" s="1"/>
  <c r="K87" i="7"/>
  <c r="C45" i="7" s="1"/>
  <c r="D51" i="7"/>
  <c r="C25" i="7"/>
  <c r="D28" i="7" s="1"/>
  <c r="D53" i="7" s="1"/>
  <c r="C57" i="7" s="1"/>
  <c r="L15" i="7"/>
  <c r="C243" i="7"/>
  <c r="D261" i="7"/>
  <c r="D262" i="7" s="1"/>
  <c r="D243" i="7"/>
  <c r="E70" i="6"/>
  <c r="D64" i="6"/>
  <c r="E64" i="6"/>
  <c r="G71" i="6"/>
  <c r="D39" i="6" l="1"/>
  <c r="D43" i="6" s="1"/>
  <c r="D45" i="6" s="1"/>
  <c r="E32" i="6"/>
  <c r="E27" i="6"/>
  <c r="E23" i="6"/>
  <c r="E15" i="6"/>
  <c r="E10" i="6"/>
  <c r="D32" i="6"/>
  <c r="D27" i="6"/>
  <c r="D23" i="6"/>
  <c r="D15" i="6"/>
  <c r="D10" i="6"/>
  <c r="G144" i="5"/>
  <c r="G143" i="5"/>
  <c r="G140" i="5"/>
  <c r="F138" i="5"/>
  <c r="G135" i="5"/>
  <c r="F133" i="5"/>
  <c r="F132" i="5"/>
  <c r="F131" i="5"/>
  <c r="G128" i="5"/>
  <c r="F127" i="5"/>
  <c r="F126" i="5"/>
  <c r="F125" i="5"/>
  <c r="F120" i="5"/>
  <c r="F119" i="5"/>
  <c r="F118" i="5"/>
  <c r="F117" i="5"/>
  <c r="F115" i="5"/>
  <c r="F121" i="5" s="1"/>
  <c r="E106" i="5"/>
  <c r="E104" i="5"/>
  <c r="E102" i="5"/>
  <c r="E98" i="5"/>
  <c r="E97" i="5"/>
  <c r="E89" i="5"/>
  <c r="E90" i="5" s="1"/>
  <c r="E92" i="5" s="1"/>
  <c r="E84" i="5"/>
  <c r="E78" i="5"/>
  <c r="E75" i="5"/>
  <c r="E77" i="5" s="1"/>
  <c r="E70" i="5"/>
  <c r="E68" i="5"/>
  <c r="E65" i="5"/>
  <c r="E61" i="5"/>
  <c r="E59" i="5"/>
  <c r="E58" i="5"/>
  <c r="E52" i="5"/>
  <c r="E53" i="5" s="1"/>
  <c r="E55" i="5" s="1"/>
  <c r="E47" i="5"/>
  <c r="E46" i="5"/>
  <c r="D47" i="5"/>
  <c r="D46" i="5"/>
  <c r="C47" i="5"/>
  <c r="C46" i="5"/>
  <c r="D41" i="5"/>
  <c r="E103" i="5" s="1"/>
  <c r="E32" i="5"/>
  <c r="E28" i="5"/>
  <c r="E23" i="5"/>
  <c r="E16" i="5"/>
  <c r="E11" i="5"/>
  <c r="D32" i="5"/>
  <c r="D28" i="5"/>
  <c r="D23" i="5"/>
  <c r="D16" i="5"/>
  <c r="D11" i="5"/>
  <c r="E130" i="4"/>
  <c r="E131" i="4"/>
  <c r="E132" i="4" s="1"/>
  <c r="E144" i="4" s="1"/>
  <c r="E141" i="4"/>
  <c r="E143" i="4"/>
  <c r="E142" i="4"/>
  <c r="D132" i="4"/>
  <c r="C132" i="4"/>
  <c r="F123" i="4"/>
  <c r="F121" i="4"/>
  <c r="F119" i="4"/>
  <c r="F117" i="4"/>
  <c r="E116" i="4"/>
  <c r="E115" i="4"/>
  <c r="E114" i="4"/>
  <c r="F111" i="4"/>
  <c r="E109" i="4"/>
  <c r="E65" i="4"/>
  <c r="E110" i="4"/>
  <c r="F106" i="4"/>
  <c r="E105" i="4"/>
  <c r="E104" i="4"/>
  <c r="E103" i="4"/>
  <c r="E102" i="4"/>
  <c r="E101" i="4"/>
  <c r="E91" i="4"/>
  <c r="E92" i="4"/>
  <c r="E94" i="4" s="1"/>
  <c r="E85" i="4"/>
  <c r="E78" i="4"/>
  <c r="E76" i="4"/>
  <c r="E75" i="4"/>
  <c r="E77" i="4" s="1"/>
  <c r="E71" i="4"/>
  <c r="E63" i="4"/>
  <c r="E54" i="4"/>
  <c r="E56" i="4" s="1"/>
  <c r="E47" i="4"/>
  <c r="E49" i="4" s="1"/>
  <c r="E41" i="4"/>
  <c r="E36" i="4"/>
  <c r="E37" i="4"/>
  <c r="E40" i="4" s="1"/>
  <c r="E42" i="4" s="1"/>
  <c r="E30" i="4"/>
  <c r="E32" i="4" s="1"/>
  <c r="E469" i="2"/>
  <c r="E462" i="2"/>
  <c r="K455" i="2"/>
  <c r="E455" i="2"/>
  <c r="E454" i="2"/>
  <c r="E453" i="2"/>
  <c r="E452" i="2"/>
  <c r="E451" i="2"/>
  <c r="E450" i="2"/>
  <c r="D16" i="6" l="1"/>
  <c r="D33" i="6"/>
  <c r="D34" i="6" s="1"/>
  <c r="E33" i="6"/>
  <c r="E34" i="6" s="1"/>
  <c r="E16" i="6"/>
  <c r="E60" i="5"/>
  <c r="E62" i="5" s="1"/>
  <c r="E48" i="5"/>
  <c r="F124" i="5" s="1"/>
  <c r="E69" i="5"/>
  <c r="E71" i="5" s="1"/>
  <c r="D48" i="5"/>
  <c r="F123" i="5" s="1"/>
  <c r="C48" i="5"/>
  <c r="F122" i="5" s="1"/>
  <c r="E79" i="5"/>
  <c r="E99" i="5"/>
  <c r="E105" i="5"/>
  <c r="E107" i="5" s="1"/>
  <c r="D33" i="5"/>
  <c r="D34" i="5" s="1"/>
  <c r="D17" i="5"/>
  <c r="E33" i="5"/>
  <c r="E34" i="5" s="1"/>
  <c r="E17" i="5"/>
  <c r="E145" i="4"/>
  <c r="E79" i="4"/>
  <c r="C385" i="2"/>
  <c r="C386" i="2" s="1"/>
  <c r="E350" i="2"/>
  <c r="E352" i="2" s="1"/>
  <c r="D311" i="2"/>
  <c r="D312" i="2" s="1"/>
  <c r="D314" i="2" s="1"/>
  <c r="E279" i="2"/>
  <c r="D279" i="2"/>
  <c r="E280" i="2"/>
  <c r="D280" i="2"/>
  <c r="E278" i="2"/>
  <c r="D278" i="2"/>
  <c r="D376" i="2" l="1"/>
  <c r="D378" i="2" s="1"/>
  <c r="D380" i="2" s="1"/>
  <c r="C388" i="2"/>
  <c r="D281" i="2"/>
  <c r="E281" i="2"/>
  <c r="D80" i="3" l="1"/>
  <c r="D79" i="3"/>
  <c r="D78" i="3"/>
  <c r="D47" i="3"/>
  <c r="D45" i="3"/>
  <c r="E62" i="3"/>
  <c r="E61" i="3"/>
  <c r="D62" i="3"/>
  <c r="D61" i="3"/>
  <c r="C62" i="3"/>
  <c r="C61" i="3"/>
  <c r="D69" i="3"/>
  <c r="D46" i="3"/>
  <c r="D68" i="3"/>
  <c r="D70" i="3"/>
  <c r="D67" i="3"/>
  <c r="D49" i="3"/>
  <c r="D44" i="3"/>
  <c r="D37" i="3"/>
  <c r="D39" i="3"/>
  <c r="D36" i="3"/>
  <c r="D35" i="3"/>
  <c r="D10" i="3"/>
  <c r="D14" i="3" s="1"/>
  <c r="D65" i="3" s="1"/>
  <c r="D208" i="2"/>
  <c r="D213" i="2"/>
  <c r="D212" i="2"/>
  <c r="D211" i="2"/>
  <c r="D210" i="2"/>
  <c r="D209" i="2"/>
  <c r="D161" i="2"/>
  <c r="D159" i="2"/>
  <c r="D157" i="2"/>
  <c r="D156" i="2"/>
  <c r="D134" i="2"/>
  <c r="D136" i="2" s="1"/>
  <c r="D166" i="2" s="1"/>
  <c r="D214" i="2" l="1"/>
  <c r="C63" i="3"/>
  <c r="D72" i="3" s="1"/>
  <c r="D71" i="3"/>
  <c r="E63" i="3"/>
  <c r="D74" i="3" s="1"/>
  <c r="D63" i="3"/>
  <c r="D73" i="3" s="1"/>
  <c r="D48" i="3"/>
  <c r="D50" i="3" s="1"/>
  <c r="D55" i="3" s="1"/>
  <c r="D38" i="3"/>
  <c r="D40" i="3" s="1"/>
  <c r="D54" i="3" s="1"/>
  <c r="D160" i="2"/>
  <c r="D162" i="2" s="1"/>
  <c r="D167" i="2" s="1"/>
  <c r="D168" i="2" s="1"/>
  <c r="D75" i="3" l="1"/>
  <c r="D56" i="3"/>
</calcChain>
</file>

<file path=xl/sharedStrings.xml><?xml version="1.0" encoding="utf-8"?>
<sst xmlns="http://schemas.openxmlformats.org/spreadsheetml/2006/main" count="735" uniqueCount="429">
  <si>
    <t>Main</t>
  </si>
  <si>
    <t>Module 24 - Statement of Cash Flows</t>
  </si>
  <si>
    <t>Module 24</t>
  </si>
  <si>
    <t>IAS 7</t>
  </si>
  <si>
    <t>FA Module 18</t>
  </si>
  <si>
    <t>allows user to evaluate the:</t>
  </si>
  <si>
    <t>changes in net assets</t>
  </si>
  <si>
    <t>financial structure of an entity (incl.  Liquididity and solvency)</t>
  </si>
  <si>
    <t>ability of an entity to adapt to changing circumstances and opportunities</t>
  </si>
  <si>
    <t>when doing cashflow - assume the overdraft is part of cash</t>
  </si>
  <si>
    <t>cash less the overdraft</t>
  </si>
  <si>
    <t>overdraft is callable on demand - so not cash, or cash equivalent</t>
  </si>
  <si>
    <t>operating activities</t>
  </si>
  <si>
    <t>investing activities</t>
  </si>
  <si>
    <t>financing activities</t>
  </si>
  <si>
    <t>text book part A - IAS 7 has a pro-forma CF</t>
  </si>
  <si>
    <t>net change plus opening balance = cash and cash equivalents at year end</t>
  </si>
  <si>
    <t>cash generated from operations</t>
  </si>
  <si>
    <t>taxes paid</t>
  </si>
  <si>
    <t>dividends paid and received</t>
  </si>
  <si>
    <t>indirect takes the PBT then adjusts it for non-cash itens</t>
  </si>
  <si>
    <t>the direct method does it forward</t>
  </si>
  <si>
    <t>take out non-operating items</t>
  </si>
  <si>
    <t>add in the working capital movements</t>
  </si>
  <si>
    <t>indirect</t>
  </si>
  <si>
    <t>Direct</t>
  </si>
  <si>
    <t>Entities are encouraged to use the direct method</t>
  </si>
  <si>
    <t>The question will request one of the moethods be used</t>
  </si>
  <si>
    <t>cash receipts</t>
  </si>
  <si>
    <t>opening AR</t>
  </si>
  <si>
    <t>plus revenue</t>
  </si>
  <si>
    <t>less closing receivables</t>
  </si>
  <si>
    <t>equals the net receipts</t>
  </si>
  <si>
    <t>then ajdust for bad detb,  deduct increase in bad debt allce</t>
  </si>
  <si>
    <t>add back a decrease in bd allce</t>
  </si>
  <si>
    <t>the increase/decrease in allce can make it appear as though cash has in/out flowed where it hasn't so - needs to bee adjusted for</t>
  </si>
  <si>
    <t>Activity 1</t>
  </si>
  <si>
    <t>opening trade receivables</t>
  </si>
  <si>
    <t>revenue</t>
  </si>
  <si>
    <t>closing trade receivables</t>
  </si>
  <si>
    <t>less: Bad debts</t>
  </si>
  <si>
    <t>add: increase in allces</t>
  </si>
  <si>
    <t>cash receipts from customers</t>
  </si>
  <si>
    <t xml:space="preserve">COS </t>
  </si>
  <si>
    <t>opening stock</t>
  </si>
  <si>
    <t>add: purchases</t>
  </si>
  <si>
    <t>x</t>
  </si>
  <si>
    <t>less: closing stock</t>
  </si>
  <si>
    <t>(x)</t>
  </si>
  <si>
    <t>Cos</t>
  </si>
  <si>
    <t xml:space="preserve">less: opening stock </t>
  </si>
  <si>
    <t>add: closing stock</t>
  </si>
  <si>
    <t>prucahses</t>
  </si>
  <si>
    <t>Opening Trade payables, accurals (less prepayments) and provision</t>
  </si>
  <si>
    <t>Purchases</t>
  </si>
  <si>
    <t>Distribution costs</t>
  </si>
  <si>
    <t>admin expenses</t>
  </si>
  <si>
    <t>closing trade payables, accruals, (less prepayments) and provision</t>
  </si>
  <si>
    <t>Cash paid to suppliers and emplpyees</t>
  </si>
  <si>
    <t>cash flows from operating activities</t>
  </si>
  <si>
    <t>cash paid to suppliers and employees</t>
  </si>
  <si>
    <t>Activity 2 - continues on from Activity 1</t>
  </si>
  <si>
    <t>admin cahrge less depr, less BD, less increase in BD allce, add back gain on sale</t>
  </si>
  <si>
    <t>less: cash paid to suppliers and employees</t>
  </si>
  <si>
    <t>Indirect method</t>
  </si>
  <si>
    <t>begin with PBT then add or deduct the non-cash elements</t>
  </si>
  <si>
    <t>PBT</t>
  </si>
  <si>
    <t>release of deferred income</t>
  </si>
  <si>
    <t>Activity 3</t>
  </si>
  <si>
    <t>Adjustments for :</t>
  </si>
  <si>
    <t>Finance cost</t>
  </si>
  <si>
    <t>depreciation charge</t>
  </si>
  <si>
    <t>gain on sale</t>
  </si>
  <si>
    <t>&lt;&lt;&lt;bad debts and allces are dealt with in the AR figure</t>
  </si>
  <si>
    <t>increase in inventories</t>
  </si>
  <si>
    <t>increase in prepayments</t>
  </si>
  <si>
    <t>increase in AR</t>
  </si>
  <si>
    <t>increase in AP</t>
  </si>
  <si>
    <t>decrease in accruals</t>
  </si>
  <si>
    <t>Increase in prov'n</t>
  </si>
  <si>
    <t>Cash generated from operations</t>
  </si>
  <si>
    <t>Direct and indirect method will always come out at the same answer</t>
  </si>
  <si>
    <t>if not - then there has been a problem</t>
  </si>
  <si>
    <t>Croft Ltd</t>
  </si>
  <si>
    <t>part 1 - direct method</t>
  </si>
  <si>
    <t>part 2 - indirect method</t>
  </si>
  <si>
    <t>finance cost</t>
  </si>
  <si>
    <t>distribution cost</t>
  </si>
  <si>
    <t>GP</t>
  </si>
  <si>
    <t>COS</t>
  </si>
  <si>
    <t>rev</t>
  </si>
  <si>
    <t>Deferred income</t>
  </si>
  <si>
    <t>AP</t>
  </si>
  <si>
    <t>Cash</t>
  </si>
  <si>
    <t>AR</t>
  </si>
  <si>
    <t>Inventories</t>
  </si>
  <si>
    <t>admin includes</t>
  </si>
  <si>
    <t>BD</t>
  </si>
  <si>
    <t>gain on disp.</t>
  </si>
  <si>
    <t>COS include:</t>
  </si>
  <si>
    <t>depr</t>
  </si>
  <si>
    <t>Direct Method</t>
  </si>
  <si>
    <t xml:space="preserve">Indirect method </t>
  </si>
  <si>
    <t>Working capital movements</t>
  </si>
  <si>
    <t>opening</t>
  </si>
  <si>
    <t>closing</t>
  </si>
  <si>
    <t>increase</t>
  </si>
  <si>
    <t>Inventory</t>
  </si>
  <si>
    <t>&lt;&lt;&lt;less the depr</t>
  </si>
  <si>
    <t>&lt;&lt;&lt;adjust for the amounts included</t>
  </si>
  <si>
    <t>direct method</t>
  </si>
  <si>
    <t>indirect method</t>
  </si>
  <si>
    <t>variance</t>
  </si>
  <si>
    <t>CY</t>
  </si>
  <si>
    <t>PY (open)</t>
  </si>
  <si>
    <t>CY (close)</t>
  </si>
  <si>
    <t>&lt;&lt;&lt;this part is where all the marks are</t>
  </si>
  <si>
    <t>Taxes paid</t>
  </si>
  <si>
    <t>cash outflow</t>
  </si>
  <si>
    <t>only CT is considered</t>
  </si>
  <si>
    <t>taxes paid are decudted from cash generated from operations in the calculation of cash flows from operating activities</t>
  </si>
  <si>
    <t>opening tax balances</t>
  </si>
  <si>
    <t>add: taxation for the year</t>
  </si>
  <si>
    <t>lee: closing tax balance</t>
  </si>
  <si>
    <t>opening tax balance includes:</t>
  </si>
  <si>
    <t>current tax payable and</t>
  </si>
  <si>
    <t>deferred tax liabilty/asset</t>
  </si>
  <si>
    <t>creditor</t>
  </si>
  <si>
    <t>SP</t>
  </si>
  <si>
    <t>PY</t>
  </si>
  <si>
    <t>accrued finance cost</t>
  </si>
  <si>
    <t>accrued finance income</t>
  </si>
  <si>
    <t>Finance income</t>
  </si>
  <si>
    <t>openign accured finance costs and income</t>
  </si>
  <si>
    <t>interst paid</t>
  </si>
  <si>
    <t>Interest received</t>
  </si>
  <si>
    <t>finance cost and income</t>
  </si>
  <si>
    <t>Closing accrued finance cost and income</t>
  </si>
  <si>
    <t>interest paid and received</t>
  </si>
  <si>
    <t>dividends declared in the year can be calculated by reconciling the opening and closing balance in retained earnings</t>
  </si>
  <si>
    <t>if there is dividend payable balance, it adjusts the calculated dividends declared to find dividends paid</t>
  </si>
  <si>
    <t>dividends paid are a cash flow from financing activities</t>
  </si>
  <si>
    <t>dividends received are a cash flow from investing actitivities</t>
  </si>
  <si>
    <t>Opening retained earnings</t>
  </si>
  <si>
    <t>profit for the year</t>
  </si>
  <si>
    <t>issue of bonus shares</t>
  </si>
  <si>
    <t>closing retained earnings</t>
  </si>
  <si>
    <t>Dividends paid</t>
  </si>
  <si>
    <t>£'000</t>
  </si>
  <si>
    <t>carrying amount of disposals</t>
  </si>
  <si>
    <t>Illustration: Cash purchases of property, plant and equipment</t>
  </si>
  <si>
    <t>Opening carrying amount</t>
  </si>
  <si>
    <t>Carrying amount of disposals</t>
  </si>
  <si>
    <t>Depreciation charge for year</t>
  </si>
  <si>
    <t>Revaluation increases</t>
  </si>
  <si>
    <t>Right-of-use assets under new leases</t>
  </si>
  <si>
    <t>Closing carrying amount</t>
  </si>
  <si>
    <t>Purchases of property, plant and equipment</t>
  </si>
  <si>
    <t>&lt;&lt;&lt;this should reconcile to the additions line in PPE (adjusted fro ROUA)</t>
  </si>
  <si>
    <t>Activity 6</t>
  </si>
  <si>
    <t>revaluation increase</t>
  </si>
  <si>
    <t>depr charge for year</t>
  </si>
  <si>
    <t>NBV at disposal</t>
  </si>
  <si>
    <t>ROUA under new lease</t>
  </si>
  <si>
    <t>Closing NBV</t>
  </si>
  <si>
    <t>purchase of PPE</t>
  </si>
  <si>
    <t>diposal</t>
  </si>
  <si>
    <t>cost</t>
  </si>
  <si>
    <t>NBV</t>
  </si>
  <si>
    <t>proceeds</t>
  </si>
  <si>
    <t>loss on disp</t>
  </si>
  <si>
    <t>AD</t>
  </si>
  <si>
    <t>diposal of Machinery</t>
  </si>
  <si>
    <t>Cashflows from financing activities</t>
  </si>
  <si>
    <t>Cashflows from investing activities</t>
  </si>
  <si>
    <t>Note that the following do not result in cash flows:</t>
  </si>
  <si>
    <t>• Issue of bonus shares;</t>
  </si>
  <si>
    <t>• Conversion of debt to equity.</t>
  </si>
  <si>
    <t>See modules 15, 28 &amp; 14.</t>
  </si>
  <si>
    <t>• Shares issued in consideration for the acquisition of an investment in a subsidiary; and</t>
  </si>
  <si>
    <t>Activity 7:  Financing activities</t>
  </si>
  <si>
    <t>Proceeds from issue of share capital</t>
  </si>
  <si>
    <t>Opening share capital and share premium</t>
  </si>
  <si>
    <t>Conversion of debt</t>
  </si>
  <si>
    <t>Closing share capital and share premium</t>
  </si>
  <si>
    <t>&lt;&lt;&lt;cash</t>
  </si>
  <si>
    <t>&lt;&lt;&lt;non-cash</t>
  </si>
  <si>
    <t>&lt;&lt;non-cash</t>
  </si>
  <si>
    <t xml:space="preserve">opening </t>
  </si>
  <si>
    <t>conversion</t>
  </si>
  <si>
    <t>bonus</t>
  </si>
  <si>
    <t>clsongin</t>
  </si>
  <si>
    <t>issue</t>
  </si>
  <si>
    <t>checksum</t>
  </si>
  <si>
    <t>Proceeds from long-term borrowings</t>
  </si>
  <si>
    <t>Opening loan payable</t>
  </si>
  <si>
    <t>Closing loan payeable</t>
  </si>
  <si>
    <t>Proceeds from LT borrowings</t>
  </si>
  <si>
    <t>Net cash from financing activites</t>
  </si>
  <si>
    <t>Cash flows from financing activities</t>
  </si>
  <si>
    <t>proceeds from LT borrowings</t>
  </si>
  <si>
    <t>Net cash from financing activities</t>
  </si>
  <si>
    <t>Reds plc</t>
  </si>
  <si>
    <t>Cash receipts from custoemrs</t>
  </si>
  <si>
    <t>Opening AR</t>
  </si>
  <si>
    <t>Revenue</t>
  </si>
  <si>
    <t>Closing AR</t>
  </si>
  <si>
    <t>Cash paid to suppliers and Ee's</t>
  </si>
  <si>
    <t>Opening AP</t>
  </si>
  <si>
    <t>purchases</t>
  </si>
  <si>
    <t>admin exp.</t>
  </si>
  <si>
    <t>distribution exp.</t>
  </si>
  <si>
    <t>&lt;&lt;less depr, less loss on disposal</t>
  </si>
  <si>
    <t>Closing AP</t>
  </si>
  <si>
    <t>Cash paid to suppliers and EE's</t>
  </si>
  <si>
    <t>Interest paid</t>
  </si>
  <si>
    <t>opening accrued finance cost</t>
  </si>
  <si>
    <t>Closing accured finance cost</t>
  </si>
  <si>
    <t>Opening current tax payable</t>
  </si>
  <si>
    <t>taxation</t>
  </si>
  <si>
    <t>Closing current tax payable</t>
  </si>
  <si>
    <t>Purchase of PPE</t>
  </si>
  <si>
    <t>Opening PPE</t>
  </si>
  <si>
    <t>Depr'n charge</t>
  </si>
  <si>
    <t>Closing PPE</t>
  </si>
  <si>
    <t>Proceeds from sale of PPE</t>
  </si>
  <si>
    <t>Carrying amount</t>
  </si>
  <si>
    <t>Loss on disposal</t>
  </si>
  <si>
    <t>Poceeds from issue of share capital</t>
  </si>
  <si>
    <t>Proceeds from LT borrowing</t>
  </si>
  <si>
    <t>Opening debentures</t>
  </si>
  <si>
    <t>closing debentures</t>
  </si>
  <si>
    <t>Opening RE</t>
  </si>
  <si>
    <t>Closing retained earnings</t>
  </si>
  <si>
    <t>Statement of cashflows</t>
  </si>
  <si>
    <t>YE 31/12/2023</t>
  </si>
  <si>
    <t>Cash flows from operating activities</t>
  </si>
  <si>
    <t>interest paid</t>
  </si>
  <si>
    <t>Net cash from operating activities</t>
  </si>
  <si>
    <t>cash flows from investing activites</t>
  </si>
  <si>
    <t>proceeds from sale of PPE</t>
  </si>
  <si>
    <t>net cash used in investing activities</t>
  </si>
  <si>
    <t>proceeds from issue of share capital</t>
  </si>
  <si>
    <t>dividends paid</t>
  </si>
  <si>
    <t>net cash from financing activities</t>
  </si>
  <si>
    <t>Net inccrease in cash and cash equivalents</t>
  </si>
  <si>
    <t>cash and equivalents at open</t>
  </si>
  <si>
    <t>cash and cash equivalents at clost</t>
  </si>
  <si>
    <t>per FS</t>
  </si>
  <si>
    <t>zero check</t>
  </si>
  <si>
    <t xml:space="preserve">closing </t>
  </si>
  <si>
    <t>movement</t>
  </si>
  <si>
    <t>inventory</t>
  </si>
  <si>
    <t>Adjustements for:</t>
  </si>
  <si>
    <t>deprectiation charges</t>
  </si>
  <si>
    <t>loss on disposal of PPE</t>
  </si>
  <si>
    <t>Increase in inventories</t>
  </si>
  <si>
    <t>Decrease in AR</t>
  </si>
  <si>
    <t>decrease in AP</t>
  </si>
  <si>
    <t>&lt;&lt;&lt;74 apparently</t>
  </si>
  <si>
    <t>MacWhisky plc</t>
  </si>
  <si>
    <t>YE</t>
  </si>
  <si>
    <t>gain on disposal</t>
  </si>
  <si>
    <t>inventories</t>
  </si>
  <si>
    <t>TR</t>
  </si>
  <si>
    <t>TP</t>
  </si>
  <si>
    <t>clolsing</t>
  </si>
  <si>
    <t>opening accrued finance costs</t>
  </si>
  <si>
    <t>Finance costs</t>
  </si>
  <si>
    <t>PAT</t>
  </si>
  <si>
    <t>TAX</t>
  </si>
  <si>
    <t>finance income</t>
  </si>
  <si>
    <t>E+L</t>
  </si>
  <si>
    <t>L</t>
  </si>
  <si>
    <t>CL</t>
  </si>
  <si>
    <t>current tax</t>
  </si>
  <si>
    <t>NCL</t>
  </si>
  <si>
    <t>lease payable</t>
  </si>
  <si>
    <t>convertible debt</t>
  </si>
  <si>
    <t>loan payable</t>
  </si>
  <si>
    <t>E</t>
  </si>
  <si>
    <t>RVS</t>
  </si>
  <si>
    <t>reserve for convertible debt</t>
  </si>
  <si>
    <t>RE</t>
  </si>
  <si>
    <t>SC</t>
  </si>
  <si>
    <t>A</t>
  </si>
  <si>
    <t>Investments</t>
  </si>
  <si>
    <t>PPE</t>
  </si>
  <si>
    <t>Closing accrued finance costs</t>
  </si>
  <si>
    <t>opening current tax payable</t>
  </si>
  <si>
    <t>Opening</t>
  </si>
  <si>
    <t>Depr charge</t>
  </si>
  <si>
    <t>Disposal</t>
  </si>
  <si>
    <t>ROUA</t>
  </si>
  <si>
    <t>PPE additions in the year</t>
  </si>
  <si>
    <t>opening investments</t>
  </si>
  <si>
    <t>Revaluation increase</t>
  </si>
  <si>
    <t>Closing investments</t>
  </si>
  <si>
    <t>investment additions</t>
  </si>
  <si>
    <t>carrying amoun</t>
  </si>
  <si>
    <t>Opening accrued finance income</t>
  </si>
  <si>
    <t>Closing accrued finance income</t>
  </si>
  <si>
    <t>interest received</t>
  </si>
  <si>
    <t>Payment of LT borrowing</t>
  </si>
  <si>
    <t>Closing loan payable</t>
  </si>
  <si>
    <t>Profit for the year</t>
  </si>
  <si>
    <t>Transfer from reserve for convertible debt</t>
  </si>
  <si>
    <t>Closing RE</t>
  </si>
  <si>
    <t>[INSERT COMPANY] plc/ Ltd</t>
  </si>
  <si>
    <t>Statement of cash flows</t>
  </si>
  <si>
    <t>For the year ended [INSERT Y/E DATE]</t>
  </si>
  <si>
    <t>Profit/ Loss before taxation</t>
  </si>
  <si>
    <t>Adjustments for:</t>
  </si>
  <si>
    <t>Depreciation of non-current assets</t>
  </si>
  <si>
    <t>Gain on sale of non-current assets</t>
  </si>
  <si>
    <t>Increase in trade and other receivables</t>
  </si>
  <si>
    <t>Decrease in trade and other payables</t>
  </si>
  <si>
    <t>Net cash from/ used in operating activities</t>
  </si>
  <si>
    <t>Cash flows from investing activities</t>
  </si>
  <si>
    <t>Purchase of non-current assets</t>
  </si>
  <si>
    <t>Proceeds from sale of non-current assets</t>
  </si>
  <si>
    <t>Purchase of other investments</t>
  </si>
  <si>
    <t>Net cash from/ used in investing activities</t>
  </si>
  <si>
    <t>Payment/ Redemption of long-term borrowings</t>
  </si>
  <si>
    <t>Net increase/ decrease in cash and cash equivalents</t>
  </si>
  <si>
    <t>Cash and cash equivalents at [INSERT FIRST DAY OF YEAR]</t>
  </si>
  <si>
    <t>Cash and cash equivalents at [INSERT Y/E DATE]</t>
  </si>
  <si>
    <t>Holmes Ltd</t>
  </si>
  <si>
    <t>Overdraft</t>
  </si>
  <si>
    <t>Deferred ta</t>
  </si>
  <si>
    <t>debentures</t>
  </si>
  <si>
    <t>Rev</t>
  </si>
  <si>
    <t>CoS</t>
  </si>
  <si>
    <t>Admin</t>
  </si>
  <si>
    <t>finance costs</t>
  </si>
  <si>
    <t>Tax</t>
  </si>
  <si>
    <t>Direct method</t>
  </si>
  <si>
    <t>Cash and cash equivalents</t>
  </si>
  <si>
    <t>bank overdraft</t>
  </si>
  <si>
    <t>Non-cash items</t>
  </si>
  <si>
    <t>Closing</t>
  </si>
  <si>
    <t>Increase/(Decrease)</t>
  </si>
  <si>
    <t>Opening accrued finance cost</t>
  </si>
  <si>
    <t>Closing accrued finance cost</t>
  </si>
  <si>
    <t>Taxation</t>
  </si>
  <si>
    <t>Less depreciation</t>
  </si>
  <si>
    <t>Closing PPE NBV</t>
  </si>
  <si>
    <t>Loss/(gain) on disposal</t>
  </si>
  <si>
    <t>Openign accrued finance income</t>
  </si>
  <si>
    <t>Issue of bonus shares</t>
  </si>
  <si>
    <t>release of reservcs (non-cash)</t>
  </si>
  <si>
    <t>Proceeds  from issue of share capital</t>
  </si>
  <si>
    <t>Derecgonition of debenture</t>
  </si>
  <si>
    <t>Closing debentures</t>
  </si>
  <si>
    <t>Purchase of investments</t>
  </si>
  <si>
    <t>Revaluations gains</t>
  </si>
  <si>
    <t>M Ltd</t>
  </si>
  <si>
    <t>Loans payable</t>
  </si>
  <si>
    <t>*</t>
  </si>
  <si>
    <t>Bank overdrafts</t>
  </si>
  <si>
    <t>Lease payable</t>
  </si>
  <si>
    <t>Deferred tax</t>
  </si>
  <si>
    <t>Debentures</t>
  </si>
  <si>
    <t>Cash and cash equivalents within current assets</t>
  </si>
  <si>
    <t>Bank overdraft</t>
  </si>
  <si>
    <t>Trade and other receivables</t>
  </si>
  <si>
    <t>Trade and other payables</t>
  </si>
  <si>
    <t>Provisions</t>
  </si>
  <si>
    <t>Amortisation of non-current assets</t>
  </si>
  <si>
    <t>Loss on sale of non-current assets</t>
  </si>
  <si>
    <t>Fair value gain</t>
  </si>
  <si>
    <t>Fair value loss</t>
  </si>
  <si>
    <t>Cash generated from operations =</t>
  </si>
  <si>
    <t>Foreign exchange gain</t>
  </si>
  <si>
    <t>Foreign exchange loss</t>
  </si>
  <si>
    <t>Release of deferred income</t>
  </si>
  <si>
    <t>Account for movements in accruals, inventories, prepayments, provisions etc (can separate out)</t>
  </si>
  <si>
    <t>Opening accrued finance costs</t>
  </si>
  <si>
    <t>Nominal payments</t>
  </si>
  <si>
    <t>Loans</t>
  </si>
  <si>
    <t>Less Effective interest</t>
  </si>
  <si>
    <t>Acquisition of subsidiary, net of cash acquired</t>
  </si>
  <si>
    <t>Disposal of subsidiary, net of cash disposed</t>
  </si>
  <si>
    <t>Opening deferred tax</t>
  </si>
  <si>
    <t>Proceeds from sale of other investments</t>
  </si>
  <si>
    <t>Closing deferred tax</t>
  </si>
  <si>
    <t>Dividends received</t>
  </si>
  <si>
    <t>Revaluation increase/(impairment loss)</t>
  </si>
  <si>
    <t>Less Depreciation charge</t>
  </si>
  <si>
    <t>Purchase of share capital</t>
  </si>
  <si>
    <t>Less disposals (carrying amount)</t>
  </si>
  <si>
    <t>Proceeds from issue of debt</t>
  </si>
  <si>
    <t>RoU assets under new leases</t>
  </si>
  <si>
    <t>Payment of lease liabilities</t>
  </si>
  <si>
    <t>Financing by sale of investment (not derecognised)</t>
  </si>
  <si>
    <t>Lease financing received (lease payable)</t>
  </si>
  <si>
    <t>Less effective interest</t>
  </si>
  <si>
    <t>Nominal receipt</t>
  </si>
  <si>
    <t>Release of reserves (non cash)</t>
  </si>
  <si>
    <t xml:space="preserve">Proceeds from issue of share capital </t>
  </si>
  <si>
    <t>Gross proceeds</t>
  </si>
  <si>
    <t>Issue costs</t>
  </si>
  <si>
    <t>Proceeds from long term borrowings</t>
  </si>
  <si>
    <t>Derecognition of debentures</t>
  </si>
  <si>
    <t xml:space="preserve">Proceeds from long term borrowings </t>
  </si>
  <si>
    <t>Opening investments</t>
  </si>
  <si>
    <t>Revaluation gains</t>
  </si>
  <si>
    <t>Remember transaction fees</t>
  </si>
  <si>
    <t>Proceeds from sale of investments</t>
  </si>
  <si>
    <t>Fari value increase</t>
  </si>
  <si>
    <t>Include both long term and current loans payable</t>
  </si>
  <si>
    <t>PPE borrowing cost loans drawn down</t>
  </si>
  <si>
    <t>Carrying amount of investments sold</t>
  </si>
  <si>
    <t>Gain on sale of investments</t>
  </si>
  <si>
    <t>Payment of long-term borrowings</t>
  </si>
  <si>
    <t>Proceeds from issue of LT borrowings</t>
  </si>
  <si>
    <t xml:space="preserve">Payment of lease liabilities </t>
  </si>
  <si>
    <t>Opening lease payable</t>
  </si>
  <si>
    <t>New lease</t>
  </si>
  <si>
    <t>Closing lease payable</t>
  </si>
  <si>
    <t>Purchase of Intangibles</t>
  </si>
  <si>
    <t>Less amortisation charge</t>
  </si>
  <si>
    <r>
      <t>For the year ended</t>
    </r>
    <r>
      <rPr>
        <b/>
        <sz val="12"/>
        <color rgb="FFC00000"/>
        <rFont val="Arial"/>
        <family val="2"/>
      </rPr>
      <t xml:space="preserve"> [INSERT Y/E DATE]</t>
    </r>
  </si>
  <si>
    <r>
      <rPr>
        <sz val="12"/>
        <color rgb="FFC00000"/>
        <rFont val="Arial"/>
        <family val="2"/>
      </rPr>
      <t>Profit/ Loss</t>
    </r>
    <r>
      <rPr>
        <sz val="12"/>
        <color theme="1"/>
        <rFont val="Arial"/>
        <family val="2"/>
      </rPr>
      <t xml:space="preserve"> before taxation</t>
    </r>
  </si>
  <si>
    <r>
      <t xml:space="preserve">Net cash </t>
    </r>
    <r>
      <rPr>
        <i/>
        <sz val="12"/>
        <color rgb="FFC00000"/>
        <rFont val="Arial"/>
        <family val="2"/>
      </rPr>
      <t>from/ used in</t>
    </r>
    <r>
      <rPr>
        <i/>
        <sz val="12"/>
        <color theme="1"/>
        <rFont val="Arial"/>
        <family val="2"/>
      </rPr>
      <t xml:space="preserve"> operating activities</t>
    </r>
  </si>
  <si>
    <r>
      <t xml:space="preserve">Net cash </t>
    </r>
    <r>
      <rPr>
        <i/>
        <sz val="12"/>
        <color rgb="FFC00000"/>
        <rFont val="Arial"/>
        <family val="2"/>
      </rPr>
      <t>from/ used in</t>
    </r>
    <r>
      <rPr>
        <i/>
        <sz val="12"/>
        <color theme="1"/>
        <rFont val="Arial"/>
        <family val="2"/>
      </rPr>
      <t xml:space="preserve"> investing activities</t>
    </r>
  </si>
  <si>
    <r>
      <t xml:space="preserve">Net cash </t>
    </r>
    <r>
      <rPr>
        <i/>
        <sz val="12"/>
        <color rgb="FFC00000"/>
        <rFont val="Arial"/>
        <family val="2"/>
      </rPr>
      <t>from/ used</t>
    </r>
    <r>
      <rPr>
        <i/>
        <sz val="12"/>
        <color theme="1"/>
        <rFont val="Arial"/>
        <family val="2"/>
      </rPr>
      <t xml:space="preserve"> in investing activities</t>
    </r>
  </si>
  <si>
    <r>
      <t xml:space="preserve">Cash and cash equivalents at </t>
    </r>
    <r>
      <rPr>
        <b/>
        <sz val="12"/>
        <color rgb="FFC00000"/>
        <rFont val="Arial"/>
        <family val="2"/>
      </rPr>
      <t>[INSERT FIRST DAY OF YEAR]</t>
    </r>
  </si>
  <si>
    <r>
      <t xml:space="preserve">Cash and cash equivalents at </t>
    </r>
    <r>
      <rPr>
        <b/>
        <sz val="12"/>
        <color rgb="FFC00000"/>
        <rFont val="Arial"/>
        <family val="2"/>
      </rPr>
      <t>[INSERT Y/E DATE]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</si>
</sst>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#,##0;[Red]\(#,##0\)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C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C00000"/>
      <name val="Arial"/>
      <family val="2"/>
    </font>
    <font>
      <i/>
      <sz val="12"/>
      <color theme="1"/>
      <name val="Arial"/>
      <family val="2"/>
    </font>
    <font>
      <i/>
      <sz val="12"/>
      <color rgb="FFC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7" fillId="0" borderId="0"/>
  </cellStyleXfs>
  <cellXfs count="88">
    <xf numFmtId="0" fontId="0" fillId="0" borderId="0" xfId="0"/>
    <xf numFmtId="0" fontId="1" fillId="0" borderId="0" xfId="0" applyFont="1"/>
    <xf numFmtId="0" fontId="2" fillId="0" borderId="0" xfId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8" fontId="1" fillId="0" borderId="0" xfId="0" applyNumberFormat="1" applyFont="1"/>
    <xf numFmtId="38" fontId="1" fillId="0" borderId="1" xfId="0" applyNumberFormat="1" applyFont="1" applyBorder="1"/>
    <xf numFmtId="0" fontId="1" fillId="0" borderId="2" xfId="0" applyFont="1" applyBorder="1"/>
    <xf numFmtId="3" fontId="1" fillId="0" borderId="0" xfId="0" applyNumberFormat="1" applyFont="1" applyBorder="1"/>
    <xf numFmtId="3" fontId="1" fillId="2" borderId="0" xfId="0" applyNumberFormat="1" applyFont="1" applyFill="1"/>
    <xf numFmtId="3" fontId="1" fillId="3" borderId="0" xfId="0" applyNumberFormat="1" applyFont="1" applyFill="1"/>
    <xf numFmtId="3" fontId="1" fillId="3" borderId="1" xfId="0" applyNumberFormat="1" applyFont="1" applyFill="1" applyBorder="1"/>
    <xf numFmtId="38" fontId="1" fillId="3" borderId="0" xfId="0" applyNumberFormat="1" applyFont="1" applyFill="1"/>
    <xf numFmtId="0" fontId="1" fillId="0" borderId="0" xfId="0" applyFont="1" applyBorder="1"/>
    <xf numFmtId="3" fontId="1" fillId="0" borderId="2" xfId="0" applyNumberFormat="1" applyFont="1" applyBorder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Fill="1"/>
    <xf numFmtId="14" fontId="1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right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5" fillId="5" borderId="0" xfId="3" applyFont="1" applyFill="1" applyAlignment="1">
      <alignment vertical="center"/>
    </xf>
    <xf numFmtId="0" fontId="8" fillId="4" borderId="3" xfId="3" applyFont="1" applyFill="1" applyBorder="1" applyAlignment="1">
      <alignment vertical="center"/>
    </xf>
    <xf numFmtId="0" fontId="9" fillId="0" borderId="3" xfId="3" applyFont="1" applyBorder="1" applyAlignment="1">
      <alignment horizontal="right" vertical="center"/>
    </xf>
    <xf numFmtId="0" fontId="9" fillId="5" borderId="0" xfId="3" applyFont="1" applyFill="1" applyAlignment="1">
      <alignment vertical="center"/>
    </xf>
    <xf numFmtId="0" fontId="0" fillId="4" borderId="0" xfId="0" applyFill="1" applyAlignment="1"/>
    <xf numFmtId="0" fontId="10" fillId="4" borderId="3" xfId="3" applyFont="1" applyFill="1" applyBorder="1" applyAlignment="1">
      <alignment vertical="center"/>
    </xf>
    <xf numFmtId="0" fontId="6" fillId="4" borderId="0" xfId="0" applyFont="1" applyFill="1" applyAlignment="1"/>
    <xf numFmtId="0" fontId="10" fillId="4" borderId="6" xfId="3" applyFont="1" applyFill="1" applyBorder="1" applyAlignment="1">
      <alignment vertical="center"/>
    </xf>
    <xf numFmtId="164" fontId="0" fillId="2" borderId="0" xfId="0" applyNumberFormat="1" applyFill="1" applyAlignment="1"/>
    <xf numFmtId="0" fontId="9" fillId="4" borderId="3" xfId="3" applyFont="1" applyFill="1" applyBorder="1" applyAlignment="1">
      <alignment vertical="center"/>
    </xf>
    <xf numFmtId="0" fontId="10" fillId="0" borderId="3" xfId="3" applyFont="1" applyBorder="1" applyAlignment="1">
      <alignment horizontal="right" vertical="center"/>
    </xf>
    <xf numFmtId="41" fontId="9" fillId="4" borderId="3" xfId="3" applyNumberFormat="1" applyFont="1" applyFill="1" applyBorder="1" applyAlignment="1">
      <alignment horizontal="right" vertical="center"/>
    </xf>
    <xf numFmtId="164" fontId="0" fillId="4" borderId="1" xfId="0" applyNumberFormat="1" applyFill="1" applyBorder="1" applyAlignment="1"/>
    <xf numFmtId="164" fontId="9" fillId="6" borderId="3" xfId="3" applyNumberFormat="1" applyFont="1" applyFill="1" applyBorder="1" applyAlignment="1">
      <alignment horizontal="right" vertical="center"/>
    </xf>
    <xf numFmtId="164" fontId="9" fillId="4" borderId="3" xfId="3" applyNumberFormat="1" applyFont="1" applyFill="1" applyBorder="1" applyAlignment="1">
      <alignment horizontal="right" vertical="center"/>
    </xf>
    <xf numFmtId="164" fontId="9" fillId="4" borderId="4" xfId="3" applyNumberFormat="1" applyFont="1" applyFill="1" applyBorder="1" applyAlignment="1">
      <alignment horizontal="right" vertical="center"/>
    </xf>
    <xf numFmtId="0" fontId="9" fillId="4" borderId="3" xfId="3" applyFont="1" applyFill="1" applyBorder="1" applyAlignment="1">
      <alignment horizontal="left" vertical="center"/>
    </xf>
    <xf numFmtId="164" fontId="9" fillId="2" borderId="4" xfId="3" applyNumberFormat="1" applyFont="1" applyFill="1" applyBorder="1" applyAlignment="1">
      <alignment horizontal="right" vertical="center"/>
    </xf>
    <xf numFmtId="164" fontId="0" fillId="2" borderId="0" xfId="2" applyNumberFormat="1" applyFont="1" applyFill="1" applyAlignment="1"/>
    <xf numFmtId="3" fontId="0" fillId="4" borderId="0" xfId="0" applyNumberFormat="1" applyFill="1" applyAlignment="1"/>
    <xf numFmtId="3" fontId="6" fillId="4" borderId="0" xfId="0" applyNumberFormat="1" applyFont="1" applyFill="1" applyAlignment="1"/>
    <xf numFmtId="164" fontId="6" fillId="4" borderId="0" xfId="0" applyNumberFormat="1" applyFont="1" applyFill="1" applyAlignment="1"/>
    <xf numFmtId="164" fontId="9" fillId="2" borderId="8" xfId="3" applyNumberFormat="1" applyFont="1" applyFill="1" applyBorder="1" applyAlignment="1">
      <alignment horizontal="right" vertical="center"/>
    </xf>
    <xf numFmtId="164" fontId="9" fillId="7" borderId="5" xfId="3" applyNumberFormat="1" applyFont="1" applyFill="1" applyBorder="1" applyAlignment="1">
      <alignment horizontal="right" vertical="center"/>
    </xf>
    <xf numFmtId="0" fontId="0" fillId="0" borderId="0" xfId="0" applyAlignment="1"/>
    <xf numFmtId="164" fontId="9" fillId="6" borderId="4" xfId="3" applyNumberFormat="1" applyFont="1" applyFill="1" applyBorder="1" applyAlignment="1">
      <alignment horizontal="right" vertical="center"/>
    </xf>
    <xf numFmtId="164" fontId="0" fillId="4" borderId="0" xfId="0" applyNumberFormat="1" applyFill="1" applyAlignment="1"/>
    <xf numFmtId="164" fontId="9" fillId="7" borderId="7" xfId="3" applyNumberFormat="1" applyFont="1" applyFill="1" applyBorder="1" applyAlignment="1">
      <alignment horizontal="right" vertical="center"/>
    </xf>
    <xf numFmtId="164" fontId="9" fillId="6" borderId="8" xfId="3" applyNumberFormat="1" applyFont="1" applyFill="1" applyBorder="1" applyAlignment="1">
      <alignment horizontal="right" vertical="center"/>
    </xf>
    <xf numFmtId="164" fontId="0" fillId="0" borderId="9" xfId="2" applyNumberFormat="1" applyFont="1" applyBorder="1" applyAlignment="1"/>
    <xf numFmtId="0" fontId="12" fillId="4" borderId="3" xfId="3" applyFont="1" applyFill="1" applyBorder="1" applyAlignment="1">
      <alignment vertical="center"/>
    </xf>
    <xf numFmtId="164" fontId="9" fillId="4" borderId="7" xfId="3" applyNumberFormat="1" applyFont="1" applyFill="1" applyBorder="1" applyAlignment="1">
      <alignment horizontal="right" vertical="center"/>
    </xf>
    <xf numFmtId="164" fontId="9" fillId="7" borderId="3" xfId="3" applyNumberFormat="1" applyFont="1" applyFill="1" applyBorder="1" applyAlignment="1">
      <alignment horizontal="right" vertical="center"/>
    </xf>
    <xf numFmtId="164" fontId="0" fillId="4" borderId="1" xfId="2" applyNumberFormat="1" applyFont="1" applyFill="1" applyBorder="1" applyAlignment="1"/>
    <xf numFmtId="164" fontId="0" fillId="4" borderId="0" xfId="2" applyNumberFormat="1" applyFont="1" applyFill="1" applyAlignment="1"/>
    <xf numFmtId="164" fontId="0" fillId="0" borderId="1" xfId="2" applyNumberFormat="1" applyFont="1" applyBorder="1" applyAlignment="1"/>
    <xf numFmtId="0" fontId="9" fillId="4" borderId="0" xfId="3" applyFont="1" applyFill="1" applyAlignment="1">
      <alignment vertical="center"/>
    </xf>
    <xf numFmtId="164" fontId="9" fillId="4" borderId="0" xfId="3" applyNumberFormat="1" applyFont="1" applyFill="1" applyAlignment="1">
      <alignment vertical="center"/>
    </xf>
    <xf numFmtId="164" fontId="9" fillId="7" borderId="8" xfId="3" applyNumberFormat="1" applyFont="1" applyFill="1" applyBorder="1" applyAlignment="1">
      <alignment horizontal="right" vertical="center"/>
    </xf>
    <xf numFmtId="164" fontId="9" fillId="2" borderId="0" xfId="2" applyNumberFormat="1" applyFont="1" applyFill="1" applyAlignment="1">
      <alignment vertical="center"/>
    </xf>
    <xf numFmtId="0" fontId="10" fillId="4" borderId="4" xfId="3" applyFont="1" applyFill="1" applyBorder="1" applyAlignment="1">
      <alignment vertical="center"/>
    </xf>
    <xf numFmtId="164" fontId="9" fillId="6" borderId="10" xfId="3" applyNumberFormat="1" applyFont="1" applyFill="1" applyBorder="1" applyAlignment="1">
      <alignment horizontal="right" vertical="center"/>
    </xf>
    <xf numFmtId="41" fontId="14" fillId="5" borderId="0" xfId="3" applyNumberFormat="1" applyFont="1" applyFill="1" applyAlignment="1">
      <alignment horizontal="right" vertical="center"/>
    </xf>
    <xf numFmtId="41" fontId="14" fillId="4" borderId="3" xfId="3" applyNumberFormat="1" applyFont="1" applyFill="1" applyBorder="1" applyAlignment="1">
      <alignment horizontal="right" vertical="center"/>
    </xf>
    <xf numFmtId="0" fontId="7" fillId="0" borderId="3" xfId="3" applyBorder="1" applyAlignment="1">
      <alignment horizontal="right" vertical="center"/>
    </xf>
    <xf numFmtId="164" fontId="0" fillId="0" borderId="9" xfId="0" applyNumberFormat="1" applyBorder="1" applyAlignment="1"/>
    <xf numFmtId="164" fontId="0" fillId="2" borderId="0" xfId="2" applyNumberFormat="1" applyFont="1" applyFill="1" applyBorder="1" applyAlignment="1"/>
    <xf numFmtId="164" fontId="9" fillId="2" borderId="0" xfId="3" applyNumberFormat="1" applyFont="1" applyFill="1" applyAlignment="1">
      <alignment vertical="center"/>
    </xf>
    <xf numFmtId="41" fontId="9" fillId="5" borderId="0" xfId="3" applyNumberFormat="1" applyFont="1" applyFill="1" applyAlignment="1">
      <alignment horizontal="right" vertical="center"/>
    </xf>
    <xf numFmtId="164" fontId="0" fillId="0" borderId="1" xfId="0" applyNumberFormat="1" applyBorder="1" applyAlignment="1"/>
    <xf numFmtId="164" fontId="0" fillId="0" borderId="0" xfId="0" applyNumberFormat="1" applyAlignment="1"/>
    <xf numFmtId="0" fontId="6" fillId="4" borderId="11" xfId="0" applyFont="1" applyFill="1" applyBorder="1" applyAlignment="1"/>
    <xf numFmtId="0" fontId="9" fillId="4" borderId="11" xfId="3" applyFont="1" applyFill="1" applyBorder="1" applyAlignment="1">
      <alignment vertical="center"/>
    </xf>
    <xf numFmtId="164" fontId="9" fillId="0" borderId="12" xfId="3" applyNumberFormat="1" applyFont="1" applyBorder="1" applyAlignment="1">
      <alignment vertical="center"/>
    </xf>
    <xf numFmtId="164" fontId="9" fillId="0" borderId="1" xfId="3" applyNumberFormat="1" applyFont="1" applyBorder="1" applyAlignment="1">
      <alignment vertical="center"/>
    </xf>
    <xf numFmtId="164" fontId="9" fillId="0" borderId="0" xfId="3" applyNumberFormat="1" applyFont="1" applyAlignment="1">
      <alignment vertical="center"/>
    </xf>
    <xf numFmtId="164" fontId="9" fillId="2" borderId="2" xfId="3" applyNumberFormat="1" applyFont="1" applyFill="1" applyBorder="1" applyAlignment="1">
      <alignment vertical="center"/>
    </xf>
    <xf numFmtId="164" fontId="9" fillId="2" borderId="12" xfId="3" applyNumberFormat="1" applyFont="1" applyFill="1" applyBorder="1" applyAlignment="1">
      <alignment vertical="center"/>
    </xf>
    <xf numFmtId="164" fontId="9" fillId="0" borderId="9" xfId="2" applyNumberFormat="1" applyFont="1" applyFill="1" applyBorder="1" applyAlignment="1">
      <alignment vertical="center"/>
    </xf>
    <xf numFmtId="164" fontId="9" fillId="0" borderId="1" xfId="2" applyNumberFormat="1" applyFont="1" applyFill="1" applyBorder="1" applyAlignment="1">
      <alignment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06BF3DA8-07F0-43E9-B61D-8F26E9E4FB9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15</xdr:row>
      <xdr:rowOff>0</xdr:rowOff>
    </xdr:from>
    <xdr:to>
      <xdr:col>7</xdr:col>
      <xdr:colOff>1</xdr:colOff>
      <xdr:row>19</xdr:row>
      <xdr:rowOff>3364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DBA4D-9367-A9C1-6D9D-FB2679945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9" y="2420471"/>
          <a:ext cx="3630706" cy="630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7</xdr:col>
      <xdr:colOff>0</xdr:colOff>
      <xdr:row>28</xdr:row>
      <xdr:rowOff>20870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42B48-99C6-FFB6-BFC9-3A2B57541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136" y="3654137"/>
          <a:ext cx="3636819" cy="80018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</xdr:row>
      <xdr:rowOff>0</xdr:rowOff>
    </xdr:from>
    <xdr:to>
      <xdr:col>7</xdr:col>
      <xdr:colOff>1</xdr:colOff>
      <xdr:row>43</xdr:row>
      <xdr:rowOff>149811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894D6D-F593-A020-B7C3-BA54A447E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4773706"/>
          <a:ext cx="3630706" cy="218928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52</xdr:row>
      <xdr:rowOff>0</xdr:rowOff>
    </xdr:from>
    <xdr:to>
      <xdr:col>7</xdr:col>
      <xdr:colOff>53766</xdr:colOff>
      <xdr:row>66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040B8D-CD41-FA1D-FB0C-2A6BF8CF7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2" y="7864929"/>
          <a:ext cx="3727694" cy="2095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7</xdr:col>
      <xdr:colOff>0</xdr:colOff>
      <xdr:row>81</xdr:row>
      <xdr:rowOff>95984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B65476-5891-C057-9BD7-4E78AAD69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10259786"/>
          <a:ext cx="3673929" cy="20418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7</xdr:col>
      <xdr:colOff>0</xdr:colOff>
      <xdr:row>97</xdr:row>
      <xdr:rowOff>38285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059BAB-694A-85FD-11E3-D721E107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14657294"/>
          <a:ext cx="3630706" cy="6658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7</xdr:col>
      <xdr:colOff>0</xdr:colOff>
      <xdr:row>123</xdr:row>
      <xdr:rowOff>137069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65C779-DB73-2848-6D54-6EB72EDD0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5118" y="17638059"/>
          <a:ext cx="3630706" cy="1862775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175</xdr:row>
      <xdr:rowOff>1</xdr:rowOff>
    </xdr:from>
    <xdr:to>
      <xdr:col>7</xdr:col>
      <xdr:colOff>0</xdr:colOff>
      <xdr:row>197</xdr:row>
      <xdr:rowOff>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00D4203-DFBD-9616-0E3F-410F57551DCC}"/>
            </a:ext>
          </a:extLst>
        </xdr:cNvPr>
        <xdr:cNvGrpSpPr/>
      </xdr:nvGrpSpPr>
      <xdr:grpSpPr>
        <a:xfrm>
          <a:off x="610915" y="26624018"/>
          <a:ext cx="3665482" cy="3323897"/>
          <a:chOff x="609600" y="26833286"/>
          <a:chExt cx="6839905" cy="5724601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46BFF8BE-AEC7-81E8-D525-83753318D7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09600" y="26833286"/>
            <a:ext cx="6830378" cy="5153744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1F074E0F-C2C3-C859-9FCF-08BB498AF6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09600" y="32014886"/>
            <a:ext cx="6839905" cy="543001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</xdr:colOff>
      <xdr:row>237</xdr:row>
      <xdr:rowOff>0</xdr:rowOff>
    </xdr:from>
    <xdr:to>
      <xdr:col>7</xdr:col>
      <xdr:colOff>1</xdr:colOff>
      <xdr:row>243</xdr:row>
      <xdr:rowOff>91853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7D89257-08EC-62C8-41DF-1834D5245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914" y="35615217"/>
          <a:ext cx="3677478" cy="98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246</xdr:row>
      <xdr:rowOff>1</xdr:rowOff>
    </xdr:from>
    <xdr:to>
      <xdr:col>7</xdr:col>
      <xdr:colOff>44284</xdr:colOff>
      <xdr:row>266</xdr:row>
      <xdr:rowOff>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AD95B0-9409-DAA9-DDB7-DB2EF923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321" y="37065858"/>
          <a:ext cx="3718213" cy="299357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290</xdr:row>
      <xdr:rowOff>1</xdr:rowOff>
    </xdr:from>
    <xdr:to>
      <xdr:col>7</xdr:col>
      <xdr:colOff>1</xdr:colOff>
      <xdr:row>295</xdr:row>
      <xdr:rowOff>23315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33D89B1-0A8D-BFF1-F719-16224F0E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1" y="44405551"/>
          <a:ext cx="3657600" cy="785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7</xdr:col>
      <xdr:colOff>0</xdr:colOff>
      <xdr:row>306</xdr:row>
      <xdr:rowOff>46760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3EA029-5826-69B8-6986-2FFF37D26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45319950"/>
          <a:ext cx="3657600" cy="1570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316</xdr:row>
      <xdr:rowOff>150394</xdr:rowOff>
    </xdr:from>
    <xdr:to>
      <xdr:col>7</xdr:col>
      <xdr:colOff>0</xdr:colOff>
      <xdr:row>336</xdr:row>
      <xdr:rowOff>98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A8AF4E2-2098-7F64-E600-60EF9DA3E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6136" y="49316712"/>
          <a:ext cx="3636819" cy="29635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7</xdr:col>
      <xdr:colOff>0</xdr:colOff>
      <xdr:row>370</xdr:row>
      <xdr:rowOff>54671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BDE0FB7-DA63-B8C0-4D51-566A857F8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6136" y="55245000"/>
          <a:ext cx="3636819" cy="23926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7</xdr:col>
      <xdr:colOff>0</xdr:colOff>
      <xdr:row>414</xdr:row>
      <xdr:rowOff>26336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49D666-601B-C690-75D5-14FAF1AA1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5118" y="62506412"/>
          <a:ext cx="3630706" cy="253645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417</xdr:row>
      <xdr:rowOff>0</xdr:rowOff>
    </xdr:from>
    <xdr:to>
      <xdr:col>7</xdr:col>
      <xdr:colOff>31172</xdr:colOff>
      <xdr:row>444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EB412A2-732B-B999-F936-156F43EB7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6137" y="65064409"/>
          <a:ext cx="3667990" cy="4208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0</xdr:colOff>
      <xdr:row>17</xdr:row>
      <xdr:rowOff>29199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59534-DC7A-C04E-842E-D5B76D18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340179"/>
          <a:ext cx="3673929" cy="2274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7</xdr:col>
      <xdr:colOff>0</xdr:colOff>
      <xdr:row>24</xdr:row>
      <xdr:rowOff>100255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E91DD-6A78-E741-592D-498BD5EF3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3" y="2724978"/>
          <a:ext cx="3677478" cy="9947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48</xdr:row>
      <xdr:rowOff>0</xdr:rowOff>
    </xdr:from>
    <xdr:to>
      <xdr:col>7</xdr:col>
      <xdr:colOff>1</xdr:colOff>
      <xdr:row>59</xdr:row>
      <xdr:rowOff>21381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0DE850-F505-8169-04C0-A6B940003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7353300"/>
          <a:ext cx="3657600" cy="16977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225</xdr:row>
      <xdr:rowOff>0</xdr:rowOff>
    </xdr:from>
    <xdr:to>
      <xdr:col>11</xdr:col>
      <xdr:colOff>343799</xdr:colOff>
      <xdr:row>232</xdr:row>
      <xdr:rowOff>38254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0622E2-AF35-DED3-414D-76F70F50A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7700"/>
          <a:ext cx="6439799" cy="11050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11</xdr:col>
      <xdr:colOff>172325</xdr:colOff>
      <xdr:row>295</xdr:row>
      <xdr:rowOff>105449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F8882E-45E1-76E0-6FA0-417E203C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591300"/>
          <a:ext cx="6268325" cy="48298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REP%20Sol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fo"/>
      <sheetName val="OCI"/>
      <sheetName val="Consol"/>
      <sheetName val="Profit and Loss"/>
      <sheetName val="ETB"/>
      <sheetName val="SoFP"/>
      <sheetName val="Consol New"/>
      <sheetName val="FV adjustments (consol)"/>
      <sheetName val="Associates &amp; JVs"/>
      <sheetName val="Accounting for investments"/>
      <sheetName val="Fair value model"/>
      <sheetName val="FV Measurement"/>
      <sheetName val="PPE"/>
      <sheetName val="Investment Property"/>
      <sheetName val="Held for sale"/>
      <sheetName val="Discontinued Operations"/>
      <sheetName val="Intangibles"/>
      <sheetName val="Tax"/>
      <sheetName val="Deferred tax"/>
      <sheetName val="Directors remuneration"/>
      <sheetName val="Contracts"/>
      <sheetName val="Provisions"/>
      <sheetName val="FX consolidation"/>
      <sheetName val="Impairment"/>
      <sheetName val="Financial Assets"/>
      <sheetName val="Financial Liabilities"/>
      <sheetName val="ECL"/>
      <sheetName val="Consolidation Exemptions"/>
      <sheetName val="Control over an entity"/>
      <sheetName val="Investments"/>
      <sheetName val="Inventory"/>
      <sheetName val="Leases"/>
      <sheetName val="Inputs"/>
      <sheetName val="Standards"/>
      <sheetName val="AK -&gt;"/>
      <sheetName val="Adjustments for cash flow"/>
      <sheetName val="SCF (Direct)"/>
      <sheetName val="SCF (Indirect)"/>
      <sheetName val="Distributable profits"/>
      <sheetName val="Staff costs"/>
      <sheetName val="Share based payments"/>
      <sheetName val="Repurchase of shares"/>
      <sheetName val="Issue of shares"/>
      <sheetName val="Statement of changes in Equity"/>
      <sheetName val="Grant Income"/>
      <sheetName val="Varia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5">
          <cell r="C15">
            <v>1148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sheetPr codeName="Sheet1"/>
  <dimension ref="B2"/>
  <sheetViews>
    <sheetView workbookViewId="0">
      <selection activeCell="E20" sqref="E20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24'!A1" display="Module 24" xr:uid="{B8F4BD7C-F442-4E8D-AF34-7DBB73B624C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sheetPr codeName="Sheet2"/>
  <dimension ref="A1:K470"/>
  <sheetViews>
    <sheetView zoomScale="145" zoomScaleNormal="145" workbookViewId="0"/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4" spans="1:2" x14ac:dyDescent="0.2">
      <c r="B4" s="1" t="s">
        <v>3</v>
      </c>
    </row>
    <row r="6" spans="1:2" x14ac:dyDescent="0.2">
      <c r="B6" s="1" t="s">
        <v>4</v>
      </c>
    </row>
    <row r="8" spans="1:2" x14ac:dyDescent="0.2">
      <c r="B8" s="1" t="s">
        <v>5</v>
      </c>
    </row>
    <row r="9" spans="1:2" x14ac:dyDescent="0.2">
      <c r="B9" s="1" t="s">
        <v>6</v>
      </c>
    </row>
    <row r="10" spans="1:2" x14ac:dyDescent="0.2">
      <c r="B10" s="1" t="s">
        <v>7</v>
      </c>
    </row>
    <row r="11" spans="1:2" x14ac:dyDescent="0.2">
      <c r="B11" s="1" t="s">
        <v>8</v>
      </c>
    </row>
    <row r="13" spans="1:2" x14ac:dyDescent="0.2">
      <c r="B13" s="1" t="s">
        <v>9</v>
      </c>
    </row>
    <row r="14" spans="1:2" x14ac:dyDescent="0.2">
      <c r="B14" s="1" t="s">
        <v>10</v>
      </c>
    </row>
    <row r="15" spans="1:2" x14ac:dyDescent="0.2">
      <c r="B15" s="1" t="s">
        <v>11</v>
      </c>
    </row>
    <row r="21" spans="2:2" x14ac:dyDescent="0.2">
      <c r="B21" s="1" t="s">
        <v>12</v>
      </c>
    </row>
    <row r="22" spans="2:2" x14ac:dyDescent="0.2">
      <c r="B22" s="1" t="s">
        <v>13</v>
      </c>
    </row>
    <row r="23" spans="2:2" x14ac:dyDescent="0.2">
      <c r="B23" s="1" t="s">
        <v>14</v>
      </c>
    </row>
    <row r="30" spans="2:2" x14ac:dyDescent="0.2">
      <c r="B30" s="1" t="s">
        <v>15</v>
      </c>
    </row>
    <row r="47" spans="2:2" x14ac:dyDescent="0.2">
      <c r="B47" s="1" t="s">
        <v>16</v>
      </c>
    </row>
    <row r="49" spans="2:2" x14ac:dyDescent="0.2">
      <c r="B49" s="1" t="s">
        <v>17</v>
      </c>
    </row>
    <row r="50" spans="2:2" x14ac:dyDescent="0.2">
      <c r="B50" s="1" t="s">
        <v>18</v>
      </c>
    </row>
    <row r="51" spans="2:2" x14ac:dyDescent="0.2">
      <c r="B51" s="1" t="s">
        <v>19</v>
      </c>
    </row>
    <row r="84" spans="2:2" x14ac:dyDescent="0.2">
      <c r="B84" s="1" t="s">
        <v>24</v>
      </c>
    </row>
    <row r="85" spans="2:2" x14ac:dyDescent="0.2">
      <c r="B85" s="1" t="s">
        <v>20</v>
      </c>
    </row>
    <row r="86" spans="2:2" x14ac:dyDescent="0.2">
      <c r="B86" s="1" t="s">
        <v>22</v>
      </c>
    </row>
    <row r="87" spans="2:2" x14ac:dyDescent="0.2">
      <c r="B87" s="1" t="s">
        <v>23</v>
      </c>
    </row>
    <row r="89" spans="2:2" x14ac:dyDescent="0.2">
      <c r="B89" s="1" t="s">
        <v>25</v>
      </c>
    </row>
    <row r="90" spans="2:2" x14ac:dyDescent="0.2">
      <c r="B90" s="1" t="s">
        <v>21</v>
      </c>
    </row>
    <row r="92" spans="2:2" x14ac:dyDescent="0.2">
      <c r="B92" s="1" t="s">
        <v>26</v>
      </c>
    </row>
    <row r="99" spans="2:2" x14ac:dyDescent="0.2">
      <c r="B99" s="1" t="s">
        <v>27</v>
      </c>
    </row>
    <row r="102" spans="2:2" x14ac:dyDescent="0.2">
      <c r="B102" s="1" t="s">
        <v>28</v>
      </c>
    </row>
    <row r="104" spans="2:2" x14ac:dyDescent="0.2">
      <c r="B104" s="1" t="s">
        <v>29</v>
      </c>
    </row>
    <row r="105" spans="2:2" x14ac:dyDescent="0.2">
      <c r="B105" s="1" t="s">
        <v>30</v>
      </c>
    </row>
    <row r="106" spans="2:2" x14ac:dyDescent="0.2">
      <c r="B106" s="1" t="s">
        <v>31</v>
      </c>
    </row>
    <row r="108" spans="2:2" x14ac:dyDescent="0.2">
      <c r="B108" s="1" t="s">
        <v>32</v>
      </c>
    </row>
    <row r="110" spans="2:2" x14ac:dyDescent="0.2">
      <c r="B110" s="1" t="s">
        <v>33</v>
      </c>
    </row>
    <row r="111" spans="2:2" x14ac:dyDescent="0.2">
      <c r="B111" s="1" t="s">
        <v>34</v>
      </c>
    </row>
    <row r="126" spans="2:2" x14ac:dyDescent="0.2">
      <c r="B126" s="1" t="s">
        <v>35</v>
      </c>
    </row>
    <row r="129" spans="2:4" x14ac:dyDescent="0.2">
      <c r="B129" s="5" t="s">
        <v>36</v>
      </c>
    </row>
    <row r="130" spans="2:4" x14ac:dyDescent="0.2">
      <c r="B130" s="1" t="s">
        <v>37</v>
      </c>
      <c r="D130" s="6">
        <v>235</v>
      </c>
    </row>
    <row r="131" spans="2:4" x14ac:dyDescent="0.2">
      <c r="B131" s="1" t="s">
        <v>40</v>
      </c>
      <c r="D131" s="6">
        <v>-14</v>
      </c>
    </row>
    <row r="132" spans="2:4" x14ac:dyDescent="0.2">
      <c r="B132" s="1" t="s">
        <v>41</v>
      </c>
      <c r="D132" s="6">
        <v>-15</v>
      </c>
    </row>
    <row r="133" spans="2:4" x14ac:dyDescent="0.2">
      <c r="B133" s="1" t="s">
        <v>38</v>
      </c>
      <c r="D133" s="6">
        <v>1200</v>
      </c>
    </row>
    <row r="134" spans="2:4" x14ac:dyDescent="0.2">
      <c r="D134" s="6">
        <f>SUM(D130:D133)</f>
        <v>1406</v>
      </c>
    </row>
    <row r="135" spans="2:4" x14ac:dyDescent="0.2">
      <c r="B135" s="1" t="s">
        <v>39</v>
      </c>
      <c r="D135" s="6">
        <v>259</v>
      </c>
    </row>
    <row r="136" spans="2:4" ht="12.75" thickBot="1" x14ac:dyDescent="0.25">
      <c r="B136" s="1" t="s">
        <v>42</v>
      </c>
      <c r="D136" s="7">
        <f>+D134-D135</f>
        <v>1147</v>
      </c>
    </row>
    <row r="137" spans="2:4" ht="12.75" thickTop="1" x14ac:dyDescent="0.2"/>
    <row r="141" spans="2:4" x14ac:dyDescent="0.2">
      <c r="B141" s="1" t="s">
        <v>43</v>
      </c>
    </row>
    <row r="142" spans="2:4" x14ac:dyDescent="0.2">
      <c r="B142" s="1" t="s">
        <v>44</v>
      </c>
      <c r="D142" s="1" t="s">
        <v>46</v>
      </c>
    </row>
    <row r="143" spans="2:4" x14ac:dyDescent="0.2">
      <c r="B143" s="1" t="s">
        <v>45</v>
      </c>
      <c r="D143" s="1" t="s">
        <v>46</v>
      </c>
    </row>
    <row r="144" spans="2:4" x14ac:dyDescent="0.2">
      <c r="B144" s="1" t="s">
        <v>47</v>
      </c>
      <c r="D144" s="1" t="s">
        <v>48</v>
      </c>
    </row>
    <row r="145" spans="2:5" ht="12.75" thickBot="1" x14ac:dyDescent="0.25">
      <c r="B145" s="1" t="s">
        <v>43</v>
      </c>
      <c r="D145" s="3" t="s">
        <v>46</v>
      </c>
    </row>
    <row r="146" spans="2:5" ht="12.75" thickTop="1" x14ac:dyDescent="0.2"/>
    <row r="147" spans="2:5" x14ac:dyDescent="0.2">
      <c r="B147" s="1" t="s">
        <v>49</v>
      </c>
      <c r="D147" s="1" t="s">
        <v>46</v>
      </c>
    </row>
    <row r="148" spans="2:5" x14ac:dyDescent="0.2">
      <c r="B148" s="1" t="s">
        <v>50</v>
      </c>
      <c r="D148" s="1" t="s">
        <v>48</v>
      </c>
    </row>
    <row r="149" spans="2:5" x14ac:dyDescent="0.2">
      <c r="B149" s="1" t="s">
        <v>51</v>
      </c>
      <c r="D149" s="1" t="s">
        <v>46</v>
      </c>
    </row>
    <row r="150" spans="2:5" ht="12.75" thickBot="1" x14ac:dyDescent="0.25">
      <c r="B150" s="1" t="s">
        <v>52</v>
      </c>
      <c r="D150" s="3" t="s">
        <v>46</v>
      </c>
    </row>
    <row r="151" spans="2:5" ht="12.75" thickTop="1" x14ac:dyDescent="0.2"/>
    <row r="154" spans="2:5" x14ac:dyDescent="0.2">
      <c r="B154" s="1" t="s">
        <v>61</v>
      </c>
    </row>
    <row r="155" spans="2:5" x14ac:dyDescent="0.2">
      <c r="B155" s="1">
        <v>1</v>
      </c>
    </row>
    <row r="156" spans="2:5" x14ac:dyDescent="0.2">
      <c r="B156" s="1" t="s">
        <v>53</v>
      </c>
      <c r="D156" s="6">
        <f>138+21-4+60</f>
        <v>215</v>
      </c>
    </row>
    <row r="157" spans="2:5" x14ac:dyDescent="0.2">
      <c r="B157" s="1" t="s">
        <v>54</v>
      </c>
      <c r="D157" s="6">
        <f>840-140+160</f>
        <v>860</v>
      </c>
    </row>
    <row r="158" spans="2:5" x14ac:dyDescent="0.2">
      <c r="B158" s="1" t="s">
        <v>55</v>
      </c>
      <c r="D158" s="6">
        <v>40</v>
      </c>
    </row>
    <row r="159" spans="2:5" x14ac:dyDescent="0.2">
      <c r="B159" s="1" t="s">
        <v>56</v>
      </c>
      <c r="D159" s="6">
        <f>80-36-14-15+6</f>
        <v>21</v>
      </c>
      <c r="E159" s="1" t="s">
        <v>62</v>
      </c>
    </row>
    <row r="160" spans="2:5" x14ac:dyDescent="0.2">
      <c r="D160" s="6">
        <f>SUM(D156:D159)</f>
        <v>1136</v>
      </c>
    </row>
    <row r="161" spans="2:4" x14ac:dyDescent="0.2">
      <c r="B161" s="1" t="s">
        <v>57</v>
      </c>
      <c r="D161" s="6">
        <f>168+14-7+70</f>
        <v>245</v>
      </c>
    </row>
    <row r="162" spans="2:4" ht="12.75" thickBot="1" x14ac:dyDescent="0.25">
      <c r="B162" s="1" t="s">
        <v>58</v>
      </c>
      <c r="D162" s="7">
        <f>+D160-D161</f>
        <v>891</v>
      </c>
    </row>
    <row r="163" spans="2:4" ht="12.75" thickTop="1" x14ac:dyDescent="0.2">
      <c r="D163" s="6"/>
    </row>
    <row r="164" spans="2:4" x14ac:dyDescent="0.2">
      <c r="D164" s="6"/>
    </row>
    <row r="165" spans="2:4" x14ac:dyDescent="0.2">
      <c r="B165" s="4" t="s">
        <v>59</v>
      </c>
      <c r="D165" s="6"/>
    </row>
    <row r="166" spans="2:4" x14ac:dyDescent="0.2">
      <c r="B166" s="1" t="s">
        <v>42</v>
      </c>
      <c r="D166" s="6">
        <f>+D136</f>
        <v>1147</v>
      </c>
    </row>
    <row r="167" spans="2:4" x14ac:dyDescent="0.2">
      <c r="B167" s="1" t="s">
        <v>63</v>
      </c>
      <c r="D167" s="6">
        <f>-+D162</f>
        <v>-891</v>
      </c>
    </row>
    <row r="168" spans="2:4" x14ac:dyDescent="0.2">
      <c r="B168" s="1" t="s">
        <v>17</v>
      </c>
      <c r="D168" s="6">
        <f>SUM(D166:D167)</f>
        <v>256</v>
      </c>
    </row>
    <row r="171" spans="2:4" x14ac:dyDescent="0.2">
      <c r="B171" s="5" t="s">
        <v>64</v>
      </c>
    </row>
    <row r="173" spans="2:4" x14ac:dyDescent="0.2">
      <c r="B173" s="1" t="s">
        <v>65</v>
      </c>
    </row>
    <row r="200" spans="2:4" x14ac:dyDescent="0.2">
      <c r="B200" s="5" t="s">
        <v>68</v>
      </c>
    </row>
    <row r="203" spans="2:4" x14ac:dyDescent="0.2">
      <c r="B203" s="1" t="s">
        <v>66</v>
      </c>
      <c r="D203" s="8">
        <v>225</v>
      </c>
    </row>
    <row r="204" spans="2:4" x14ac:dyDescent="0.2">
      <c r="B204" s="1" t="s">
        <v>69</v>
      </c>
      <c r="D204" s="8"/>
    </row>
    <row r="205" spans="2:4" x14ac:dyDescent="0.2">
      <c r="B205" s="1" t="s">
        <v>70</v>
      </c>
      <c r="D205" s="8">
        <v>15</v>
      </c>
    </row>
    <row r="206" spans="2:4" x14ac:dyDescent="0.2">
      <c r="B206" s="1" t="s">
        <v>71</v>
      </c>
      <c r="D206" s="8">
        <v>36</v>
      </c>
    </row>
    <row r="207" spans="2:4" x14ac:dyDescent="0.2">
      <c r="B207" s="1" t="s">
        <v>72</v>
      </c>
      <c r="D207" s="8">
        <v>-6</v>
      </c>
    </row>
    <row r="208" spans="2:4" x14ac:dyDescent="0.2">
      <c r="B208" s="1" t="s">
        <v>74</v>
      </c>
      <c r="D208" s="8">
        <f>-(160-140)</f>
        <v>-20</v>
      </c>
    </row>
    <row r="209" spans="2:5" x14ac:dyDescent="0.2">
      <c r="B209" s="1" t="s">
        <v>76</v>
      </c>
      <c r="D209" s="8">
        <f>-(259-235)</f>
        <v>-24</v>
      </c>
      <c r="E209" s="1" t="s">
        <v>73</v>
      </c>
    </row>
    <row r="210" spans="2:5" x14ac:dyDescent="0.2">
      <c r="B210" s="1" t="s">
        <v>75</v>
      </c>
      <c r="D210" s="8">
        <f>-(7-4)</f>
        <v>-3</v>
      </c>
    </row>
    <row r="211" spans="2:5" x14ac:dyDescent="0.2">
      <c r="B211" s="1" t="s">
        <v>77</v>
      </c>
      <c r="D211" s="8">
        <f>168-138</f>
        <v>30</v>
      </c>
    </row>
    <row r="212" spans="2:5" x14ac:dyDescent="0.2">
      <c r="B212" s="1" t="s">
        <v>78</v>
      </c>
      <c r="D212" s="8">
        <f>(14-21)</f>
        <v>-7</v>
      </c>
    </row>
    <row r="213" spans="2:5" x14ac:dyDescent="0.2">
      <c r="B213" s="1" t="s">
        <v>79</v>
      </c>
      <c r="D213" s="8">
        <f>70-60</f>
        <v>10</v>
      </c>
    </row>
    <row r="214" spans="2:5" ht="12.75" thickBot="1" x14ac:dyDescent="0.25">
      <c r="B214" s="4" t="s">
        <v>80</v>
      </c>
      <c r="D214" s="9">
        <f>SUM(D203:D213)</f>
        <v>256</v>
      </c>
    </row>
    <row r="215" spans="2:5" ht="12.75" thickTop="1" x14ac:dyDescent="0.2"/>
    <row r="217" spans="2:5" x14ac:dyDescent="0.2">
      <c r="B217" s="1" t="s">
        <v>81</v>
      </c>
    </row>
    <row r="218" spans="2:5" x14ac:dyDescent="0.2">
      <c r="B218" s="1" t="s">
        <v>82</v>
      </c>
    </row>
    <row r="221" spans="2:5" x14ac:dyDescent="0.2">
      <c r="B221" s="5" t="s">
        <v>117</v>
      </c>
    </row>
    <row r="223" spans="2:5" x14ac:dyDescent="0.2">
      <c r="B223" s="1" t="s">
        <v>118</v>
      </c>
    </row>
    <row r="224" spans="2:5" x14ac:dyDescent="0.2">
      <c r="B224" s="1" t="s">
        <v>119</v>
      </c>
    </row>
    <row r="225" spans="2:5" x14ac:dyDescent="0.2">
      <c r="B225" s="1" t="s">
        <v>120</v>
      </c>
    </row>
    <row r="228" spans="2:5" x14ac:dyDescent="0.2">
      <c r="B228" s="1" t="s">
        <v>121</v>
      </c>
      <c r="D228" s="19" t="s">
        <v>46</v>
      </c>
      <c r="E228" s="1" t="s">
        <v>127</v>
      </c>
    </row>
    <row r="229" spans="2:5" x14ac:dyDescent="0.2">
      <c r="B229" s="1" t="s">
        <v>122</v>
      </c>
      <c r="D229" s="19" t="s">
        <v>46</v>
      </c>
      <c r="E229" s="1" t="s">
        <v>128</v>
      </c>
    </row>
    <row r="230" spans="2:5" x14ac:dyDescent="0.2">
      <c r="B230" s="1" t="s">
        <v>123</v>
      </c>
      <c r="D230" s="19" t="s">
        <v>48</v>
      </c>
      <c r="E230" s="1" t="s">
        <v>127</v>
      </c>
    </row>
    <row r="231" spans="2:5" ht="12.75" thickBot="1" x14ac:dyDescent="0.25">
      <c r="B231" s="1" t="s">
        <v>117</v>
      </c>
      <c r="D231" s="20" t="s">
        <v>46</v>
      </c>
    </row>
    <row r="232" spans="2:5" ht="12.75" thickTop="1" x14ac:dyDescent="0.2"/>
    <row r="234" spans="2:5" x14ac:dyDescent="0.2">
      <c r="B234" s="1" t="s">
        <v>124</v>
      </c>
    </row>
    <row r="235" spans="2:5" x14ac:dyDescent="0.2">
      <c r="B235" s="1" t="s">
        <v>125</v>
      </c>
    </row>
    <row r="236" spans="2:5" x14ac:dyDescent="0.2">
      <c r="B236" s="1" t="s">
        <v>126</v>
      </c>
    </row>
    <row r="268" spans="2:4" x14ac:dyDescent="0.2">
      <c r="C268" s="1" t="s">
        <v>113</v>
      </c>
      <c r="D268" s="1" t="s">
        <v>129</v>
      </c>
    </row>
    <row r="269" spans="2:4" x14ac:dyDescent="0.2">
      <c r="B269" s="1" t="s">
        <v>131</v>
      </c>
      <c r="C269" s="1">
        <v>600</v>
      </c>
      <c r="D269" s="1">
        <v>400</v>
      </c>
    </row>
    <row r="271" spans="2:4" x14ac:dyDescent="0.2">
      <c r="B271" s="1" t="s">
        <v>130</v>
      </c>
      <c r="C271" s="1">
        <v>3200</v>
      </c>
      <c r="D271" s="1">
        <v>2900</v>
      </c>
    </row>
    <row r="273" spans="2:5" x14ac:dyDescent="0.2">
      <c r="C273" s="1" t="s">
        <v>113</v>
      </c>
    </row>
    <row r="274" spans="2:5" x14ac:dyDescent="0.2">
      <c r="B274" s="1" t="s">
        <v>86</v>
      </c>
      <c r="C274" s="1">
        <v>-45000</v>
      </c>
    </row>
    <row r="275" spans="2:5" x14ac:dyDescent="0.2">
      <c r="B275" s="1" t="s">
        <v>132</v>
      </c>
      <c r="C275" s="1">
        <v>3000</v>
      </c>
    </row>
    <row r="277" spans="2:5" x14ac:dyDescent="0.2">
      <c r="D277" s="1" t="s">
        <v>134</v>
      </c>
      <c r="E277" s="1" t="s">
        <v>135</v>
      </c>
    </row>
    <row r="278" spans="2:5" x14ac:dyDescent="0.2">
      <c r="B278" s="1" t="s">
        <v>133</v>
      </c>
      <c r="D278" s="6">
        <f>+D271</f>
        <v>2900</v>
      </c>
      <c r="E278" s="6">
        <f>+D269</f>
        <v>400</v>
      </c>
    </row>
    <row r="279" spans="2:5" x14ac:dyDescent="0.2">
      <c r="B279" s="1" t="s">
        <v>136</v>
      </c>
      <c r="D279" s="6">
        <f>-C274</f>
        <v>45000</v>
      </c>
      <c r="E279" s="6">
        <f>+C275</f>
        <v>3000</v>
      </c>
    </row>
    <row r="280" spans="2:5" x14ac:dyDescent="0.2">
      <c r="B280" s="1" t="s">
        <v>137</v>
      </c>
      <c r="D280" s="6">
        <f>-C271</f>
        <v>-3200</v>
      </c>
      <c r="E280" s="6">
        <f>-C269</f>
        <v>-600</v>
      </c>
    </row>
    <row r="281" spans="2:5" ht="12.75" thickBot="1" x14ac:dyDescent="0.25">
      <c r="B281" s="1" t="s">
        <v>138</v>
      </c>
      <c r="D281" s="7">
        <f>SUM(D278:D280)</f>
        <v>44700</v>
      </c>
      <c r="E281" s="7">
        <f>SUM(E278:E280)</f>
        <v>2800</v>
      </c>
    </row>
    <row r="282" spans="2:5" ht="12.75" thickTop="1" x14ac:dyDescent="0.2"/>
    <row r="284" spans="2:5" x14ac:dyDescent="0.2">
      <c r="B284" s="1" t="s">
        <v>139</v>
      </c>
    </row>
    <row r="286" spans="2:5" x14ac:dyDescent="0.2">
      <c r="B286" s="1" t="s">
        <v>140</v>
      </c>
    </row>
    <row r="288" spans="2:5" x14ac:dyDescent="0.2">
      <c r="B288" s="1" t="s">
        <v>141</v>
      </c>
    </row>
    <row r="289" spans="2:10" x14ac:dyDescent="0.2">
      <c r="B289" s="1" t="s">
        <v>142</v>
      </c>
    </row>
    <row r="304" spans="2:10" x14ac:dyDescent="0.2">
      <c r="J304" s="19"/>
    </row>
    <row r="309" spans="2:8" x14ac:dyDescent="0.2">
      <c r="B309" s="1" t="s">
        <v>143</v>
      </c>
      <c r="D309" s="6">
        <v>1500</v>
      </c>
    </row>
    <row r="310" spans="2:8" x14ac:dyDescent="0.2">
      <c r="B310" s="1" t="s">
        <v>144</v>
      </c>
      <c r="D310" s="6">
        <v>250</v>
      </c>
    </row>
    <row r="311" spans="2:8" x14ac:dyDescent="0.2">
      <c r="B311" s="1" t="s">
        <v>145</v>
      </c>
      <c r="D311" s="17">
        <f>-400/2*0.5</f>
        <v>-100</v>
      </c>
    </row>
    <row r="312" spans="2:8" x14ac:dyDescent="0.2">
      <c r="D312" s="6">
        <f>SUM(D309:D311)</f>
        <v>1650</v>
      </c>
    </row>
    <row r="313" spans="2:8" x14ac:dyDescent="0.2">
      <c r="B313" s="1" t="s">
        <v>146</v>
      </c>
      <c r="D313" s="6">
        <v>1100</v>
      </c>
    </row>
    <row r="314" spans="2:8" ht="12.75" thickBot="1" x14ac:dyDescent="0.25">
      <c r="B314" s="1" t="s">
        <v>147</v>
      </c>
      <c r="D314" s="7">
        <f>+D312-D313</f>
        <v>550</v>
      </c>
    </row>
    <row r="315" spans="2:8" ht="12.75" thickTop="1" x14ac:dyDescent="0.2">
      <c r="D315" s="11"/>
    </row>
    <row r="316" spans="2:8" x14ac:dyDescent="0.2">
      <c r="B316" s="5" t="s">
        <v>174</v>
      </c>
    </row>
    <row r="319" spans="2:8" x14ac:dyDescent="0.2">
      <c r="H319" s="19"/>
    </row>
    <row r="339" spans="2:6" x14ac:dyDescent="0.2">
      <c r="B339" s="5" t="s">
        <v>149</v>
      </c>
    </row>
    <row r="344" spans="2:6" x14ac:dyDescent="0.2">
      <c r="B344" s="1" t="s">
        <v>150</v>
      </c>
    </row>
    <row r="345" spans="2:6" x14ac:dyDescent="0.2">
      <c r="B345" s="1" t="s">
        <v>151</v>
      </c>
      <c r="E345" s="1">
        <v>560</v>
      </c>
    </row>
    <row r="346" spans="2:6" x14ac:dyDescent="0.2">
      <c r="B346" s="1" t="s">
        <v>152</v>
      </c>
      <c r="E346" s="1">
        <v>-45</v>
      </c>
    </row>
    <row r="347" spans="2:6" x14ac:dyDescent="0.2">
      <c r="B347" s="1" t="s">
        <v>153</v>
      </c>
      <c r="E347" s="1">
        <v>-78</v>
      </c>
    </row>
    <row r="348" spans="2:6" x14ac:dyDescent="0.2">
      <c r="B348" s="1" t="s">
        <v>154</v>
      </c>
      <c r="E348" s="1">
        <v>100</v>
      </c>
    </row>
    <row r="349" spans="2:6" x14ac:dyDescent="0.2">
      <c r="B349" s="1" t="s">
        <v>155</v>
      </c>
      <c r="E349" s="10">
        <v>75</v>
      </c>
    </row>
    <row r="350" spans="2:6" x14ac:dyDescent="0.2">
      <c r="E350" s="1">
        <f>SUM(E345:E349)</f>
        <v>612</v>
      </c>
    </row>
    <row r="351" spans="2:6" x14ac:dyDescent="0.2">
      <c r="B351" s="1" t="s">
        <v>156</v>
      </c>
      <c r="E351" s="1">
        <v>644</v>
      </c>
    </row>
    <row r="352" spans="2:6" ht="12.75" thickBot="1" x14ac:dyDescent="0.25">
      <c r="B352" s="1" t="s">
        <v>157</v>
      </c>
      <c r="E352" s="3">
        <f>+E351-E350</f>
        <v>32</v>
      </c>
      <c r="F352" s="18" t="s">
        <v>158</v>
      </c>
    </row>
    <row r="353" spans="2:2" ht="12.75" thickTop="1" x14ac:dyDescent="0.2"/>
    <row r="355" spans="2:2" x14ac:dyDescent="0.2">
      <c r="B355" s="1" t="s">
        <v>159</v>
      </c>
    </row>
    <row r="373" spans="2:4" x14ac:dyDescent="0.2">
      <c r="B373" s="1" t="s">
        <v>151</v>
      </c>
      <c r="D373" s="6">
        <v>3800</v>
      </c>
    </row>
    <row r="374" spans="2:4" x14ac:dyDescent="0.2">
      <c r="B374" s="1" t="s">
        <v>160</v>
      </c>
      <c r="D374" s="6">
        <v>600</v>
      </c>
    </row>
    <row r="375" spans="2:4" x14ac:dyDescent="0.2">
      <c r="B375" s="1" t="s">
        <v>161</v>
      </c>
      <c r="D375" s="6">
        <v>-622</v>
      </c>
    </row>
    <row r="376" spans="2:4" x14ac:dyDescent="0.2">
      <c r="B376" s="1" t="s">
        <v>162</v>
      </c>
      <c r="D376" s="6">
        <f>-+C386</f>
        <v>-164</v>
      </c>
    </row>
    <row r="377" spans="2:4" x14ac:dyDescent="0.2">
      <c r="B377" s="1" t="s">
        <v>163</v>
      </c>
      <c r="D377" s="17">
        <v>70</v>
      </c>
    </row>
    <row r="378" spans="2:4" x14ac:dyDescent="0.2">
      <c r="D378" s="6">
        <f>SUM(D373:D377)</f>
        <v>3684</v>
      </c>
    </row>
    <row r="379" spans="2:4" x14ac:dyDescent="0.2">
      <c r="B379" s="1" t="s">
        <v>164</v>
      </c>
      <c r="D379" s="6">
        <v>4860</v>
      </c>
    </row>
    <row r="380" spans="2:4" ht="12.75" thickBot="1" x14ac:dyDescent="0.25">
      <c r="B380" s="1" t="s">
        <v>165</v>
      </c>
      <c r="D380" s="7">
        <f>+D379-D378</f>
        <v>1176</v>
      </c>
    </row>
    <row r="381" spans="2:4" ht="12.75" thickTop="1" x14ac:dyDescent="0.2"/>
    <row r="383" spans="2:4" x14ac:dyDescent="0.2">
      <c r="B383" s="1" t="s">
        <v>172</v>
      </c>
    </row>
    <row r="384" spans="2:4" x14ac:dyDescent="0.2">
      <c r="B384" s="1" t="s">
        <v>167</v>
      </c>
      <c r="C384" s="1">
        <v>410</v>
      </c>
    </row>
    <row r="385" spans="2:3" x14ac:dyDescent="0.2">
      <c r="B385" s="1" t="s">
        <v>171</v>
      </c>
      <c r="C385" s="1">
        <f>3*C384/5</f>
        <v>246</v>
      </c>
    </row>
    <row r="386" spans="2:3" x14ac:dyDescent="0.2">
      <c r="B386" s="1" t="s">
        <v>168</v>
      </c>
      <c r="C386" s="1">
        <f>+C384-C385</f>
        <v>164</v>
      </c>
    </row>
    <row r="387" spans="2:3" x14ac:dyDescent="0.2">
      <c r="B387" s="1" t="s">
        <v>169</v>
      </c>
      <c r="C387" s="1">
        <v>120</v>
      </c>
    </row>
    <row r="388" spans="2:3" x14ac:dyDescent="0.2">
      <c r="B388" s="1" t="s">
        <v>170</v>
      </c>
      <c r="C388" s="1">
        <f>+C387-C386</f>
        <v>-44</v>
      </c>
    </row>
    <row r="391" spans="2:3" x14ac:dyDescent="0.2">
      <c r="B391" s="5" t="s">
        <v>173</v>
      </c>
    </row>
    <row r="393" spans="2:3" x14ac:dyDescent="0.2">
      <c r="B393" s="1" t="s">
        <v>175</v>
      </c>
    </row>
    <row r="394" spans="2:3" x14ac:dyDescent="0.2">
      <c r="B394" s="1" t="s">
        <v>176</v>
      </c>
    </row>
    <row r="395" spans="2:3" x14ac:dyDescent="0.2">
      <c r="B395" s="1" t="s">
        <v>179</v>
      </c>
    </row>
    <row r="396" spans="2:3" x14ac:dyDescent="0.2">
      <c r="B396" s="1" t="s">
        <v>177</v>
      </c>
    </row>
    <row r="397" spans="2:3" x14ac:dyDescent="0.2">
      <c r="B397" s="1" t="s">
        <v>178</v>
      </c>
    </row>
    <row r="416" spans="2:2" x14ac:dyDescent="0.2">
      <c r="B416" s="1" t="s">
        <v>180</v>
      </c>
    </row>
    <row r="448" spans="2:2" x14ac:dyDescent="0.2">
      <c r="B448" s="1" t="s">
        <v>181</v>
      </c>
    </row>
    <row r="450" spans="2:11" x14ac:dyDescent="0.2">
      <c r="B450" s="1" t="s">
        <v>182</v>
      </c>
      <c r="E450" s="6">
        <f>3250+2800</f>
        <v>6050</v>
      </c>
      <c r="J450" s="1" t="s">
        <v>193</v>
      </c>
    </row>
    <row r="451" spans="2:11" x14ac:dyDescent="0.2">
      <c r="B451" s="1" t="s">
        <v>183</v>
      </c>
      <c r="E451" s="6">
        <f>5000*0.5</f>
        <v>2500</v>
      </c>
      <c r="F451" s="1" t="s">
        <v>187</v>
      </c>
      <c r="J451" s="1" t="s">
        <v>188</v>
      </c>
      <c r="K451" s="6">
        <v>6050</v>
      </c>
    </row>
    <row r="452" spans="2:11" x14ac:dyDescent="0.2">
      <c r="B452" s="1" t="s">
        <v>145</v>
      </c>
      <c r="E452" s="17">
        <f>1400*0.5</f>
        <v>700</v>
      </c>
      <c r="F452" s="1" t="s">
        <v>186</v>
      </c>
      <c r="J452" s="1" t="s">
        <v>189</v>
      </c>
      <c r="K452" s="6">
        <v>2500</v>
      </c>
    </row>
    <row r="453" spans="2:11" x14ac:dyDescent="0.2">
      <c r="E453" s="6">
        <f>SUM(E450:E452)</f>
        <v>9250</v>
      </c>
      <c r="J453" s="1" t="s">
        <v>190</v>
      </c>
      <c r="K453" s="6">
        <v>700</v>
      </c>
    </row>
    <row r="454" spans="2:11" x14ac:dyDescent="0.2">
      <c r="B454" s="1" t="s">
        <v>184</v>
      </c>
      <c r="E454" s="6">
        <f>4600+5650</f>
        <v>10250</v>
      </c>
      <c r="J454" s="1" t="s">
        <v>192</v>
      </c>
      <c r="K454" s="6">
        <v>1000</v>
      </c>
    </row>
    <row r="455" spans="2:11" ht="12.75" thickBot="1" x14ac:dyDescent="0.25">
      <c r="B455" s="1" t="s">
        <v>181</v>
      </c>
      <c r="E455" s="7">
        <f>+E454-E453</f>
        <v>1000</v>
      </c>
      <c r="F455" s="1" t="s">
        <v>185</v>
      </c>
      <c r="J455" s="1" t="s">
        <v>191</v>
      </c>
      <c r="K455" s="7">
        <f>SUM(K451:K454)</f>
        <v>10250</v>
      </c>
    </row>
    <row r="456" spans="2:11" ht="12.75" thickTop="1" x14ac:dyDescent="0.2"/>
    <row r="458" spans="2:11" x14ac:dyDescent="0.2">
      <c r="B458" s="1" t="s">
        <v>194</v>
      </c>
    </row>
    <row r="460" spans="2:11" x14ac:dyDescent="0.2">
      <c r="B460" s="1" t="s">
        <v>195</v>
      </c>
      <c r="E460" s="6">
        <v>5200</v>
      </c>
    </row>
    <row r="461" spans="2:11" x14ac:dyDescent="0.2">
      <c r="B461" s="1" t="s">
        <v>196</v>
      </c>
      <c r="E461" s="17">
        <v>6350</v>
      </c>
    </row>
    <row r="462" spans="2:11" x14ac:dyDescent="0.2">
      <c r="B462" s="1" t="s">
        <v>197</v>
      </c>
      <c r="E462" s="6">
        <f>+E461-E460</f>
        <v>1150</v>
      </c>
      <c r="F462" s="1" t="s">
        <v>185</v>
      </c>
    </row>
    <row r="464" spans="2:11" x14ac:dyDescent="0.2">
      <c r="B464" s="1" t="s">
        <v>198</v>
      </c>
    </row>
    <row r="466" spans="2:6" x14ac:dyDescent="0.2">
      <c r="B466" s="1" t="s">
        <v>199</v>
      </c>
    </row>
    <row r="467" spans="2:6" x14ac:dyDescent="0.2">
      <c r="B467" s="1" t="s">
        <v>181</v>
      </c>
      <c r="E467" s="6">
        <v>1000</v>
      </c>
      <c r="F467" s="6"/>
    </row>
    <row r="468" spans="2:6" x14ac:dyDescent="0.2">
      <c r="B468" s="1" t="s">
        <v>200</v>
      </c>
      <c r="E468" s="6">
        <v>1150</v>
      </c>
      <c r="F468" s="6"/>
    </row>
    <row r="469" spans="2:6" ht="12.75" thickBot="1" x14ac:dyDescent="0.25">
      <c r="B469" s="1" t="s">
        <v>201</v>
      </c>
      <c r="E469" s="7">
        <f>SUM(E467:E468)</f>
        <v>2150</v>
      </c>
    </row>
    <row r="470" spans="2:6" ht="12.75" thickTop="1" x14ac:dyDescent="0.2"/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F6E8-C378-4141-A43C-C0ED99CB7208}">
  <sheetPr codeName="Sheet3"/>
  <dimension ref="A1:G81"/>
  <sheetViews>
    <sheetView topLeftCell="A88" zoomScale="175" zoomScaleNormal="175" workbookViewId="0">
      <selection activeCell="G54" sqref="G54:G104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83</v>
      </c>
    </row>
    <row r="3" spans="1:5" x14ac:dyDescent="0.2">
      <c r="B3" s="1" t="s">
        <v>80</v>
      </c>
    </row>
    <row r="4" spans="1:5" x14ac:dyDescent="0.2">
      <c r="B4" s="1" t="s">
        <v>84</v>
      </c>
    </row>
    <row r="5" spans="1:5" x14ac:dyDescent="0.2">
      <c r="B5" s="1" t="s">
        <v>85</v>
      </c>
    </row>
    <row r="7" spans="1:5" x14ac:dyDescent="0.2">
      <c r="D7" s="6"/>
    </row>
    <row r="8" spans="1:5" x14ac:dyDescent="0.2">
      <c r="B8" s="1" t="s">
        <v>90</v>
      </c>
      <c r="D8" s="6">
        <v>4200</v>
      </c>
    </row>
    <row r="9" spans="1:5" x14ac:dyDescent="0.2">
      <c r="B9" s="1" t="s">
        <v>89</v>
      </c>
      <c r="D9" s="17">
        <v>-2870</v>
      </c>
    </row>
    <row r="10" spans="1:5" x14ac:dyDescent="0.2">
      <c r="B10" s="1" t="s">
        <v>88</v>
      </c>
      <c r="D10" s="6">
        <f>SUM(D8:D9)</f>
        <v>1330</v>
      </c>
    </row>
    <row r="11" spans="1:5" x14ac:dyDescent="0.2">
      <c r="B11" s="1" t="s">
        <v>87</v>
      </c>
      <c r="D11" s="6">
        <v>-280</v>
      </c>
    </row>
    <row r="12" spans="1:5" x14ac:dyDescent="0.2">
      <c r="B12" s="1" t="s">
        <v>56</v>
      </c>
      <c r="D12" s="6">
        <v>-473</v>
      </c>
    </row>
    <row r="13" spans="1:5" x14ac:dyDescent="0.2">
      <c r="B13" s="1" t="s">
        <v>86</v>
      </c>
      <c r="D13" s="6">
        <v>-23</v>
      </c>
    </row>
    <row r="14" spans="1:5" ht="12.75" thickBot="1" x14ac:dyDescent="0.25">
      <c r="B14" s="1" t="s">
        <v>66</v>
      </c>
      <c r="D14" s="7">
        <f>SUM(D10:D13)</f>
        <v>554</v>
      </c>
    </row>
    <row r="15" spans="1:5" ht="12.75" thickTop="1" x14ac:dyDescent="0.2"/>
    <row r="16" spans="1:5" x14ac:dyDescent="0.2">
      <c r="D16" s="1" t="s">
        <v>115</v>
      </c>
      <c r="E16" s="1" t="s">
        <v>114</v>
      </c>
    </row>
    <row r="17" spans="2:5" x14ac:dyDescent="0.2">
      <c r="B17" s="1" t="s">
        <v>95</v>
      </c>
      <c r="D17" s="6">
        <v>318</v>
      </c>
      <c r="E17" s="6">
        <v>292</v>
      </c>
    </row>
    <row r="18" spans="2:5" x14ac:dyDescent="0.2">
      <c r="B18" s="1" t="s">
        <v>94</v>
      </c>
      <c r="D18" s="6">
        <v>416</v>
      </c>
      <c r="E18" s="6">
        <v>389</v>
      </c>
    </row>
    <row r="19" spans="2:5" x14ac:dyDescent="0.2">
      <c r="B19" s="1" t="s">
        <v>93</v>
      </c>
      <c r="D19" s="6">
        <v>71</v>
      </c>
      <c r="E19" s="6">
        <v>25</v>
      </c>
    </row>
    <row r="20" spans="2:5" x14ac:dyDescent="0.2">
      <c r="D20" s="6"/>
      <c r="E20" s="6"/>
    </row>
    <row r="21" spans="2:5" x14ac:dyDescent="0.2">
      <c r="B21" s="1" t="s">
        <v>92</v>
      </c>
      <c r="D21" s="6">
        <v>418</v>
      </c>
      <c r="E21" s="6">
        <v>391</v>
      </c>
    </row>
    <row r="22" spans="2:5" x14ac:dyDescent="0.2">
      <c r="B22" s="1" t="s">
        <v>91</v>
      </c>
      <c r="D22" s="6">
        <v>96</v>
      </c>
      <c r="E22" s="6">
        <v>108</v>
      </c>
    </row>
    <row r="25" spans="2:5" x14ac:dyDescent="0.2">
      <c r="B25" s="1" t="s">
        <v>96</v>
      </c>
    </row>
    <row r="26" spans="2:5" x14ac:dyDescent="0.2">
      <c r="B26" s="1" t="s">
        <v>97</v>
      </c>
      <c r="D26" s="1">
        <v>17</v>
      </c>
    </row>
    <row r="27" spans="2:5" x14ac:dyDescent="0.2">
      <c r="B27" s="1" t="s">
        <v>98</v>
      </c>
      <c r="D27" s="1">
        <v>7</v>
      </c>
    </row>
    <row r="28" spans="2:5" x14ac:dyDescent="0.2">
      <c r="B28" s="1" t="s">
        <v>67</v>
      </c>
      <c r="D28" s="1">
        <v>12</v>
      </c>
    </row>
    <row r="30" spans="2:5" x14ac:dyDescent="0.2">
      <c r="B30" s="1" t="s">
        <v>99</v>
      </c>
    </row>
    <row r="31" spans="2:5" x14ac:dyDescent="0.2">
      <c r="B31" s="1" t="s">
        <v>100</v>
      </c>
      <c r="D31" s="1">
        <v>215</v>
      </c>
    </row>
    <row r="34" spans="2:5" x14ac:dyDescent="0.2">
      <c r="B34" s="5" t="s">
        <v>101</v>
      </c>
    </row>
    <row r="35" spans="2:5" x14ac:dyDescent="0.2">
      <c r="B35" s="1" t="s">
        <v>37</v>
      </c>
      <c r="D35" s="13">
        <f>+E18</f>
        <v>389</v>
      </c>
    </row>
    <row r="36" spans="2:5" x14ac:dyDescent="0.2">
      <c r="B36" s="1" t="s">
        <v>40</v>
      </c>
      <c r="D36" s="13">
        <f>-D26</f>
        <v>-17</v>
      </c>
    </row>
    <row r="37" spans="2:5" x14ac:dyDescent="0.2">
      <c r="B37" s="1" t="s">
        <v>38</v>
      </c>
      <c r="D37" s="13">
        <f>+D8</f>
        <v>4200</v>
      </c>
    </row>
    <row r="38" spans="2:5" x14ac:dyDescent="0.2">
      <c r="D38" s="13">
        <f>SUM(D35:D37)</f>
        <v>4572</v>
      </c>
    </row>
    <row r="39" spans="2:5" x14ac:dyDescent="0.2">
      <c r="B39" s="1" t="s">
        <v>39</v>
      </c>
      <c r="D39" s="13">
        <f>+D18</f>
        <v>416</v>
      </c>
    </row>
    <row r="40" spans="2:5" ht="12.75" thickBot="1" x14ac:dyDescent="0.25">
      <c r="B40" s="1" t="s">
        <v>42</v>
      </c>
      <c r="D40" s="14">
        <f>+D38-D39</f>
        <v>4156</v>
      </c>
    </row>
    <row r="41" spans="2:5" ht="12.75" thickTop="1" x14ac:dyDescent="0.2">
      <c r="D41" s="11"/>
    </row>
    <row r="42" spans="2:5" x14ac:dyDescent="0.2">
      <c r="B42" s="1" t="s">
        <v>61</v>
      </c>
    </row>
    <row r="43" spans="2:5" x14ac:dyDescent="0.2">
      <c r="B43" s="1">
        <v>1</v>
      </c>
    </row>
    <row r="44" spans="2:5" x14ac:dyDescent="0.2">
      <c r="B44" s="1" t="s">
        <v>53</v>
      </c>
      <c r="D44" s="13">
        <f>+E21</f>
        <v>391</v>
      </c>
    </row>
    <row r="45" spans="2:5" x14ac:dyDescent="0.2">
      <c r="B45" s="1" t="s">
        <v>54</v>
      </c>
      <c r="D45" s="12">
        <f>-+D9-D31+D17-E17</f>
        <v>2681</v>
      </c>
      <c r="E45" s="18" t="s">
        <v>108</v>
      </c>
    </row>
    <row r="46" spans="2:5" x14ac:dyDescent="0.2">
      <c r="B46" s="1" t="s">
        <v>55</v>
      </c>
      <c r="D46" s="13">
        <f>+-D11</f>
        <v>280</v>
      </c>
    </row>
    <row r="47" spans="2:5" x14ac:dyDescent="0.2">
      <c r="B47" s="1" t="s">
        <v>56</v>
      </c>
      <c r="D47" s="12">
        <f>-D12-D26+D27+D28</f>
        <v>475</v>
      </c>
      <c r="E47" s="18" t="s">
        <v>109</v>
      </c>
    </row>
    <row r="48" spans="2:5" x14ac:dyDescent="0.2">
      <c r="D48" s="6">
        <f>SUM(D44:D47)</f>
        <v>3827</v>
      </c>
    </row>
    <row r="49" spans="2:5" x14ac:dyDescent="0.2">
      <c r="B49" s="1" t="s">
        <v>57</v>
      </c>
      <c r="D49" s="13">
        <f>+D21</f>
        <v>418</v>
      </c>
    </row>
    <row r="50" spans="2:5" ht="12.75" thickBot="1" x14ac:dyDescent="0.25">
      <c r="B50" s="1" t="s">
        <v>58</v>
      </c>
      <c r="D50" s="7">
        <f>+D48-D49</f>
        <v>3409</v>
      </c>
      <c r="E50" s="18" t="s">
        <v>116</v>
      </c>
    </row>
    <row r="51" spans="2:5" ht="12.75" thickTop="1" x14ac:dyDescent="0.2">
      <c r="D51" s="6"/>
    </row>
    <row r="52" spans="2:5" x14ac:dyDescent="0.2">
      <c r="D52" s="6"/>
    </row>
    <row r="53" spans="2:5" x14ac:dyDescent="0.2">
      <c r="B53" s="4" t="s">
        <v>59</v>
      </c>
      <c r="D53" s="6"/>
    </row>
    <row r="54" spans="2:5" x14ac:dyDescent="0.2">
      <c r="B54" s="1" t="s">
        <v>42</v>
      </c>
      <c r="D54" s="6">
        <f>+D40</f>
        <v>4156</v>
      </c>
    </row>
    <row r="55" spans="2:5" x14ac:dyDescent="0.2">
      <c r="B55" s="1" t="s">
        <v>63</v>
      </c>
      <c r="D55" s="6">
        <f>-D50</f>
        <v>-3409</v>
      </c>
    </row>
    <row r="56" spans="2:5" ht="12.75" thickBot="1" x14ac:dyDescent="0.25">
      <c r="B56" s="1" t="s">
        <v>17</v>
      </c>
      <c r="D56" s="7">
        <f>SUM(D54:D55)</f>
        <v>747</v>
      </c>
    </row>
    <row r="57" spans="2:5" ht="12.75" thickTop="1" x14ac:dyDescent="0.2"/>
    <row r="59" spans="2:5" x14ac:dyDescent="0.2">
      <c r="B59" s="5" t="s">
        <v>102</v>
      </c>
    </row>
    <row r="60" spans="2:5" x14ac:dyDescent="0.2">
      <c r="B60" s="1" t="s">
        <v>103</v>
      </c>
      <c r="C60" s="1" t="s">
        <v>107</v>
      </c>
      <c r="D60" s="1" t="s">
        <v>94</v>
      </c>
      <c r="E60" s="1" t="s">
        <v>92</v>
      </c>
    </row>
    <row r="61" spans="2:5" x14ac:dyDescent="0.2">
      <c r="B61" s="1" t="s">
        <v>104</v>
      </c>
      <c r="C61" s="1">
        <f>+E17</f>
        <v>292</v>
      </c>
      <c r="D61" s="1">
        <f>+E18</f>
        <v>389</v>
      </c>
      <c r="E61" s="1">
        <f>+E21</f>
        <v>391</v>
      </c>
    </row>
    <row r="62" spans="2:5" x14ac:dyDescent="0.2">
      <c r="B62" s="1" t="s">
        <v>105</v>
      </c>
      <c r="C62" s="1">
        <f>+D17</f>
        <v>318</v>
      </c>
      <c r="D62" s="1">
        <f>+D18</f>
        <v>416</v>
      </c>
      <c r="E62" s="1">
        <f>+D21</f>
        <v>418</v>
      </c>
    </row>
    <row r="63" spans="2:5" ht="12.75" thickBot="1" x14ac:dyDescent="0.25">
      <c r="B63" s="1" t="s">
        <v>106</v>
      </c>
      <c r="C63" s="3">
        <f>+C62-C61</f>
        <v>26</v>
      </c>
      <c r="D63" s="3">
        <f>+D62-D61</f>
        <v>27</v>
      </c>
      <c r="E63" s="3">
        <f>+E62-E61</f>
        <v>27</v>
      </c>
    </row>
    <row r="64" spans="2:5" ht="12.75" thickTop="1" x14ac:dyDescent="0.2">
      <c r="C64" s="16"/>
      <c r="D64" s="16"/>
      <c r="E64" s="16"/>
    </row>
    <row r="65" spans="2:7" x14ac:dyDescent="0.2">
      <c r="B65" s="1" t="s">
        <v>66</v>
      </c>
      <c r="D65" s="15">
        <f>+D14</f>
        <v>554</v>
      </c>
    </row>
    <row r="66" spans="2:7" x14ac:dyDescent="0.2">
      <c r="B66" s="1" t="s">
        <v>69</v>
      </c>
      <c r="D66" s="8"/>
    </row>
    <row r="67" spans="2:7" x14ac:dyDescent="0.2">
      <c r="B67" s="1" t="s">
        <v>70</v>
      </c>
      <c r="D67" s="15">
        <f>-+D13</f>
        <v>23</v>
      </c>
    </row>
    <row r="68" spans="2:7" x14ac:dyDescent="0.2">
      <c r="B68" s="1" t="s">
        <v>72</v>
      </c>
      <c r="D68" s="15">
        <f>-D27</f>
        <v>-7</v>
      </c>
    </row>
    <row r="69" spans="2:7" x14ac:dyDescent="0.2">
      <c r="B69" s="1" t="s">
        <v>67</v>
      </c>
      <c r="D69" s="15">
        <f>-+D28</f>
        <v>-12</v>
      </c>
    </row>
    <row r="70" spans="2:7" x14ac:dyDescent="0.2">
      <c r="B70" s="1" t="s">
        <v>71</v>
      </c>
      <c r="D70" s="15">
        <f>+D31</f>
        <v>215</v>
      </c>
    </row>
    <row r="71" spans="2:7" x14ac:dyDescent="0.2">
      <c r="D71" s="15">
        <f>SUM(D65:D70)</f>
        <v>773</v>
      </c>
    </row>
    <row r="72" spans="2:7" x14ac:dyDescent="0.2">
      <c r="B72" s="1" t="s">
        <v>74</v>
      </c>
      <c r="D72" s="15">
        <f>-C63</f>
        <v>-26</v>
      </c>
    </row>
    <row r="73" spans="2:7" x14ac:dyDescent="0.2">
      <c r="B73" s="1" t="s">
        <v>76</v>
      </c>
      <c r="D73" s="15">
        <f>-D63</f>
        <v>-27</v>
      </c>
      <c r="E73" s="1" t="s">
        <v>73</v>
      </c>
    </row>
    <row r="74" spans="2:7" x14ac:dyDescent="0.2">
      <c r="B74" s="1" t="s">
        <v>77</v>
      </c>
      <c r="D74" s="15">
        <f>+E63</f>
        <v>27</v>
      </c>
    </row>
    <row r="75" spans="2:7" ht="12.75" thickBot="1" x14ac:dyDescent="0.25">
      <c r="B75" s="4" t="s">
        <v>80</v>
      </c>
      <c r="D75" s="9">
        <f>SUM(D71:D74)</f>
        <v>747</v>
      </c>
    </row>
    <row r="76" spans="2:7" ht="12.75" thickTop="1" x14ac:dyDescent="0.2"/>
    <row r="78" spans="2:7" x14ac:dyDescent="0.2">
      <c r="B78" s="1" t="s">
        <v>110</v>
      </c>
      <c r="D78" s="6">
        <f>+D56</f>
        <v>747</v>
      </c>
    </row>
    <row r="79" spans="2:7" x14ac:dyDescent="0.2">
      <c r="B79" s="1" t="s">
        <v>111</v>
      </c>
      <c r="D79" s="8">
        <f>+D75</f>
        <v>747</v>
      </c>
      <c r="G79" s="6"/>
    </row>
    <row r="80" spans="2:7" ht="12.75" thickBot="1" x14ac:dyDescent="0.25">
      <c r="B80" s="1" t="s">
        <v>112</v>
      </c>
      <c r="D80" s="9">
        <f>+D78-D79</f>
        <v>0</v>
      </c>
    </row>
    <row r="81" ht="12.75" thickTop="1" x14ac:dyDescent="0.2"/>
  </sheetData>
  <hyperlinks>
    <hyperlink ref="A1" location="Main!A1" display="Main" xr:uid="{2976BAAF-D705-4FCE-9C2E-533F67C3EA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9E1C-AABB-4356-BFC4-5F0BF79B1D11}">
  <sheetPr codeName="Sheet4"/>
  <dimension ref="A1:F146"/>
  <sheetViews>
    <sheetView topLeftCell="A132" zoomScale="175" zoomScaleNormal="175" workbookViewId="0">
      <selection activeCell="D161" sqref="D161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202</v>
      </c>
    </row>
    <row r="26" spans="2:5" x14ac:dyDescent="0.2">
      <c r="B26" s="5" t="s">
        <v>80</v>
      </c>
    </row>
    <row r="27" spans="2:5" x14ac:dyDescent="0.2">
      <c r="B27" s="1" t="s">
        <v>203</v>
      </c>
    </row>
    <row r="28" spans="2:5" x14ac:dyDescent="0.2">
      <c r="B28" s="1" t="s">
        <v>204</v>
      </c>
      <c r="E28" s="6">
        <v>189</v>
      </c>
    </row>
    <row r="29" spans="2:5" x14ac:dyDescent="0.2">
      <c r="B29" s="1" t="s">
        <v>205</v>
      </c>
      <c r="E29" s="17">
        <v>2530</v>
      </c>
    </row>
    <row r="30" spans="2:5" x14ac:dyDescent="0.2">
      <c r="E30" s="6">
        <f>SUM(E28:E29)</f>
        <v>2719</v>
      </c>
    </row>
    <row r="31" spans="2:5" x14ac:dyDescent="0.2">
      <c r="B31" s="1" t="s">
        <v>206</v>
      </c>
      <c r="E31" s="6">
        <v>164</v>
      </c>
    </row>
    <row r="32" spans="2:5" ht="12.75" thickBot="1" x14ac:dyDescent="0.25">
      <c r="B32" s="1" t="s">
        <v>42</v>
      </c>
      <c r="E32" s="7">
        <f>+E30-E31</f>
        <v>2555</v>
      </c>
    </row>
    <row r="33" spans="2:6" ht="12.75" thickTop="1" x14ac:dyDescent="0.2"/>
    <row r="35" spans="2:6" x14ac:dyDescent="0.2">
      <c r="B35" s="5" t="s">
        <v>207</v>
      </c>
    </row>
    <row r="36" spans="2:6" x14ac:dyDescent="0.2">
      <c r="B36" s="1" t="s">
        <v>208</v>
      </c>
      <c r="E36" s="6">
        <f>78+(8-2)</f>
        <v>84</v>
      </c>
    </row>
    <row r="37" spans="2:6" x14ac:dyDescent="0.2">
      <c r="B37" s="1" t="s">
        <v>209</v>
      </c>
      <c r="E37" s="6">
        <f>(1860-167-14)+106-102</f>
        <v>1683</v>
      </c>
      <c r="F37" s="1" t="s">
        <v>212</v>
      </c>
    </row>
    <row r="38" spans="2:6" x14ac:dyDescent="0.2">
      <c r="B38" s="1" t="s">
        <v>211</v>
      </c>
      <c r="E38" s="6">
        <v>62</v>
      </c>
    </row>
    <row r="39" spans="2:6" x14ac:dyDescent="0.2">
      <c r="B39" s="1" t="s">
        <v>210</v>
      </c>
      <c r="E39" s="17">
        <v>76</v>
      </c>
    </row>
    <row r="40" spans="2:6" x14ac:dyDescent="0.2">
      <c r="E40" s="6">
        <f>SUM(E36:E39)</f>
        <v>1905</v>
      </c>
    </row>
    <row r="41" spans="2:6" x14ac:dyDescent="0.2">
      <c r="B41" s="1" t="s">
        <v>213</v>
      </c>
      <c r="E41" s="6">
        <f>71+10-7</f>
        <v>74</v>
      </c>
    </row>
    <row r="42" spans="2:6" ht="12.75" thickBot="1" x14ac:dyDescent="0.25">
      <c r="B42" s="1" t="s">
        <v>214</v>
      </c>
      <c r="E42" s="7">
        <f>+E40-E41</f>
        <v>1831</v>
      </c>
    </row>
    <row r="43" spans="2:6" ht="12.75" thickTop="1" x14ac:dyDescent="0.2"/>
    <row r="45" spans="2:6" x14ac:dyDescent="0.2">
      <c r="B45" s="5" t="s">
        <v>215</v>
      </c>
      <c r="E45" s="1">
        <v>2</v>
      </c>
    </row>
    <row r="46" spans="2:6" x14ac:dyDescent="0.2">
      <c r="B46" s="1" t="s">
        <v>216</v>
      </c>
      <c r="E46" s="1">
        <v>190</v>
      </c>
    </row>
    <row r="47" spans="2:6" x14ac:dyDescent="0.2">
      <c r="E47" s="1">
        <f>SUM(E45:E46)</f>
        <v>192</v>
      </c>
    </row>
    <row r="48" spans="2:6" x14ac:dyDescent="0.2">
      <c r="B48" s="1" t="s">
        <v>217</v>
      </c>
      <c r="E48" s="1">
        <v>7</v>
      </c>
    </row>
    <row r="49" spans="2:5" ht="12.75" thickBot="1" x14ac:dyDescent="0.25">
      <c r="B49" s="1" t="s">
        <v>215</v>
      </c>
      <c r="E49" s="3">
        <f>+E47-E48</f>
        <v>185</v>
      </c>
    </row>
    <row r="50" spans="2:5" ht="12.75" thickTop="1" x14ac:dyDescent="0.2"/>
    <row r="51" spans="2:5" x14ac:dyDescent="0.2">
      <c r="B51" s="5" t="s">
        <v>117</v>
      </c>
    </row>
    <row r="52" spans="2:5" x14ac:dyDescent="0.2">
      <c r="B52" s="1" t="s">
        <v>218</v>
      </c>
      <c r="E52" s="1">
        <v>66</v>
      </c>
    </row>
    <row r="53" spans="2:5" x14ac:dyDescent="0.2">
      <c r="B53" s="1" t="s">
        <v>219</v>
      </c>
      <c r="E53" s="1">
        <v>183</v>
      </c>
    </row>
    <row r="54" spans="2:5" x14ac:dyDescent="0.2">
      <c r="E54" s="1">
        <f>SUM(E52:E53)</f>
        <v>249</v>
      </c>
    </row>
    <row r="55" spans="2:5" x14ac:dyDescent="0.2">
      <c r="B55" s="1" t="s">
        <v>220</v>
      </c>
      <c r="E55" s="1">
        <v>83</v>
      </c>
    </row>
    <row r="56" spans="2:5" ht="12.75" thickBot="1" x14ac:dyDescent="0.25">
      <c r="B56" s="1" t="s">
        <v>117</v>
      </c>
      <c r="E56" s="3">
        <f>+E54-E55</f>
        <v>166</v>
      </c>
    </row>
    <row r="57" spans="2:5" ht="12.75" thickTop="1" x14ac:dyDescent="0.2"/>
    <row r="58" spans="2:5" x14ac:dyDescent="0.2">
      <c r="B58" s="5" t="s">
        <v>221</v>
      </c>
    </row>
    <row r="59" spans="2:5" x14ac:dyDescent="0.2">
      <c r="B59" s="1" t="s">
        <v>222</v>
      </c>
      <c r="E59" s="1">
        <v>1524</v>
      </c>
    </row>
    <row r="60" spans="2:5" x14ac:dyDescent="0.2">
      <c r="B60" s="1" t="s">
        <v>223</v>
      </c>
      <c r="E60" s="1">
        <v>-167</v>
      </c>
    </row>
    <row r="61" spans="2:5" x14ac:dyDescent="0.2">
      <c r="B61" s="1" t="s">
        <v>166</v>
      </c>
      <c r="E61" s="1">
        <v>-24</v>
      </c>
    </row>
    <row r="62" spans="2:5" x14ac:dyDescent="0.2">
      <c r="B62" s="1" t="s">
        <v>160</v>
      </c>
      <c r="E62" s="10">
        <v>380</v>
      </c>
    </row>
    <row r="63" spans="2:5" x14ac:dyDescent="0.2">
      <c r="E63" s="1">
        <f>SUM(E59:E62)</f>
        <v>1713</v>
      </c>
    </row>
    <row r="64" spans="2:5" x14ac:dyDescent="0.2">
      <c r="B64" s="1" t="s">
        <v>224</v>
      </c>
      <c r="E64" s="1">
        <v>2193</v>
      </c>
    </row>
    <row r="65" spans="2:5" ht="12.75" thickBot="1" x14ac:dyDescent="0.25">
      <c r="B65" s="1" t="s">
        <v>221</v>
      </c>
      <c r="E65" s="3">
        <f>+E63-E64</f>
        <v>-480</v>
      </c>
    </row>
    <row r="66" spans="2:5" ht="12.75" thickTop="1" x14ac:dyDescent="0.2"/>
    <row r="68" spans="2:5" x14ac:dyDescent="0.2">
      <c r="B68" s="5" t="s">
        <v>225</v>
      </c>
    </row>
    <row r="69" spans="2:5" x14ac:dyDescent="0.2">
      <c r="B69" s="1" t="s">
        <v>226</v>
      </c>
      <c r="E69" s="1">
        <v>24</v>
      </c>
    </row>
    <row r="70" spans="2:5" x14ac:dyDescent="0.2">
      <c r="B70" s="1" t="s">
        <v>227</v>
      </c>
      <c r="E70" s="1">
        <v>14</v>
      </c>
    </row>
    <row r="71" spans="2:5" ht="12.75" thickBot="1" x14ac:dyDescent="0.25">
      <c r="B71" s="1" t="s">
        <v>225</v>
      </c>
      <c r="E71" s="3">
        <f>+E69-E70</f>
        <v>10</v>
      </c>
    </row>
    <row r="72" spans="2:5" ht="12.75" thickTop="1" x14ac:dyDescent="0.2"/>
    <row r="74" spans="2:5" x14ac:dyDescent="0.2">
      <c r="B74" s="5" t="s">
        <v>228</v>
      </c>
    </row>
    <row r="75" spans="2:5" x14ac:dyDescent="0.2">
      <c r="B75" s="1" t="s">
        <v>182</v>
      </c>
      <c r="E75" s="1">
        <f>800+80</f>
        <v>880</v>
      </c>
    </row>
    <row r="76" spans="2:5" x14ac:dyDescent="0.2">
      <c r="B76" s="1" t="s">
        <v>145</v>
      </c>
      <c r="E76" s="1">
        <f>120*0.5</f>
        <v>60</v>
      </c>
    </row>
    <row r="77" spans="2:5" x14ac:dyDescent="0.2">
      <c r="E77" s="1">
        <f>SUM(E75:E76)</f>
        <v>940</v>
      </c>
    </row>
    <row r="78" spans="2:5" x14ac:dyDescent="0.2">
      <c r="B78" s="1" t="s">
        <v>184</v>
      </c>
      <c r="E78" s="1">
        <f>876+82</f>
        <v>958</v>
      </c>
    </row>
    <row r="79" spans="2:5" ht="12.75" thickBot="1" x14ac:dyDescent="0.25">
      <c r="B79" s="1" t="s">
        <v>181</v>
      </c>
      <c r="E79" s="3">
        <f>+E78-E77</f>
        <v>18</v>
      </c>
    </row>
    <row r="80" spans="2:5" ht="12.75" thickTop="1" x14ac:dyDescent="0.2"/>
    <row r="82" spans="2:5" x14ac:dyDescent="0.2">
      <c r="B82" s="5" t="s">
        <v>229</v>
      </c>
    </row>
    <row r="83" spans="2:5" x14ac:dyDescent="0.2">
      <c r="B83" s="1" t="s">
        <v>230</v>
      </c>
      <c r="E83" s="1">
        <v>850</v>
      </c>
    </row>
    <row r="84" spans="2:5" x14ac:dyDescent="0.2">
      <c r="B84" s="1" t="s">
        <v>231</v>
      </c>
      <c r="E84" s="1">
        <v>1000</v>
      </c>
    </row>
    <row r="85" spans="2:5" ht="12.75" thickBot="1" x14ac:dyDescent="0.25">
      <c r="B85" s="1" t="s">
        <v>229</v>
      </c>
      <c r="E85" s="3">
        <f>+E84-E83</f>
        <v>150</v>
      </c>
    </row>
    <row r="86" spans="2:5" ht="12.75" thickTop="1" x14ac:dyDescent="0.2"/>
    <row r="88" spans="2:5" x14ac:dyDescent="0.2">
      <c r="B88" s="5" t="s">
        <v>147</v>
      </c>
    </row>
    <row r="89" spans="2:5" x14ac:dyDescent="0.2">
      <c r="B89" s="1" t="s">
        <v>232</v>
      </c>
      <c r="E89" s="1">
        <v>124</v>
      </c>
    </row>
    <row r="90" spans="2:5" x14ac:dyDescent="0.2">
      <c r="B90" s="1" t="s">
        <v>144</v>
      </c>
      <c r="E90" s="1">
        <v>159</v>
      </c>
    </row>
    <row r="91" spans="2:5" x14ac:dyDescent="0.2">
      <c r="B91" s="1" t="s">
        <v>145</v>
      </c>
      <c r="E91" s="1">
        <f>-120*0.5</f>
        <v>-60</v>
      </c>
    </row>
    <row r="92" spans="2:5" x14ac:dyDescent="0.2">
      <c r="E92" s="1">
        <f>SUM(E89:E91)</f>
        <v>223</v>
      </c>
    </row>
    <row r="93" spans="2:5" x14ac:dyDescent="0.2">
      <c r="B93" s="1" t="s">
        <v>233</v>
      </c>
      <c r="E93" s="1">
        <v>158</v>
      </c>
    </row>
    <row r="94" spans="2:5" ht="12.75" thickBot="1" x14ac:dyDescent="0.25">
      <c r="B94" s="1" t="s">
        <v>147</v>
      </c>
      <c r="E94" s="3">
        <f>+E93-E92</f>
        <v>-65</v>
      </c>
    </row>
    <row r="95" spans="2:5" ht="12.75" thickTop="1" x14ac:dyDescent="0.2"/>
    <row r="96" spans="2:5" x14ac:dyDescent="0.2">
      <c r="B96" s="1" t="s">
        <v>202</v>
      </c>
    </row>
    <row r="97" spans="2:6" x14ac:dyDescent="0.2">
      <c r="B97" s="1" t="s">
        <v>234</v>
      </c>
    </row>
    <row r="98" spans="2:6" x14ac:dyDescent="0.2">
      <c r="B98" s="1" t="s">
        <v>235</v>
      </c>
    </row>
    <row r="99" spans="2:6" x14ac:dyDescent="0.2">
      <c r="E99" s="19" t="s">
        <v>148</v>
      </c>
      <c r="F99" s="19" t="s">
        <v>148</v>
      </c>
    </row>
    <row r="100" spans="2:6" x14ac:dyDescent="0.2">
      <c r="B100" s="1" t="s">
        <v>236</v>
      </c>
    </row>
    <row r="101" spans="2:6" x14ac:dyDescent="0.2">
      <c r="B101" s="1" t="s">
        <v>42</v>
      </c>
      <c r="E101" s="6">
        <f>+E32</f>
        <v>2555</v>
      </c>
    </row>
    <row r="102" spans="2:6" x14ac:dyDescent="0.2">
      <c r="B102" s="1" t="s">
        <v>60</v>
      </c>
      <c r="E102" s="6">
        <f>-+E42</f>
        <v>-1831</v>
      </c>
    </row>
    <row r="103" spans="2:6" x14ac:dyDescent="0.2">
      <c r="B103" s="1" t="s">
        <v>17</v>
      </c>
      <c r="E103" s="6">
        <f>SUM(E101:E102)</f>
        <v>724</v>
      </c>
    </row>
    <row r="104" spans="2:6" x14ac:dyDescent="0.2">
      <c r="B104" s="1" t="s">
        <v>237</v>
      </c>
      <c r="E104" s="1">
        <f>-+E49</f>
        <v>-185</v>
      </c>
    </row>
    <row r="105" spans="2:6" x14ac:dyDescent="0.2">
      <c r="B105" s="1" t="s">
        <v>18</v>
      </c>
      <c r="E105" s="1">
        <f>-E56</f>
        <v>-166</v>
      </c>
    </row>
    <row r="106" spans="2:6" x14ac:dyDescent="0.2">
      <c r="B106" s="1" t="s">
        <v>238</v>
      </c>
      <c r="F106" s="6">
        <f>SUM(E103:E105)</f>
        <v>373</v>
      </c>
    </row>
    <row r="108" spans="2:6" x14ac:dyDescent="0.2">
      <c r="B108" s="1" t="s">
        <v>239</v>
      </c>
    </row>
    <row r="109" spans="2:6" x14ac:dyDescent="0.2">
      <c r="B109" s="1" t="s">
        <v>165</v>
      </c>
      <c r="E109" s="1">
        <f>E65</f>
        <v>-480</v>
      </c>
    </row>
    <row r="110" spans="2:6" x14ac:dyDescent="0.2">
      <c r="B110" s="1" t="s">
        <v>240</v>
      </c>
      <c r="E110" s="1">
        <f>E71</f>
        <v>10</v>
      </c>
    </row>
    <row r="111" spans="2:6" x14ac:dyDescent="0.2">
      <c r="B111" s="1" t="s">
        <v>241</v>
      </c>
      <c r="F111" s="1">
        <f>SUM(E109:E110)</f>
        <v>-470</v>
      </c>
    </row>
    <row r="113" spans="2:6" x14ac:dyDescent="0.2">
      <c r="B113" s="1" t="s">
        <v>199</v>
      </c>
    </row>
    <row r="114" spans="2:6" x14ac:dyDescent="0.2">
      <c r="B114" s="1" t="s">
        <v>242</v>
      </c>
      <c r="E114" s="1">
        <f>+E79</f>
        <v>18</v>
      </c>
    </row>
    <row r="115" spans="2:6" x14ac:dyDescent="0.2">
      <c r="B115" s="1" t="s">
        <v>200</v>
      </c>
      <c r="E115" s="1">
        <f>+E85</f>
        <v>150</v>
      </c>
    </row>
    <row r="116" spans="2:6" x14ac:dyDescent="0.2">
      <c r="B116" s="1" t="s">
        <v>243</v>
      </c>
      <c r="E116" s="1">
        <f>+E94</f>
        <v>-65</v>
      </c>
    </row>
    <row r="117" spans="2:6" x14ac:dyDescent="0.2">
      <c r="B117" s="1" t="s">
        <v>244</v>
      </c>
      <c r="F117" s="1">
        <f>SUM(E114:E116)</f>
        <v>103</v>
      </c>
    </row>
    <row r="119" spans="2:6" x14ac:dyDescent="0.2">
      <c r="B119" s="1" t="s">
        <v>245</v>
      </c>
      <c r="F119" s="6">
        <f>SUM(F106:F117)</f>
        <v>6</v>
      </c>
    </row>
    <row r="120" spans="2:6" x14ac:dyDescent="0.2">
      <c r="B120" s="1" t="s">
        <v>246</v>
      </c>
      <c r="F120" s="1">
        <v>191</v>
      </c>
    </row>
    <row r="121" spans="2:6" ht="12.75" thickBot="1" x14ac:dyDescent="0.25">
      <c r="B121" s="1" t="s">
        <v>247</v>
      </c>
      <c r="F121" s="7">
        <f>+F119+F120</f>
        <v>197</v>
      </c>
    </row>
    <row r="122" spans="2:6" ht="12.75" thickTop="1" x14ac:dyDescent="0.2">
      <c r="B122" s="1" t="s">
        <v>248</v>
      </c>
      <c r="F122" s="1">
        <v>197</v>
      </c>
    </row>
    <row r="123" spans="2:6" x14ac:dyDescent="0.2">
      <c r="B123" s="1" t="s">
        <v>249</v>
      </c>
      <c r="F123" s="6">
        <f>+F121-F122</f>
        <v>0</v>
      </c>
    </row>
    <row r="126" spans="2:6" x14ac:dyDescent="0.2">
      <c r="B126" s="1" t="s">
        <v>64</v>
      </c>
    </row>
    <row r="128" spans="2:6" x14ac:dyDescent="0.2">
      <c r="B128" s="1" t="s">
        <v>103</v>
      </c>
    </row>
    <row r="129" spans="2:6" x14ac:dyDescent="0.2">
      <c r="C129" s="1" t="s">
        <v>252</v>
      </c>
      <c r="D129" s="1" t="s">
        <v>94</v>
      </c>
      <c r="E129" s="1" t="s">
        <v>92</v>
      </c>
    </row>
    <row r="130" spans="2:6" x14ac:dyDescent="0.2">
      <c r="B130" s="1" t="s">
        <v>104</v>
      </c>
      <c r="C130" s="1">
        <v>102</v>
      </c>
      <c r="D130" s="1">
        <v>189</v>
      </c>
      <c r="E130" s="1">
        <f>78+8-2</f>
        <v>84</v>
      </c>
    </row>
    <row r="131" spans="2:6" x14ac:dyDescent="0.2">
      <c r="B131" s="1" t="s">
        <v>250</v>
      </c>
      <c r="C131" s="1">
        <v>106</v>
      </c>
      <c r="D131" s="1">
        <v>164</v>
      </c>
      <c r="E131" s="1">
        <f>71+10-7</f>
        <v>74</v>
      </c>
      <c r="F131" s="1" t="s">
        <v>259</v>
      </c>
    </row>
    <row r="132" spans="2:6" ht="12.75" thickBot="1" x14ac:dyDescent="0.25">
      <c r="B132" s="1" t="s">
        <v>251</v>
      </c>
      <c r="C132" s="3">
        <f>+C131-C130</f>
        <v>4</v>
      </c>
      <c r="D132" s="3">
        <f>+D131-D130</f>
        <v>-25</v>
      </c>
      <c r="E132" s="3">
        <f>+E130-E131</f>
        <v>10</v>
      </c>
    </row>
    <row r="133" spans="2:6" ht="12.75" thickTop="1" x14ac:dyDescent="0.2"/>
    <row r="135" spans="2:6" x14ac:dyDescent="0.2">
      <c r="B135" s="1" t="s">
        <v>80</v>
      </c>
    </row>
    <row r="136" spans="2:6" x14ac:dyDescent="0.2">
      <c r="B136" s="1" t="s">
        <v>66</v>
      </c>
      <c r="E136" s="1">
        <v>342</v>
      </c>
    </row>
    <row r="137" spans="2:6" x14ac:dyDescent="0.2">
      <c r="B137" s="1" t="s">
        <v>253</v>
      </c>
    </row>
    <row r="138" spans="2:6" x14ac:dyDescent="0.2">
      <c r="B138" s="1" t="s">
        <v>86</v>
      </c>
      <c r="E138" s="1">
        <v>190</v>
      </c>
    </row>
    <row r="139" spans="2:6" x14ac:dyDescent="0.2">
      <c r="B139" s="1" t="s">
        <v>254</v>
      </c>
      <c r="E139" s="21">
        <v>167</v>
      </c>
    </row>
    <row r="140" spans="2:6" x14ac:dyDescent="0.2">
      <c r="B140" s="1" t="s">
        <v>255</v>
      </c>
      <c r="E140" s="10">
        <v>14</v>
      </c>
    </row>
    <row r="141" spans="2:6" x14ac:dyDescent="0.2">
      <c r="E141" s="1">
        <f>SUM(E136:E140)</f>
        <v>713</v>
      </c>
    </row>
    <row r="142" spans="2:6" x14ac:dyDescent="0.2">
      <c r="B142" s="1" t="s">
        <v>256</v>
      </c>
      <c r="E142" s="1">
        <f>-C132</f>
        <v>-4</v>
      </c>
    </row>
    <row r="143" spans="2:6" x14ac:dyDescent="0.2">
      <c r="B143" s="1" t="s">
        <v>257</v>
      </c>
      <c r="E143" s="1">
        <f>-D132</f>
        <v>25</v>
      </c>
    </row>
    <row r="144" spans="2:6" x14ac:dyDescent="0.2">
      <c r="B144" s="1" t="s">
        <v>258</v>
      </c>
      <c r="E144" s="1">
        <f>-E132</f>
        <v>-10</v>
      </c>
    </row>
    <row r="145" spans="2:5" ht="12.75" thickBot="1" x14ac:dyDescent="0.25">
      <c r="B145" s="1" t="s">
        <v>17</v>
      </c>
      <c r="E145" s="3">
        <f>SUM(E141:E144)</f>
        <v>724</v>
      </c>
    </row>
    <row r="146" spans="2:5" ht="12.75" thickTop="1" x14ac:dyDescent="0.2"/>
  </sheetData>
  <hyperlinks>
    <hyperlink ref="A1" location="Main!A1" display="Main" xr:uid="{7CA8ED33-BDB2-4630-B9EF-6E9C073A55A3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2227-8E57-4FDF-B377-F596D8AA43A5}">
  <sheetPr codeName="Sheet5"/>
  <dimension ref="A1:G146"/>
  <sheetViews>
    <sheetView topLeftCell="A109" zoomScale="190" zoomScaleNormal="190" workbookViewId="0">
      <selection activeCell="F72" sqref="F72"/>
    </sheetView>
  </sheetViews>
  <sheetFormatPr defaultRowHeight="12" x14ac:dyDescent="0.2"/>
  <cols>
    <col min="1" max="16384" width="9.140625" style="1"/>
  </cols>
  <sheetData>
    <row r="1" spans="1:7" ht="15" x14ac:dyDescent="0.25">
      <c r="A1" s="2" t="s">
        <v>0</v>
      </c>
    </row>
    <row r="2" spans="1:7" x14ac:dyDescent="0.2">
      <c r="B2" s="1" t="s">
        <v>260</v>
      </c>
    </row>
    <row r="3" spans="1:7" x14ac:dyDescent="0.2">
      <c r="B3" s="1" t="s">
        <v>261</v>
      </c>
      <c r="C3" s="22">
        <v>45016</v>
      </c>
    </row>
    <row r="5" spans="1:7" x14ac:dyDescent="0.2">
      <c r="B5" s="1" t="s">
        <v>64</v>
      </c>
    </row>
    <row r="7" spans="1:7" x14ac:dyDescent="0.2">
      <c r="C7" s="23"/>
      <c r="D7" s="23">
        <v>2023</v>
      </c>
      <c r="E7" s="23">
        <v>2022</v>
      </c>
      <c r="F7" s="23"/>
      <c r="G7" s="23"/>
    </row>
    <row r="8" spans="1:7" x14ac:dyDescent="0.2">
      <c r="C8" s="23"/>
      <c r="D8" s="25" t="s">
        <v>148</v>
      </c>
      <c r="E8" s="25" t="s">
        <v>148</v>
      </c>
      <c r="F8" s="23"/>
      <c r="G8" s="23"/>
    </row>
    <row r="9" spans="1:7" x14ac:dyDescent="0.2">
      <c r="B9" s="1" t="s">
        <v>287</v>
      </c>
      <c r="C9" s="23"/>
      <c r="D9" s="23">
        <v>21395</v>
      </c>
      <c r="E9" s="23">
        <v>19458</v>
      </c>
      <c r="F9" s="23"/>
      <c r="G9" s="23"/>
    </row>
    <row r="10" spans="1:7" x14ac:dyDescent="0.2">
      <c r="B10" s="1" t="s">
        <v>286</v>
      </c>
      <c r="C10" s="23"/>
      <c r="D10" s="23">
        <v>281</v>
      </c>
      <c r="E10" s="23">
        <v>222</v>
      </c>
      <c r="F10" s="23"/>
      <c r="G10" s="23"/>
    </row>
    <row r="11" spans="1:7" x14ac:dyDescent="0.2">
      <c r="C11" s="23"/>
      <c r="D11" s="23">
        <f>SUM(D9:D10)</f>
        <v>21676</v>
      </c>
      <c r="E11" s="23">
        <f>SUM(E9:E10)</f>
        <v>19680</v>
      </c>
      <c r="F11" s="23"/>
      <c r="G11" s="23"/>
    </row>
    <row r="12" spans="1:7" x14ac:dyDescent="0.2">
      <c r="C12" s="23"/>
      <c r="D12" s="23"/>
      <c r="E12" s="23"/>
      <c r="F12" s="23"/>
      <c r="G12" s="23"/>
    </row>
    <row r="13" spans="1:7" x14ac:dyDescent="0.2">
      <c r="B13" s="1" t="s">
        <v>107</v>
      </c>
      <c r="C13" s="23"/>
      <c r="D13" s="23">
        <v>25919</v>
      </c>
      <c r="E13" s="23">
        <v>23073</v>
      </c>
      <c r="F13" s="23"/>
      <c r="G13" s="23"/>
    </row>
    <row r="14" spans="1:7" x14ac:dyDescent="0.2">
      <c r="B14" s="1" t="s">
        <v>264</v>
      </c>
      <c r="C14" s="23"/>
      <c r="D14" s="23">
        <v>7010</v>
      </c>
      <c r="E14" s="23">
        <v>6470</v>
      </c>
      <c r="F14" s="23"/>
      <c r="G14" s="23"/>
    </row>
    <row r="15" spans="1:7" x14ac:dyDescent="0.2">
      <c r="B15" s="1" t="s">
        <v>93</v>
      </c>
      <c r="C15" s="23"/>
      <c r="D15" s="23">
        <v>7742</v>
      </c>
      <c r="E15" s="23">
        <v>10028</v>
      </c>
      <c r="F15" s="23"/>
      <c r="G15" s="23"/>
    </row>
    <row r="16" spans="1:7" x14ac:dyDescent="0.2">
      <c r="C16" s="23"/>
      <c r="D16" s="23">
        <f>SUM(D13:D15)</f>
        <v>40671</v>
      </c>
      <c r="E16" s="23">
        <f>SUM(E13:E15)</f>
        <v>39571</v>
      </c>
      <c r="F16" s="23"/>
      <c r="G16" s="23"/>
    </row>
    <row r="17" spans="2:7" x14ac:dyDescent="0.2">
      <c r="B17" s="1" t="s">
        <v>285</v>
      </c>
      <c r="C17" s="23"/>
      <c r="D17" s="23">
        <f>+D16+D11</f>
        <v>62347</v>
      </c>
      <c r="E17" s="23">
        <f>+E16+E11</f>
        <v>59251</v>
      </c>
      <c r="F17" s="23"/>
      <c r="G17" s="23"/>
    </row>
    <row r="18" spans="2:7" x14ac:dyDescent="0.2">
      <c r="C18" s="23"/>
      <c r="D18" s="23"/>
      <c r="E18" s="23"/>
      <c r="F18" s="23"/>
      <c r="G18" s="23"/>
    </row>
    <row r="19" spans="2:7" x14ac:dyDescent="0.2">
      <c r="B19" s="1" t="s">
        <v>284</v>
      </c>
      <c r="C19" s="23"/>
      <c r="D19" s="23">
        <v>29634</v>
      </c>
      <c r="E19" s="23">
        <v>29214</v>
      </c>
      <c r="F19" s="23"/>
      <c r="G19" s="23"/>
    </row>
    <row r="20" spans="2:7" x14ac:dyDescent="0.2">
      <c r="B20" s="1" t="s">
        <v>283</v>
      </c>
      <c r="C20" s="23"/>
      <c r="D20" s="23">
        <v>25171</v>
      </c>
      <c r="E20" s="23">
        <v>20980</v>
      </c>
      <c r="F20" s="23"/>
      <c r="G20" s="23"/>
    </row>
    <row r="21" spans="2:7" x14ac:dyDescent="0.2">
      <c r="B21" s="1" t="s">
        <v>282</v>
      </c>
      <c r="C21" s="23"/>
      <c r="D21" s="23">
        <v>30</v>
      </c>
      <c r="E21" s="23">
        <v>100</v>
      </c>
      <c r="F21" s="23"/>
      <c r="G21" s="23"/>
    </row>
    <row r="22" spans="2:7" x14ac:dyDescent="0.2">
      <c r="B22" s="1" t="s">
        <v>281</v>
      </c>
      <c r="C22" s="23"/>
      <c r="D22" s="23">
        <v>38</v>
      </c>
      <c r="E22" s="23">
        <v>0</v>
      </c>
      <c r="F22" s="23"/>
      <c r="G22" s="23"/>
    </row>
    <row r="23" spans="2:7" x14ac:dyDescent="0.2">
      <c r="B23" s="1" t="s">
        <v>280</v>
      </c>
      <c r="C23" s="23"/>
      <c r="D23" s="23">
        <f>SUM(D19:D22)</f>
        <v>54873</v>
      </c>
      <c r="E23" s="23">
        <f>SUM(E19:E22)</f>
        <v>50294</v>
      </c>
      <c r="F23" s="23"/>
      <c r="G23" s="23"/>
    </row>
    <row r="24" spans="2:7" x14ac:dyDescent="0.2">
      <c r="C24" s="23"/>
      <c r="D24" s="23"/>
      <c r="E24" s="23"/>
      <c r="F24" s="23"/>
      <c r="G24" s="23"/>
    </row>
    <row r="25" spans="2:7" x14ac:dyDescent="0.2">
      <c r="B25" s="1" t="s">
        <v>279</v>
      </c>
      <c r="C25" s="23"/>
      <c r="D25" s="23">
        <v>1380</v>
      </c>
      <c r="E25" s="23">
        <v>2998</v>
      </c>
      <c r="F25" s="23"/>
      <c r="G25" s="23"/>
    </row>
    <row r="26" spans="2:7" x14ac:dyDescent="0.2">
      <c r="B26" s="1" t="s">
        <v>278</v>
      </c>
      <c r="C26" s="23"/>
      <c r="D26" s="23">
        <v>180</v>
      </c>
      <c r="E26" s="23">
        <v>600</v>
      </c>
      <c r="F26" s="23"/>
      <c r="G26" s="23"/>
    </row>
    <row r="27" spans="2:7" x14ac:dyDescent="0.2">
      <c r="B27" s="1" t="s">
        <v>277</v>
      </c>
      <c r="C27" s="23"/>
      <c r="D27" s="23">
        <v>1310</v>
      </c>
      <c r="E27" s="23">
        <v>0</v>
      </c>
      <c r="F27" s="23"/>
      <c r="G27" s="23"/>
    </row>
    <row r="28" spans="2:7" x14ac:dyDescent="0.2">
      <c r="B28" s="1" t="s">
        <v>276</v>
      </c>
      <c r="C28" s="23"/>
      <c r="D28" s="23">
        <f>SUM(D25:D27)</f>
        <v>2870</v>
      </c>
      <c r="E28" s="23">
        <f>SUM(E25:E27)</f>
        <v>3598</v>
      </c>
      <c r="F28" s="23"/>
      <c r="G28" s="23"/>
    </row>
    <row r="29" spans="2:7" x14ac:dyDescent="0.2">
      <c r="C29" s="23"/>
      <c r="D29" s="23"/>
      <c r="E29" s="23"/>
      <c r="F29" s="23"/>
      <c r="G29" s="23"/>
    </row>
    <row r="30" spans="2:7" x14ac:dyDescent="0.2">
      <c r="B30" s="1" t="s">
        <v>265</v>
      </c>
      <c r="C30" s="23"/>
      <c r="D30" s="23">
        <v>3246</v>
      </c>
      <c r="E30" s="23">
        <v>3674</v>
      </c>
      <c r="F30" s="23"/>
      <c r="G30" s="23"/>
    </row>
    <row r="31" spans="2:7" x14ac:dyDescent="0.2">
      <c r="B31" s="1" t="s">
        <v>275</v>
      </c>
      <c r="C31" s="23"/>
      <c r="D31" s="23">
        <v>1358</v>
      </c>
      <c r="E31" s="23">
        <v>1685</v>
      </c>
      <c r="F31" s="23"/>
      <c r="G31" s="23"/>
    </row>
    <row r="32" spans="2:7" x14ac:dyDescent="0.2">
      <c r="B32" s="1" t="s">
        <v>274</v>
      </c>
      <c r="C32" s="23"/>
      <c r="D32" s="23">
        <f>SUM(D30:D31)</f>
        <v>4604</v>
      </c>
      <c r="E32" s="23">
        <f>SUM(E30:E31)</f>
        <v>5359</v>
      </c>
      <c r="F32" s="23"/>
      <c r="G32" s="23"/>
    </row>
    <row r="33" spans="2:7" x14ac:dyDescent="0.2">
      <c r="B33" s="1" t="s">
        <v>273</v>
      </c>
      <c r="C33" s="23"/>
      <c r="D33" s="23">
        <f>+D32+D28</f>
        <v>7474</v>
      </c>
      <c r="E33" s="23">
        <f>+E32+E28</f>
        <v>8957</v>
      </c>
      <c r="F33" s="23"/>
      <c r="G33" s="23"/>
    </row>
    <row r="34" spans="2:7" x14ac:dyDescent="0.2">
      <c r="B34" s="1" t="s">
        <v>272</v>
      </c>
      <c r="C34" s="23"/>
      <c r="D34" s="23">
        <f>+D33+D23</f>
        <v>62347</v>
      </c>
      <c r="E34" s="23">
        <f>+E33+E23</f>
        <v>59251</v>
      </c>
      <c r="F34" s="23"/>
      <c r="G34" s="23"/>
    </row>
    <row r="35" spans="2:7" x14ac:dyDescent="0.2">
      <c r="C35" s="23"/>
      <c r="D35" s="23"/>
      <c r="E35" s="23"/>
      <c r="F35" s="23"/>
      <c r="G35" s="23"/>
    </row>
    <row r="36" spans="2:7" x14ac:dyDescent="0.2">
      <c r="C36" s="23"/>
      <c r="D36" s="23"/>
      <c r="E36" s="23"/>
      <c r="F36" s="23"/>
      <c r="G36" s="23"/>
    </row>
    <row r="37" spans="2:7" x14ac:dyDescent="0.2">
      <c r="B37" s="1" t="s">
        <v>271</v>
      </c>
      <c r="C37" s="23"/>
      <c r="D37" s="23">
        <v>684</v>
      </c>
      <c r="E37" s="23"/>
      <c r="F37" s="23"/>
      <c r="G37" s="23"/>
    </row>
    <row r="38" spans="2:7" x14ac:dyDescent="0.2">
      <c r="B38" s="1" t="s">
        <v>86</v>
      </c>
      <c r="C38" s="23"/>
      <c r="D38" s="23">
        <v>-150</v>
      </c>
      <c r="E38" s="23"/>
      <c r="F38" s="23"/>
      <c r="G38" s="23"/>
    </row>
    <row r="39" spans="2:7" x14ac:dyDescent="0.2">
      <c r="B39" s="1" t="s">
        <v>66</v>
      </c>
      <c r="C39" s="23"/>
      <c r="D39" s="23">
        <v>6881</v>
      </c>
      <c r="E39" s="23"/>
      <c r="F39" s="23"/>
      <c r="G39" s="23"/>
    </row>
    <row r="40" spans="2:7" x14ac:dyDescent="0.2">
      <c r="B40" s="1" t="s">
        <v>270</v>
      </c>
      <c r="C40" s="23"/>
      <c r="D40" s="23">
        <v>-1388</v>
      </c>
      <c r="E40" s="23"/>
      <c r="F40" s="23"/>
      <c r="G40" s="23"/>
    </row>
    <row r="41" spans="2:7" x14ac:dyDescent="0.2">
      <c r="B41" s="1" t="s">
        <v>269</v>
      </c>
      <c r="C41" s="23"/>
      <c r="D41" s="23">
        <f>SUM(D39:D40)</f>
        <v>5493</v>
      </c>
      <c r="E41" s="23"/>
      <c r="F41" s="23"/>
      <c r="G41" s="23"/>
    </row>
    <row r="42" spans="2:7" x14ac:dyDescent="0.2">
      <c r="C42" s="23"/>
      <c r="D42" s="23"/>
      <c r="E42" s="23"/>
      <c r="F42" s="23"/>
      <c r="G42" s="23"/>
    </row>
    <row r="43" spans="2:7" x14ac:dyDescent="0.2">
      <c r="C43" s="23"/>
      <c r="D43" s="23"/>
      <c r="E43" s="23"/>
      <c r="F43" s="23"/>
      <c r="G43" s="23"/>
    </row>
    <row r="44" spans="2:7" s="19" customFormat="1" x14ac:dyDescent="0.2">
      <c r="C44" s="25" t="s">
        <v>263</v>
      </c>
      <c r="D44" s="25" t="s">
        <v>264</v>
      </c>
      <c r="E44" s="25" t="s">
        <v>265</v>
      </c>
      <c r="F44" s="25"/>
      <c r="G44" s="25"/>
    </row>
    <row r="45" spans="2:7" x14ac:dyDescent="0.2">
      <c r="C45" s="25" t="s">
        <v>148</v>
      </c>
      <c r="D45" s="25" t="s">
        <v>148</v>
      </c>
      <c r="E45" s="25" t="s">
        <v>148</v>
      </c>
      <c r="F45" s="23"/>
      <c r="G45" s="23"/>
    </row>
    <row r="46" spans="2:7" x14ac:dyDescent="0.2">
      <c r="B46" s="1" t="s">
        <v>104</v>
      </c>
      <c r="C46" s="23">
        <f>+E13</f>
        <v>23073</v>
      </c>
      <c r="D46" s="23">
        <f>+E14</f>
        <v>6470</v>
      </c>
      <c r="E46" s="23">
        <f>+E30-24</f>
        <v>3650</v>
      </c>
      <c r="F46" s="23"/>
      <c r="G46" s="23"/>
    </row>
    <row r="47" spans="2:7" x14ac:dyDescent="0.2">
      <c r="B47" s="1" t="s">
        <v>266</v>
      </c>
      <c r="C47" s="23">
        <f>+D13</f>
        <v>25919</v>
      </c>
      <c r="D47" s="23">
        <f>+D14</f>
        <v>7010</v>
      </c>
      <c r="E47" s="23">
        <f>+D30-32</f>
        <v>3214</v>
      </c>
      <c r="F47" s="23"/>
      <c r="G47" s="23"/>
    </row>
    <row r="48" spans="2:7" ht="12.75" thickBot="1" x14ac:dyDescent="0.25">
      <c r="B48" s="1" t="s">
        <v>251</v>
      </c>
      <c r="C48" s="24">
        <f>+C47-C46</f>
        <v>2846</v>
      </c>
      <c r="D48" s="24">
        <f t="shared" ref="D48:E48" si="0">+D47-D46</f>
        <v>540</v>
      </c>
      <c r="E48" s="24">
        <f t="shared" si="0"/>
        <v>-436</v>
      </c>
      <c r="F48" s="23"/>
      <c r="G48" s="23"/>
    </row>
    <row r="49" spans="2:7" ht="12.75" thickTop="1" x14ac:dyDescent="0.2">
      <c r="C49" s="23"/>
      <c r="D49" s="23"/>
      <c r="E49" s="23"/>
      <c r="F49" s="23"/>
      <c r="G49" s="23"/>
    </row>
    <row r="50" spans="2:7" x14ac:dyDescent="0.2">
      <c r="B50" s="1" t="s">
        <v>215</v>
      </c>
      <c r="C50" s="23"/>
      <c r="D50" s="23"/>
      <c r="E50" s="23"/>
      <c r="F50" s="23"/>
      <c r="G50" s="23"/>
    </row>
    <row r="51" spans="2:7" x14ac:dyDescent="0.2">
      <c r="B51" s="1" t="s">
        <v>267</v>
      </c>
      <c r="C51" s="23"/>
      <c r="D51" s="23"/>
      <c r="E51" s="23">
        <v>24</v>
      </c>
      <c r="F51" s="23"/>
      <c r="G51" s="23"/>
    </row>
    <row r="52" spans="2:7" x14ac:dyDescent="0.2">
      <c r="B52" s="1" t="s">
        <v>268</v>
      </c>
      <c r="C52" s="23"/>
      <c r="D52" s="23"/>
      <c r="E52" s="23">
        <f>-+D38</f>
        <v>150</v>
      </c>
      <c r="F52" s="23"/>
      <c r="G52" s="23"/>
    </row>
    <row r="53" spans="2:7" x14ac:dyDescent="0.2">
      <c r="C53" s="23"/>
      <c r="D53" s="23"/>
      <c r="E53" s="23">
        <f>SUM(E51:E52)</f>
        <v>174</v>
      </c>
      <c r="F53" s="23"/>
      <c r="G53" s="23"/>
    </row>
    <row r="54" spans="2:7" x14ac:dyDescent="0.2">
      <c r="B54" s="1" t="s">
        <v>288</v>
      </c>
      <c r="C54" s="23"/>
      <c r="D54" s="23"/>
      <c r="E54" s="23">
        <v>32</v>
      </c>
      <c r="F54" s="23"/>
      <c r="G54" s="23"/>
    </row>
    <row r="55" spans="2:7" ht="12.75" thickBot="1" x14ac:dyDescent="0.25">
      <c r="B55" s="1" t="s">
        <v>215</v>
      </c>
      <c r="C55" s="23"/>
      <c r="D55" s="23"/>
      <c r="E55" s="24">
        <f>+E54-E53</f>
        <v>-142</v>
      </c>
      <c r="F55" s="23"/>
      <c r="G55" s="23"/>
    </row>
    <row r="56" spans="2:7" ht="12.75" thickTop="1" x14ac:dyDescent="0.2">
      <c r="C56" s="23"/>
      <c r="D56" s="23"/>
      <c r="E56" s="23"/>
      <c r="F56" s="23"/>
      <c r="G56" s="23"/>
    </row>
    <row r="57" spans="2:7" x14ac:dyDescent="0.2">
      <c r="B57" s="1" t="s">
        <v>117</v>
      </c>
      <c r="C57" s="23"/>
      <c r="D57" s="23"/>
      <c r="E57" s="23"/>
      <c r="F57" s="23"/>
      <c r="G57" s="23"/>
    </row>
    <row r="58" spans="2:7" x14ac:dyDescent="0.2">
      <c r="B58" s="1" t="s">
        <v>289</v>
      </c>
      <c r="C58" s="23"/>
      <c r="D58" s="23"/>
      <c r="E58" s="23">
        <f>+E31</f>
        <v>1685</v>
      </c>
      <c r="F58" s="23"/>
      <c r="G58" s="23"/>
    </row>
    <row r="59" spans="2:7" x14ac:dyDescent="0.2">
      <c r="B59" s="1" t="s">
        <v>219</v>
      </c>
      <c r="C59" s="23"/>
      <c r="D59" s="23"/>
      <c r="E59" s="23">
        <f>-D40</f>
        <v>1388</v>
      </c>
      <c r="F59" s="23"/>
      <c r="G59" s="23"/>
    </row>
    <row r="60" spans="2:7" x14ac:dyDescent="0.2">
      <c r="C60" s="23"/>
      <c r="D60" s="23"/>
      <c r="E60" s="23">
        <f>SUM(E58:E59)</f>
        <v>3073</v>
      </c>
      <c r="F60" s="23"/>
      <c r="G60" s="23"/>
    </row>
    <row r="61" spans="2:7" x14ac:dyDescent="0.2">
      <c r="B61" s="1" t="s">
        <v>220</v>
      </c>
      <c r="C61" s="23"/>
      <c r="D61" s="23"/>
      <c r="E61" s="23">
        <f>+D31</f>
        <v>1358</v>
      </c>
      <c r="F61" s="23"/>
      <c r="G61" s="23"/>
    </row>
    <row r="62" spans="2:7" ht="12.75" thickBot="1" x14ac:dyDescent="0.25">
      <c r="C62" s="23"/>
      <c r="D62" s="23"/>
      <c r="E62" s="24">
        <f>+E61-E60</f>
        <v>-1715</v>
      </c>
      <c r="F62" s="23"/>
      <c r="G62" s="23"/>
    </row>
    <row r="63" spans="2:7" ht="12.75" thickTop="1" x14ac:dyDescent="0.2">
      <c r="C63" s="23"/>
      <c r="D63" s="23"/>
      <c r="E63" s="23"/>
      <c r="F63" s="23"/>
      <c r="G63" s="23"/>
    </row>
    <row r="64" spans="2:7" x14ac:dyDescent="0.2">
      <c r="B64" s="1" t="s">
        <v>221</v>
      </c>
      <c r="C64" s="23"/>
      <c r="D64" s="23"/>
      <c r="E64" s="23"/>
      <c r="F64" s="23"/>
      <c r="G64" s="23"/>
    </row>
    <row r="65" spans="2:7" x14ac:dyDescent="0.2">
      <c r="B65" s="1" t="s">
        <v>290</v>
      </c>
      <c r="C65" s="23"/>
      <c r="D65" s="23"/>
      <c r="E65" s="23">
        <f>+E9</f>
        <v>19458</v>
      </c>
      <c r="F65" s="23"/>
      <c r="G65" s="23"/>
    </row>
    <row r="66" spans="2:7" x14ac:dyDescent="0.2">
      <c r="B66" s="1" t="s">
        <v>291</v>
      </c>
      <c r="C66" s="23"/>
      <c r="D66" s="23"/>
      <c r="E66" s="23">
        <v>-1091</v>
      </c>
      <c r="F66" s="23"/>
      <c r="G66" s="23"/>
    </row>
    <row r="67" spans="2:7" x14ac:dyDescent="0.2">
      <c r="B67" s="1" t="s">
        <v>292</v>
      </c>
      <c r="C67" s="23"/>
      <c r="D67" s="23"/>
      <c r="E67" s="23">
        <v>-22</v>
      </c>
      <c r="F67" s="23"/>
      <c r="G67" s="23"/>
    </row>
    <row r="68" spans="2:7" x14ac:dyDescent="0.2">
      <c r="B68" s="1" t="s">
        <v>293</v>
      </c>
      <c r="C68" s="23"/>
      <c r="D68" s="23"/>
      <c r="E68" s="23">
        <f>D27</f>
        <v>1310</v>
      </c>
      <c r="F68" s="23"/>
      <c r="G68" s="23"/>
    </row>
    <row r="69" spans="2:7" x14ac:dyDescent="0.2">
      <c r="C69" s="23"/>
      <c r="D69" s="23"/>
      <c r="E69" s="23">
        <f>SUM(E65:E68)</f>
        <v>19655</v>
      </c>
      <c r="F69" s="23"/>
      <c r="G69" s="23"/>
    </row>
    <row r="70" spans="2:7" x14ac:dyDescent="0.2">
      <c r="B70" s="1" t="s">
        <v>224</v>
      </c>
      <c r="C70" s="23"/>
      <c r="D70" s="23"/>
      <c r="E70" s="23">
        <f>+D9</f>
        <v>21395</v>
      </c>
      <c r="F70" s="23"/>
      <c r="G70" s="23"/>
    </row>
    <row r="71" spans="2:7" ht="12.75" thickBot="1" x14ac:dyDescent="0.25">
      <c r="B71" s="1" t="s">
        <v>294</v>
      </c>
      <c r="C71" s="23"/>
      <c r="D71" s="23"/>
      <c r="E71" s="24">
        <f>+E70-E69</f>
        <v>1740</v>
      </c>
      <c r="F71" s="23"/>
      <c r="G71" s="23"/>
    </row>
    <row r="72" spans="2:7" ht="12.75" thickTop="1" x14ac:dyDescent="0.2">
      <c r="C72" s="23"/>
      <c r="D72" s="23"/>
      <c r="E72" s="23"/>
      <c r="F72" s="23"/>
      <c r="G72" s="23"/>
    </row>
    <row r="73" spans="2:7" x14ac:dyDescent="0.2">
      <c r="C73" s="23"/>
      <c r="D73" s="23"/>
      <c r="E73" s="23"/>
      <c r="F73" s="23"/>
      <c r="G73" s="23"/>
    </row>
    <row r="74" spans="2:7" x14ac:dyDescent="0.2">
      <c r="B74" s="1" t="s">
        <v>286</v>
      </c>
      <c r="C74" s="23"/>
      <c r="D74" s="23"/>
      <c r="E74" s="23"/>
      <c r="F74" s="23"/>
      <c r="G74" s="23"/>
    </row>
    <row r="75" spans="2:7" x14ac:dyDescent="0.2">
      <c r="B75" s="1" t="s">
        <v>295</v>
      </c>
      <c r="C75" s="23"/>
      <c r="D75" s="23"/>
      <c r="E75" s="23">
        <f>+E10</f>
        <v>222</v>
      </c>
      <c r="F75" s="23"/>
      <c r="G75" s="23"/>
    </row>
    <row r="76" spans="2:7" x14ac:dyDescent="0.2">
      <c r="B76" s="1" t="s">
        <v>296</v>
      </c>
      <c r="C76" s="23"/>
      <c r="D76" s="23"/>
      <c r="E76" s="23">
        <v>38</v>
      </c>
      <c r="F76" s="23"/>
      <c r="G76" s="23"/>
    </row>
    <row r="77" spans="2:7" x14ac:dyDescent="0.2">
      <c r="C77" s="23"/>
      <c r="D77" s="23"/>
      <c r="E77" s="23">
        <f>SUM(E75:E76)</f>
        <v>260</v>
      </c>
      <c r="F77" s="23"/>
      <c r="G77" s="23"/>
    </row>
    <row r="78" spans="2:7" x14ac:dyDescent="0.2">
      <c r="B78" s="1" t="s">
        <v>297</v>
      </c>
      <c r="C78" s="23"/>
      <c r="D78" s="23"/>
      <c r="E78" s="23">
        <f>+D10</f>
        <v>281</v>
      </c>
      <c r="F78" s="23"/>
      <c r="G78" s="23"/>
    </row>
    <row r="79" spans="2:7" ht="12.75" thickBot="1" x14ac:dyDescent="0.25">
      <c r="B79" s="1" t="s">
        <v>298</v>
      </c>
      <c r="C79" s="23"/>
      <c r="D79" s="23"/>
      <c r="E79" s="24">
        <f>+E78-E77</f>
        <v>21</v>
      </c>
      <c r="F79" s="23"/>
      <c r="G79" s="23"/>
    </row>
    <row r="80" spans="2:7" ht="12.75" thickTop="1" x14ac:dyDescent="0.2">
      <c r="C80" s="23"/>
      <c r="D80" s="23"/>
      <c r="E80" s="23"/>
      <c r="F80" s="23"/>
      <c r="G80" s="23"/>
    </row>
    <row r="81" spans="2:7" x14ac:dyDescent="0.2">
      <c r="B81" s="1" t="s">
        <v>225</v>
      </c>
      <c r="C81" s="23"/>
      <c r="D81" s="23"/>
      <c r="E81" s="23"/>
      <c r="F81" s="23"/>
      <c r="G81" s="23"/>
    </row>
    <row r="82" spans="2:7" x14ac:dyDescent="0.2">
      <c r="B82" s="1" t="s">
        <v>299</v>
      </c>
      <c r="C82" s="23"/>
      <c r="D82" s="23"/>
      <c r="E82" s="23">
        <v>22</v>
      </c>
      <c r="F82" s="23"/>
      <c r="G82" s="23"/>
    </row>
    <row r="83" spans="2:7" x14ac:dyDescent="0.2">
      <c r="B83" s="1" t="s">
        <v>262</v>
      </c>
      <c r="C83" s="23"/>
      <c r="D83" s="23"/>
      <c r="E83" s="23">
        <v>9</v>
      </c>
      <c r="F83" s="23"/>
      <c r="G83" s="23"/>
    </row>
    <row r="84" spans="2:7" ht="12.75" thickBot="1" x14ac:dyDescent="0.25">
      <c r="B84" s="1" t="s">
        <v>240</v>
      </c>
      <c r="C84" s="23"/>
      <c r="D84" s="23"/>
      <c r="E84" s="24">
        <f>SUM(E82:E83)</f>
        <v>31</v>
      </c>
      <c r="F84" s="23"/>
      <c r="G84" s="23"/>
    </row>
    <row r="85" spans="2:7" ht="12.75" thickTop="1" x14ac:dyDescent="0.2">
      <c r="C85" s="23"/>
      <c r="D85" s="23"/>
      <c r="E85" s="23"/>
      <c r="F85" s="23"/>
      <c r="G85" s="23"/>
    </row>
    <row r="86" spans="2:7" x14ac:dyDescent="0.2">
      <c r="C86" s="23"/>
      <c r="D86" s="23"/>
      <c r="E86" s="23"/>
      <c r="F86" s="23"/>
      <c r="G86" s="23"/>
    </row>
    <row r="87" spans="2:7" x14ac:dyDescent="0.2">
      <c r="B87" s="1" t="s">
        <v>135</v>
      </c>
      <c r="C87" s="23"/>
      <c r="D87" s="23"/>
      <c r="E87" s="23"/>
      <c r="F87" s="23"/>
      <c r="G87" s="23"/>
    </row>
    <row r="88" spans="2:7" x14ac:dyDescent="0.2">
      <c r="B88" s="1" t="s">
        <v>300</v>
      </c>
      <c r="C88" s="23"/>
      <c r="D88" s="23"/>
      <c r="E88" s="23">
        <v>0</v>
      </c>
      <c r="F88" s="23"/>
      <c r="G88" s="23"/>
    </row>
    <row r="89" spans="2:7" x14ac:dyDescent="0.2">
      <c r="B89" s="1" t="s">
        <v>132</v>
      </c>
      <c r="C89" s="23"/>
      <c r="D89" s="23"/>
      <c r="E89" s="23">
        <f>+D37</f>
        <v>684</v>
      </c>
      <c r="F89" s="23"/>
      <c r="G89" s="23"/>
    </row>
    <row r="90" spans="2:7" x14ac:dyDescent="0.2">
      <c r="C90" s="23"/>
      <c r="D90" s="23"/>
      <c r="E90" s="23">
        <f>SUM(E88:E89)</f>
        <v>684</v>
      </c>
      <c r="F90" s="23"/>
      <c r="G90" s="23"/>
    </row>
    <row r="91" spans="2:7" x14ac:dyDescent="0.2">
      <c r="B91" s="1" t="s">
        <v>301</v>
      </c>
      <c r="C91" s="23"/>
      <c r="D91" s="23"/>
      <c r="E91" s="23">
        <v>0</v>
      </c>
      <c r="F91" s="23"/>
      <c r="G91" s="23"/>
    </row>
    <row r="92" spans="2:7" ht="12.75" thickBot="1" x14ac:dyDescent="0.25">
      <c r="B92" s="1" t="s">
        <v>302</v>
      </c>
      <c r="C92" s="23"/>
      <c r="D92" s="23"/>
      <c r="E92" s="24">
        <f>+E91-E90</f>
        <v>-684</v>
      </c>
      <c r="F92" s="23"/>
      <c r="G92" s="23"/>
    </row>
    <row r="93" spans="2:7" ht="12.75" thickTop="1" x14ac:dyDescent="0.2">
      <c r="C93" s="23"/>
      <c r="D93" s="23"/>
      <c r="E93" s="23"/>
      <c r="F93" s="23"/>
      <c r="G93" s="23"/>
    </row>
    <row r="94" spans="2:7" x14ac:dyDescent="0.2">
      <c r="C94" s="23"/>
      <c r="D94" s="23"/>
      <c r="E94" s="23"/>
      <c r="F94" s="23"/>
      <c r="G94" s="23"/>
    </row>
    <row r="95" spans="2:7" x14ac:dyDescent="0.2">
      <c r="C95" s="23"/>
      <c r="D95" s="23"/>
      <c r="E95" s="23"/>
      <c r="F95" s="23"/>
      <c r="G95" s="23"/>
    </row>
    <row r="96" spans="2:7" x14ac:dyDescent="0.2">
      <c r="B96" s="1" t="s">
        <v>303</v>
      </c>
      <c r="C96" s="23"/>
      <c r="D96" s="23"/>
      <c r="E96" s="23"/>
      <c r="F96" s="23"/>
      <c r="G96" s="23"/>
    </row>
    <row r="97" spans="2:7" x14ac:dyDescent="0.2">
      <c r="B97" s="1" t="s">
        <v>195</v>
      </c>
      <c r="C97" s="23"/>
      <c r="D97" s="23"/>
      <c r="E97" s="23">
        <f>+E25</f>
        <v>2998</v>
      </c>
      <c r="F97" s="23"/>
      <c r="G97" s="23"/>
    </row>
    <row r="98" spans="2:7" x14ac:dyDescent="0.2">
      <c r="B98" s="1" t="s">
        <v>304</v>
      </c>
      <c r="C98" s="23"/>
      <c r="D98" s="23"/>
      <c r="E98" s="23">
        <f>+D25</f>
        <v>1380</v>
      </c>
      <c r="F98" s="23"/>
      <c r="G98" s="23"/>
    </row>
    <row r="99" spans="2:7" ht="12.75" thickBot="1" x14ac:dyDescent="0.25">
      <c r="B99" s="1" t="s">
        <v>303</v>
      </c>
      <c r="C99" s="23"/>
      <c r="D99" s="23"/>
      <c r="E99" s="24">
        <f>+E98-E97</f>
        <v>-1618</v>
      </c>
      <c r="F99" s="23"/>
      <c r="G99" s="23"/>
    </row>
    <row r="100" spans="2:7" ht="12.75" thickTop="1" x14ac:dyDescent="0.2">
      <c r="C100" s="23"/>
      <c r="D100" s="23"/>
      <c r="E100" s="23"/>
      <c r="F100" s="23"/>
      <c r="G100" s="23"/>
    </row>
    <row r="101" spans="2:7" x14ac:dyDescent="0.2">
      <c r="B101" s="1" t="s">
        <v>243</v>
      </c>
      <c r="C101" s="23"/>
      <c r="D101" s="23"/>
      <c r="E101" s="23"/>
      <c r="F101" s="23"/>
      <c r="G101" s="23"/>
    </row>
    <row r="102" spans="2:7" x14ac:dyDescent="0.2">
      <c r="B102" s="1" t="s">
        <v>143</v>
      </c>
      <c r="C102" s="23"/>
      <c r="D102" s="23"/>
      <c r="E102" s="23">
        <f>+E20</f>
        <v>20980</v>
      </c>
      <c r="F102" s="23"/>
      <c r="G102" s="23"/>
    </row>
    <row r="103" spans="2:7" x14ac:dyDescent="0.2">
      <c r="B103" s="1" t="s">
        <v>305</v>
      </c>
      <c r="C103" s="23"/>
      <c r="D103" s="23"/>
      <c r="E103" s="23">
        <f>+D41</f>
        <v>5493</v>
      </c>
      <c r="F103" s="23"/>
      <c r="G103" s="23"/>
    </row>
    <row r="104" spans="2:7" x14ac:dyDescent="0.2">
      <c r="B104" s="1" t="s">
        <v>306</v>
      </c>
      <c r="C104" s="23"/>
      <c r="D104" s="23"/>
      <c r="E104" s="23">
        <f>+E21-D21</f>
        <v>70</v>
      </c>
      <c r="F104" s="23"/>
      <c r="G104" s="23"/>
    </row>
    <row r="105" spans="2:7" x14ac:dyDescent="0.2">
      <c r="C105" s="23"/>
      <c r="D105" s="23"/>
      <c r="E105" s="23">
        <f>SUM(E102:E104)</f>
        <v>26543</v>
      </c>
      <c r="F105" s="23"/>
      <c r="G105" s="23"/>
    </row>
    <row r="106" spans="2:7" x14ac:dyDescent="0.2">
      <c r="B106" s="1" t="s">
        <v>307</v>
      </c>
      <c r="C106" s="23"/>
      <c r="D106" s="23"/>
      <c r="E106" s="23">
        <f>+D20</f>
        <v>25171</v>
      </c>
      <c r="F106" s="23"/>
      <c r="G106" s="23"/>
    </row>
    <row r="107" spans="2:7" x14ac:dyDescent="0.2">
      <c r="B107" s="1" t="s">
        <v>147</v>
      </c>
      <c r="C107" s="23"/>
      <c r="D107" s="23"/>
      <c r="E107" s="23">
        <f>+E106-E105</f>
        <v>-1372</v>
      </c>
      <c r="F107" s="23"/>
      <c r="G107" s="23"/>
    </row>
    <row r="108" spans="2:7" x14ac:dyDescent="0.2">
      <c r="C108" s="23"/>
      <c r="D108" s="23"/>
      <c r="E108" s="23"/>
      <c r="F108" s="23"/>
      <c r="G108" s="23"/>
    </row>
    <row r="109" spans="2:7" x14ac:dyDescent="0.2">
      <c r="C109" s="23"/>
      <c r="D109" s="23"/>
      <c r="E109" s="23"/>
      <c r="F109" s="23"/>
      <c r="G109" s="23"/>
    </row>
    <row r="110" spans="2:7" x14ac:dyDescent="0.2">
      <c r="B110" s="1" t="s">
        <v>308</v>
      </c>
      <c r="C110" s="23"/>
      <c r="D110" s="23"/>
      <c r="E110" s="23"/>
      <c r="F110" s="23"/>
      <c r="G110" s="23"/>
    </row>
    <row r="111" spans="2:7" x14ac:dyDescent="0.2">
      <c r="B111" s="1" t="s">
        <v>309</v>
      </c>
      <c r="C111" s="23"/>
      <c r="D111" s="23"/>
      <c r="E111" s="23"/>
      <c r="F111" s="23"/>
      <c r="G111" s="23"/>
    </row>
    <row r="112" spans="2:7" x14ac:dyDescent="0.2">
      <c r="B112" s="1" t="s">
        <v>310</v>
      </c>
      <c r="C112" s="23"/>
      <c r="D112" s="23"/>
      <c r="E112" s="23"/>
      <c r="F112" s="23"/>
      <c r="G112" s="23"/>
    </row>
    <row r="113" spans="2:7" x14ac:dyDescent="0.2">
      <c r="C113" s="23"/>
      <c r="D113" s="23"/>
      <c r="E113" s="23"/>
      <c r="F113" s="23" t="s">
        <v>148</v>
      </c>
      <c r="G113" s="23" t="s">
        <v>148</v>
      </c>
    </row>
    <row r="114" spans="2:7" x14ac:dyDescent="0.2">
      <c r="B114" s="1" t="s">
        <v>236</v>
      </c>
      <c r="C114" s="23"/>
      <c r="D114" s="23"/>
      <c r="E114" s="23"/>
      <c r="F114" s="23"/>
      <c r="G114" s="23"/>
    </row>
    <row r="115" spans="2:7" x14ac:dyDescent="0.2">
      <c r="B115" s="1" t="s">
        <v>311</v>
      </c>
      <c r="C115" s="23"/>
      <c r="D115" s="23"/>
      <c r="E115" s="23"/>
      <c r="F115" s="23">
        <f>+D39</f>
        <v>6881</v>
      </c>
      <c r="G115" s="23"/>
    </row>
    <row r="116" spans="2:7" x14ac:dyDescent="0.2">
      <c r="B116" s="1" t="s">
        <v>312</v>
      </c>
      <c r="C116" s="23"/>
      <c r="D116" s="23"/>
      <c r="E116" s="23"/>
      <c r="F116" s="23"/>
      <c r="G116" s="23"/>
    </row>
    <row r="117" spans="2:7" x14ac:dyDescent="0.2">
      <c r="B117" s="1" t="s">
        <v>313</v>
      </c>
      <c r="C117" s="23"/>
      <c r="D117" s="23"/>
      <c r="E117" s="23"/>
      <c r="F117" s="23">
        <f>-+E66</f>
        <v>1091</v>
      </c>
      <c r="G117" s="23"/>
    </row>
    <row r="118" spans="2:7" x14ac:dyDescent="0.2">
      <c r="B118" s="1" t="s">
        <v>314</v>
      </c>
      <c r="C118" s="23"/>
      <c r="D118" s="23"/>
      <c r="E118" s="23"/>
      <c r="F118" s="23">
        <f>-E83</f>
        <v>-9</v>
      </c>
      <c r="G118" s="23"/>
    </row>
    <row r="119" spans="2:7" x14ac:dyDescent="0.2">
      <c r="B119" s="1" t="s">
        <v>132</v>
      </c>
      <c r="C119" s="23"/>
      <c r="D119" s="23"/>
      <c r="E119" s="23"/>
      <c r="F119" s="23">
        <f>-D37</f>
        <v>-684</v>
      </c>
      <c r="G119" s="23"/>
    </row>
    <row r="120" spans="2:7" x14ac:dyDescent="0.2">
      <c r="B120" s="1" t="s">
        <v>268</v>
      </c>
      <c r="C120" s="23"/>
      <c r="D120" s="23"/>
      <c r="E120" s="23"/>
      <c r="F120" s="23">
        <f>-D38</f>
        <v>150</v>
      </c>
      <c r="G120" s="23"/>
    </row>
    <row r="121" spans="2:7" x14ac:dyDescent="0.2">
      <c r="C121" s="23"/>
      <c r="D121" s="23"/>
      <c r="E121" s="23"/>
      <c r="F121" s="23">
        <f>SUM(F115:F120)</f>
        <v>7429</v>
      </c>
      <c r="G121" s="23"/>
    </row>
    <row r="122" spans="2:7" x14ac:dyDescent="0.2">
      <c r="B122" s="1" t="s">
        <v>256</v>
      </c>
      <c r="C122" s="23"/>
      <c r="D122" s="23"/>
      <c r="E122" s="23"/>
      <c r="F122" s="23">
        <f>-C48</f>
        <v>-2846</v>
      </c>
      <c r="G122" s="23"/>
    </row>
    <row r="123" spans="2:7" x14ac:dyDescent="0.2">
      <c r="B123" s="1" t="s">
        <v>315</v>
      </c>
      <c r="C123" s="23"/>
      <c r="D123" s="23"/>
      <c r="E123" s="23"/>
      <c r="F123" s="23">
        <f>-D48</f>
        <v>-540</v>
      </c>
      <c r="G123" s="23"/>
    </row>
    <row r="124" spans="2:7" x14ac:dyDescent="0.2">
      <c r="B124" s="1" t="s">
        <v>316</v>
      </c>
      <c r="C124" s="23"/>
      <c r="D124" s="23"/>
      <c r="E124" s="23"/>
      <c r="F124" s="23">
        <f>+E48</f>
        <v>-436</v>
      </c>
      <c r="G124" s="23"/>
    </row>
    <row r="125" spans="2:7" x14ac:dyDescent="0.2">
      <c r="B125" s="1" t="s">
        <v>80</v>
      </c>
      <c r="C125" s="23"/>
      <c r="D125" s="23"/>
      <c r="E125" s="23"/>
      <c r="F125" s="23">
        <f>SUM(F121:F124)</f>
        <v>3607</v>
      </c>
      <c r="G125" s="23"/>
    </row>
    <row r="126" spans="2:7" x14ac:dyDescent="0.2">
      <c r="B126" s="1" t="s">
        <v>215</v>
      </c>
      <c r="C126" s="23"/>
      <c r="D126" s="23"/>
      <c r="E126" s="23"/>
      <c r="F126" s="23">
        <f>+E55</f>
        <v>-142</v>
      </c>
      <c r="G126" s="23"/>
    </row>
    <row r="127" spans="2:7" x14ac:dyDescent="0.2">
      <c r="B127" s="1" t="s">
        <v>117</v>
      </c>
      <c r="C127" s="23"/>
      <c r="D127" s="23"/>
      <c r="E127" s="23"/>
      <c r="F127" s="23">
        <f>+E62</f>
        <v>-1715</v>
      </c>
      <c r="G127" s="23"/>
    </row>
    <row r="128" spans="2:7" x14ac:dyDescent="0.2">
      <c r="B128" s="1" t="s">
        <v>317</v>
      </c>
      <c r="C128" s="23"/>
      <c r="D128" s="23"/>
      <c r="E128" s="23"/>
      <c r="F128" s="23"/>
      <c r="G128" s="23">
        <f>SUM(F125:F127)</f>
        <v>1750</v>
      </c>
    </row>
    <row r="129" spans="2:7" x14ac:dyDescent="0.2">
      <c r="C129" s="23"/>
      <c r="D129" s="23"/>
      <c r="E129" s="23"/>
      <c r="F129" s="23"/>
      <c r="G129" s="23"/>
    </row>
    <row r="130" spans="2:7" x14ac:dyDescent="0.2">
      <c r="B130" s="1" t="s">
        <v>318</v>
      </c>
      <c r="C130" s="23"/>
      <c r="D130" s="23"/>
      <c r="E130" s="23"/>
      <c r="F130" s="23"/>
      <c r="G130" s="23"/>
    </row>
    <row r="131" spans="2:7" x14ac:dyDescent="0.2">
      <c r="B131" s="1" t="s">
        <v>319</v>
      </c>
      <c r="C131" s="23"/>
      <c r="D131" s="23"/>
      <c r="E131" s="23"/>
      <c r="F131" s="23">
        <f>-E71</f>
        <v>-1740</v>
      </c>
      <c r="G131" s="23"/>
    </row>
    <row r="132" spans="2:7" x14ac:dyDescent="0.2">
      <c r="B132" s="1" t="s">
        <v>320</v>
      </c>
      <c r="C132" s="23"/>
      <c r="D132" s="23"/>
      <c r="E132" s="23"/>
      <c r="F132" s="23">
        <f>+E84</f>
        <v>31</v>
      </c>
      <c r="G132" s="23"/>
    </row>
    <row r="133" spans="2:7" x14ac:dyDescent="0.2">
      <c r="B133" s="1" t="s">
        <v>321</v>
      </c>
      <c r="C133" s="23"/>
      <c r="D133" s="23"/>
      <c r="E133" s="23"/>
      <c r="F133" s="23">
        <f>-E79</f>
        <v>-21</v>
      </c>
      <c r="G133" s="23"/>
    </row>
    <row r="134" spans="2:7" x14ac:dyDescent="0.2">
      <c r="B134" s="1" t="s">
        <v>135</v>
      </c>
      <c r="C134" s="23"/>
      <c r="D134" s="23"/>
      <c r="E134" s="23"/>
      <c r="F134" s="23">
        <v>684</v>
      </c>
      <c r="G134" s="23"/>
    </row>
    <row r="135" spans="2:7" x14ac:dyDescent="0.2">
      <c r="B135" s="1" t="s">
        <v>322</v>
      </c>
      <c r="C135" s="23"/>
      <c r="D135" s="23"/>
      <c r="E135" s="23"/>
      <c r="F135" s="23"/>
      <c r="G135" s="23">
        <f>SUM(F131:F134)</f>
        <v>-1046</v>
      </c>
    </row>
    <row r="136" spans="2:7" x14ac:dyDescent="0.2">
      <c r="C136" s="23"/>
      <c r="D136" s="23"/>
      <c r="E136" s="23"/>
      <c r="F136" s="23"/>
      <c r="G136" s="23"/>
    </row>
    <row r="137" spans="2:7" x14ac:dyDescent="0.2">
      <c r="B137" s="1" t="s">
        <v>199</v>
      </c>
      <c r="C137" s="23"/>
      <c r="D137" s="23"/>
      <c r="E137" s="23"/>
      <c r="F137" s="23"/>
      <c r="G137" s="23"/>
    </row>
    <row r="138" spans="2:7" x14ac:dyDescent="0.2">
      <c r="B138" s="1" t="s">
        <v>323</v>
      </c>
      <c r="C138" s="23"/>
      <c r="D138" s="23"/>
      <c r="E138" s="23"/>
      <c r="F138" s="23">
        <f>+E99</f>
        <v>-1618</v>
      </c>
      <c r="G138" s="23"/>
    </row>
    <row r="139" spans="2:7" x14ac:dyDescent="0.2">
      <c r="B139" s="1" t="s">
        <v>147</v>
      </c>
      <c r="C139" s="23"/>
      <c r="D139" s="23"/>
      <c r="E139" s="23"/>
      <c r="F139" s="23">
        <v>-1372</v>
      </c>
      <c r="G139" s="23"/>
    </row>
    <row r="140" spans="2:7" x14ac:dyDescent="0.2">
      <c r="B140" s="1" t="s">
        <v>322</v>
      </c>
      <c r="C140" s="23"/>
      <c r="D140" s="23"/>
      <c r="E140" s="23"/>
      <c r="F140" s="23"/>
      <c r="G140" s="23">
        <f>SUM(F138:F139)</f>
        <v>-2990</v>
      </c>
    </row>
    <row r="141" spans="2:7" x14ac:dyDescent="0.2">
      <c r="C141" s="23"/>
      <c r="D141" s="23"/>
      <c r="E141" s="23"/>
      <c r="F141" s="23"/>
      <c r="G141" s="23"/>
    </row>
    <row r="142" spans="2:7" x14ac:dyDescent="0.2">
      <c r="B142" s="1" t="s">
        <v>324</v>
      </c>
      <c r="C142" s="23"/>
      <c r="D142" s="23"/>
      <c r="E142" s="23"/>
      <c r="F142" s="23"/>
      <c r="G142" s="23">
        <v>-2286</v>
      </c>
    </row>
    <row r="143" spans="2:7" x14ac:dyDescent="0.2">
      <c r="B143" s="1" t="s">
        <v>325</v>
      </c>
      <c r="C143" s="23"/>
      <c r="D143" s="23"/>
      <c r="E143" s="23"/>
      <c r="F143" s="23"/>
      <c r="G143" s="23">
        <f>+E15</f>
        <v>10028</v>
      </c>
    </row>
    <row r="144" spans="2:7" x14ac:dyDescent="0.2">
      <c r="B144" s="1" t="s">
        <v>326</v>
      </c>
      <c r="C144" s="23"/>
      <c r="D144" s="23"/>
      <c r="E144" s="23"/>
      <c r="F144" s="23"/>
      <c r="G144" s="23">
        <f>+D15</f>
        <v>7742</v>
      </c>
    </row>
    <row r="145" spans="3:7" x14ac:dyDescent="0.2">
      <c r="C145" s="23"/>
      <c r="D145" s="23"/>
      <c r="E145" s="23"/>
      <c r="F145" s="23"/>
      <c r="G145" s="23"/>
    </row>
    <row r="146" spans="3:7" x14ac:dyDescent="0.2">
      <c r="C146" s="23"/>
      <c r="D146" s="23"/>
      <c r="E146" s="23"/>
      <c r="F146" s="23">
        <v>0</v>
      </c>
      <c r="G146" s="23"/>
    </row>
  </sheetData>
  <hyperlinks>
    <hyperlink ref="A1" location="Main!A1" display="Main" xr:uid="{F3BAC1A7-FAC2-4261-A029-4D70B223E533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626B-13D8-42F2-9E1D-93AC0364944E}">
  <sheetPr codeName="Sheet6">
    <tabColor rgb="FFFFFF00"/>
  </sheetPr>
  <dimension ref="A1:G125"/>
  <sheetViews>
    <sheetView workbookViewId="0">
      <selection activeCell="E27" sqref="E27"/>
    </sheetView>
  </sheetViews>
  <sheetFormatPr defaultRowHeight="12" x14ac:dyDescent="0.2"/>
  <cols>
    <col min="1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327</v>
      </c>
    </row>
    <row r="5" spans="1:5" x14ac:dyDescent="0.2">
      <c r="D5" s="19" t="s">
        <v>148</v>
      </c>
      <c r="E5" s="19" t="s">
        <v>148</v>
      </c>
    </row>
    <row r="6" spans="1:5" x14ac:dyDescent="0.2">
      <c r="D6" s="1">
        <v>2023</v>
      </c>
      <c r="E6" s="1">
        <v>2022</v>
      </c>
    </row>
    <row r="8" spans="1:5" x14ac:dyDescent="0.2">
      <c r="B8" s="1" t="s">
        <v>287</v>
      </c>
      <c r="D8" s="23">
        <v>2700</v>
      </c>
      <c r="E8" s="23">
        <v>2500</v>
      </c>
    </row>
    <row r="9" spans="1:5" x14ac:dyDescent="0.2">
      <c r="B9" s="1" t="s">
        <v>286</v>
      </c>
      <c r="D9" s="23">
        <v>610</v>
      </c>
      <c r="E9" s="23">
        <v>700</v>
      </c>
    </row>
    <row r="10" spans="1:5" x14ac:dyDescent="0.2">
      <c r="D10" s="23">
        <f>SUM(D8:D9)</f>
        <v>3310</v>
      </c>
      <c r="E10" s="23">
        <f>SUM(E8:E9)</f>
        <v>3200</v>
      </c>
    </row>
    <row r="11" spans="1:5" x14ac:dyDescent="0.2">
      <c r="D11" s="23"/>
      <c r="E11" s="23"/>
    </row>
    <row r="12" spans="1:5" x14ac:dyDescent="0.2">
      <c r="B12" s="1" t="s">
        <v>95</v>
      </c>
      <c r="D12" s="23">
        <v>620</v>
      </c>
      <c r="E12" s="23">
        <v>510</v>
      </c>
    </row>
    <row r="13" spans="1:5" x14ac:dyDescent="0.2">
      <c r="B13" s="1" t="s">
        <v>94</v>
      </c>
      <c r="D13" s="23">
        <v>500</v>
      </c>
      <c r="E13" s="23">
        <v>520</v>
      </c>
    </row>
    <row r="14" spans="1:5" x14ac:dyDescent="0.2">
      <c r="B14" s="1" t="s">
        <v>93</v>
      </c>
      <c r="D14" s="23">
        <v>100</v>
      </c>
      <c r="E14" s="23">
        <v>0</v>
      </c>
    </row>
    <row r="15" spans="1:5" x14ac:dyDescent="0.2">
      <c r="D15" s="23">
        <f>SUM(D12:D14)</f>
        <v>1220</v>
      </c>
      <c r="E15" s="23">
        <f>SUM(E12:E14)</f>
        <v>1030</v>
      </c>
    </row>
    <row r="16" spans="1:5" x14ac:dyDescent="0.2">
      <c r="B16" s="1" t="s">
        <v>285</v>
      </c>
      <c r="D16" s="23">
        <f>+D15+D10</f>
        <v>4530</v>
      </c>
      <c r="E16" s="23">
        <f>+E15+E10</f>
        <v>4230</v>
      </c>
    </row>
    <row r="17" spans="2:5" x14ac:dyDescent="0.2">
      <c r="D17" s="23"/>
      <c r="E17" s="23"/>
    </row>
    <row r="18" spans="2:5" x14ac:dyDescent="0.2">
      <c r="D18" s="23"/>
      <c r="E18" s="23"/>
    </row>
    <row r="19" spans="2:5" x14ac:dyDescent="0.2">
      <c r="B19" s="1" t="s">
        <v>284</v>
      </c>
      <c r="D19" s="23">
        <v>1400</v>
      </c>
      <c r="E19" s="23">
        <v>1300</v>
      </c>
    </row>
    <row r="20" spans="2:5" x14ac:dyDescent="0.2">
      <c r="B20" s="1" t="s">
        <v>128</v>
      </c>
      <c r="D20" s="23">
        <v>800</v>
      </c>
      <c r="E20" s="23">
        <v>700</v>
      </c>
    </row>
    <row r="21" spans="2:5" x14ac:dyDescent="0.2">
      <c r="B21" s="1" t="s">
        <v>281</v>
      </c>
      <c r="D21" s="23">
        <v>10</v>
      </c>
      <c r="E21" s="23">
        <v>0</v>
      </c>
    </row>
    <row r="22" spans="2:5" x14ac:dyDescent="0.2">
      <c r="B22" s="1" t="s">
        <v>283</v>
      </c>
      <c r="D22" s="23">
        <v>1500</v>
      </c>
      <c r="E22" s="23">
        <v>1410</v>
      </c>
    </row>
    <row r="23" spans="2:5" x14ac:dyDescent="0.2">
      <c r="B23" s="1" t="s">
        <v>280</v>
      </c>
      <c r="D23" s="23">
        <f>SUM(D19:D22)</f>
        <v>3710</v>
      </c>
      <c r="E23" s="23">
        <f>SUM(E19:E22)</f>
        <v>3410</v>
      </c>
    </row>
    <row r="24" spans="2:5" x14ac:dyDescent="0.2">
      <c r="D24" s="23"/>
      <c r="E24" s="23"/>
    </row>
    <row r="25" spans="2:5" x14ac:dyDescent="0.2">
      <c r="B25" s="1" t="s">
        <v>330</v>
      </c>
      <c r="D25" s="23">
        <v>200</v>
      </c>
      <c r="E25" s="23">
        <v>150</v>
      </c>
    </row>
    <row r="26" spans="2:5" x14ac:dyDescent="0.2">
      <c r="B26" s="1" t="s">
        <v>329</v>
      </c>
      <c r="D26" s="23">
        <v>100</v>
      </c>
      <c r="E26" s="23">
        <v>60</v>
      </c>
    </row>
    <row r="27" spans="2:5" x14ac:dyDescent="0.2">
      <c r="B27" s="1" t="s">
        <v>276</v>
      </c>
      <c r="D27" s="23">
        <f>SUM(D25:D26)</f>
        <v>300</v>
      </c>
      <c r="E27" s="23">
        <f>SUM(E25:E26)</f>
        <v>210</v>
      </c>
    </row>
    <row r="28" spans="2:5" x14ac:dyDescent="0.2">
      <c r="D28" s="23"/>
      <c r="E28" s="23"/>
    </row>
    <row r="29" spans="2:5" x14ac:dyDescent="0.2">
      <c r="B29" s="1" t="s">
        <v>328</v>
      </c>
      <c r="D29" s="23">
        <v>0</v>
      </c>
      <c r="E29" s="23">
        <v>10</v>
      </c>
    </row>
    <row r="30" spans="2:5" x14ac:dyDescent="0.2">
      <c r="B30" s="1" t="s">
        <v>92</v>
      </c>
      <c r="D30" s="23">
        <v>400</v>
      </c>
      <c r="E30" s="23">
        <v>500</v>
      </c>
    </row>
    <row r="31" spans="2:5" x14ac:dyDescent="0.2">
      <c r="B31" s="1" t="s">
        <v>275</v>
      </c>
      <c r="D31" s="23">
        <v>120</v>
      </c>
      <c r="E31" s="23">
        <v>100</v>
      </c>
    </row>
    <row r="32" spans="2:5" x14ac:dyDescent="0.2">
      <c r="B32" s="1" t="s">
        <v>276</v>
      </c>
      <c r="D32" s="23">
        <f>SUM(D29:D31)</f>
        <v>520</v>
      </c>
      <c r="E32" s="23">
        <f>SUM(E29:E31)</f>
        <v>610</v>
      </c>
    </row>
    <row r="33" spans="2:5" x14ac:dyDescent="0.2">
      <c r="B33" s="1" t="s">
        <v>273</v>
      </c>
      <c r="D33" s="23">
        <f>+D32+D27</f>
        <v>820</v>
      </c>
      <c r="E33" s="23">
        <f>+E32+E27</f>
        <v>820</v>
      </c>
    </row>
    <row r="34" spans="2:5" x14ac:dyDescent="0.2">
      <c r="B34" s="1" t="s">
        <v>272</v>
      </c>
      <c r="D34" s="23">
        <f>+D33+D23</f>
        <v>4530</v>
      </c>
      <c r="E34" s="23">
        <f>+E33+E23</f>
        <v>4230</v>
      </c>
    </row>
    <row r="37" spans="2:5" x14ac:dyDescent="0.2">
      <c r="B37" s="1" t="s">
        <v>331</v>
      </c>
      <c r="D37" s="1">
        <v>8100</v>
      </c>
    </row>
    <row r="38" spans="2:5" x14ac:dyDescent="0.2">
      <c r="B38" s="1" t="s">
        <v>332</v>
      </c>
      <c r="D38" s="1">
        <v>-6500</v>
      </c>
    </row>
    <row r="39" spans="2:5" x14ac:dyDescent="0.2">
      <c r="B39" s="1" t="s">
        <v>88</v>
      </c>
      <c r="D39" s="1">
        <f>SUM(D37:D38)</f>
        <v>1600</v>
      </c>
    </row>
    <row r="40" spans="2:5" x14ac:dyDescent="0.2">
      <c r="B40" s="1" t="s">
        <v>333</v>
      </c>
      <c r="D40" s="1">
        <v>-1240</v>
      </c>
    </row>
    <row r="41" spans="2:5" x14ac:dyDescent="0.2">
      <c r="B41" s="1" t="s">
        <v>271</v>
      </c>
      <c r="D41" s="1">
        <v>30</v>
      </c>
    </row>
    <row r="42" spans="2:5" x14ac:dyDescent="0.2">
      <c r="B42" s="1" t="s">
        <v>334</v>
      </c>
      <c r="D42" s="1">
        <v>-20</v>
      </c>
    </row>
    <row r="43" spans="2:5" x14ac:dyDescent="0.2">
      <c r="B43" s="1" t="s">
        <v>66</v>
      </c>
      <c r="D43" s="1">
        <f>SUM(D39:D42)</f>
        <v>370</v>
      </c>
    </row>
    <row r="44" spans="2:5" x14ac:dyDescent="0.2">
      <c r="B44" s="1" t="s">
        <v>335</v>
      </c>
      <c r="D44" s="1">
        <v>-160</v>
      </c>
    </row>
    <row r="45" spans="2:5" x14ac:dyDescent="0.2">
      <c r="B45" s="1" t="s">
        <v>269</v>
      </c>
      <c r="D45" s="1">
        <f>SUM(D43:D44)</f>
        <v>210</v>
      </c>
    </row>
    <row r="47" spans="2:5" x14ac:dyDescent="0.2">
      <c r="B47" s="1" t="s">
        <v>336</v>
      </c>
    </row>
    <row r="62" spans="2:5" x14ac:dyDescent="0.2">
      <c r="B62" s="1" t="s">
        <v>337</v>
      </c>
      <c r="D62" s="23">
        <f>+D14</f>
        <v>100</v>
      </c>
      <c r="E62" s="23">
        <f>+E14</f>
        <v>0</v>
      </c>
    </row>
    <row r="63" spans="2:5" x14ac:dyDescent="0.2">
      <c r="B63" s="1" t="s">
        <v>338</v>
      </c>
      <c r="D63" s="23">
        <f>-+D29</f>
        <v>0</v>
      </c>
      <c r="E63" s="23">
        <f>-+E29</f>
        <v>-10</v>
      </c>
    </row>
    <row r="64" spans="2:5" ht="12.75" thickBot="1" x14ac:dyDescent="0.25">
      <c r="D64" s="24">
        <f>SUM(D62:D63)</f>
        <v>100</v>
      </c>
      <c r="E64" s="24">
        <f>SUM(E62:E63)</f>
        <v>-10</v>
      </c>
    </row>
    <row r="65" spans="2:7" ht="12.75" thickTop="1" x14ac:dyDescent="0.2"/>
    <row r="66" spans="2:7" x14ac:dyDescent="0.2">
      <c r="B66" s="1" t="s">
        <v>103</v>
      </c>
      <c r="D66" s="1" t="s">
        <v>95</v>
      </c>
      <c r="E66" s="1" t="s">
        <v>94</v>
      </c>
      <c r="F66" s="1" t="s">
        <v>92</v>
      </c>
    </row>
    <row r="67" spans="2:7" x14ac:dyDescent="0.2">
      <c r="B67" s="1" t="s">
        <v>290</v>
      </c>
      <c r="D67" s="23">
        <f>+E12</f>
        <v>510</v>
      </c>
      <c r="E67" s="23">
        <f>+E13</f>
        <v>520</v>
      </c>
      <c r="F67" s="23">
        <f>+E30</f>
        <v>500</v>
      </c>
    </row>
    <row r="68" spans="2:7" x14ac:dyDescent="0.2">
      <c r="B68" s="1" t="s">
        <v>339</v>
      </c>
    </row>
    <row r="69" spans="2:7" x14ac:dyDescent="0.2">
      <c r="B69" s="1" t="s">
        <v>340</v>
      </c>
      <c r="D69" s="23">
        <f>+D12</f>
        <v>620</v>
      </c>
      <c r="E69" s="23">
        <f>+D13</f>
        <v>500</v>
      </c>
      <c r="F69" s="23">
        <f>+D30</f>
        <v>400</v>
      </c>
    </row>
    <row r="70" spans="2:7" x14ac:dyDescent="0.2">
      <c r="B70" s="1" t="s">
        <v>341</v>
      </c>
      <c r="D70" s="23">
        <f>+D69-D67</f>
        <v>110</v>
      </c>
      <c r="E70" s="23">
        <f t="shared" ref="E70:F70" si="0">+E69-E67</f>
        <v>-20</v>
      </c>
      <c r="F70" s="23">
        <f t="shared" si="0"/>
        <v>-100</v>
      </c>
    </row>
    <row r="71" spans="2:7" ht="12.75" thickBot="1" x14ac:dyDescent="0.25">
      <c r="B71" s="1" t="s">
        <v>80</v>
      </c>
      <c r="G71" s="24">
        <f>SUM(D70:F70)</f>
        <v>-10</v>
      </c>
    </row>
    <row r="72" spans="2:7" ht="12.75" thickTop="1" x14ac:dyDescent="0.2"/>
    <row r="73" spans="2:7" x14ac:dyDescent="0.2">
      <c r="B73" s="1" t="s">
        <v>70</v>
      </c>
    </row>
    <row r="74" spans="2:7" x14ac:dyDescent="0.2">
      <c r="B74" s="1" t="s">
        <v>342</v>
      </c>
    </row>
    <row r="75" spans="2:7" x14ac:dyDescent="0.2">
      <c r="B75" s="1" t="s">
        <v>70</v>
      </c>
      <c r="D75" s="1">
        <f>-D42</f>
        <v>20</v>
      </c>
    </row>
    <row r="76" spans="2:7" x14ac:dyDescent="0.2">
      <c r="B76" s="1" t="s">
        <v>343</v>
      </c>
    </row>
    <row r="77" spans="2:7" ht="12.75" thickBot="1" x14ac:dyDescent="0.25">
      <c r="B77" s="1" t="s">
        <v>215</v>
      </c>
      <c r="D77" s="3"/>
    </row>
    <row r="78" spans="2:7" ht="12.75" thickTop="1" x14ac:dyDescent="0.2"/>
    <row r="80" spans="2:7" x14ac:dyDescent="0.2">
      <c r="B80" s="1" t="s">
        <v>117</v>
      </c>
    </row>
    <row r="81" spans="2:4" x14ac:dyDescent="0.2">
      <c r="B81" s="1" t="s">
        <v>218</v>
      </c>
      <c r="D81" s="23">
        <f>+E31</f>
        <v>100</v>
      </c>
    </row>
    <row r="82" spans="2:4" x14ac:dyDescent="0.2">
      <c r="B82" s="1" t="s">
        <v>344</v>
      </c>
      <c r="D82" s="1">
        <f>+D44</f>
        <v>-160</v>
      </c>
    </row>
    <row r="83" spans="2:4" x14ac:dyDescent="0.2">
      <c r="B83" s="1" t="s">
        <v>220</v>
      </c>
      <c r="D83" s="23">
        <f>+D31</f>
        <v>120</v>
      </c>
    </row>
    <row r="84" spans="2:4" ht="12.75" thickBot="1" x14ac:dyDescent="0.25">
      <c r="B84" s="1" t="s">
        <v>117</v>
      </c>
      <c r="D84" s="24">
        <f>+D83-D81+D82</f>
        <v>-140</v>
      </c>
    </row>
    <row r="85" spans="2:4" ht="12.75" thickTop="1" x14ac:dyDescent="0.2"/>
    <row r="86" spans="2:4" x14ac:dyDescent="0.2">
      <c r="B86" s="1" t="s">
        <v>221</v>
      </c>
    </row>
    <row r="87" spans="2:4" x14ac:dyDescent="0.2">
      <c r="B87" s="1" t="s">
        <v>151</v>
      </c>
      <c r="D87" s="23">
        <f>+E8</f>
        <v>2500</v>
      </c>
    </row>
    <row r="88" spans="2:4" x14ac:dyDescent="0.2">
      <c r="B88" s="1" t="s">
        <v>345</v>
      </c>
      <c r="D88" s="1">
        <v>-100</v>
      </c>
    </row>
    <row r="89" spans="2:4" x14ac:dyDescent="0.2">
      <c r="B89" s="1" t="s">
        <v>346</v>
      </c>
      <c r="D89" s="23">
        <f>+D8</f>
        <v>2700</v>
      </c>
    </row>
    <row r="90" spans="2:4" ht="12.75" thickBot="1" x14ac:dyDescent="0.25">
      <c r="B90" s="1" t="s">
        <v>221</v>
      </c>
      <c r="D90" s="24">
        <f>+D89-D87+D88</f>
        <v>100</v>
      </c>
    </row>
    <row r="91" spans="2:4" ht="12.75" thickTop="1" x14ac:dyDescent="0.2"/>
    <row r="92" spans="2:4" x14ac:dyDescent="0.2">
      <c r="B92" s="1" t="s">
        <v>225</v>
      </c>
      <c r="D92" s="1">
        <v>300</v>
      </c>
    </row>
    <row r="94" spans="2:4" x14ac:dyDescent="0.2">
      <c r="B94" s="1" t="s">
        <v>135</v>
      </c>
    </row>
    <row r="95" spans="2:4" x14ac:dyDescent="0.2">
      <c r="B95" s="1" t="s">
        <v>348</v>
      </c>
    </row>
    <row r="96" spans="2:4" x14ac:dyDescent="0.2">
      <c r="B96" s="1" t="s">
        <v>132</v>
      </c>
      <c r="D96" s="1">
        <f>+D41</f>
        <v>30</v>
      </c>
    </row>
    <row r="97" spans="2:5" x14ac:dyDescent="0.2">
      <c r="B97" s="1" t="s">
        <v>301</v>
      </c>
    </row>
    <row r="98" spans="2:5" x14ac:dyDescent="0.2">
      <c r="B98" s="1" t="s">
        <v>135</v>
      </c>
    </row>
    <row r="100" spans="2:5" x14ac:dyDescent="0.2">
      <c r="B100" s="1" t="s">
        <v>147</v>
      </c>
    </row>
    <row r="101" spans="2:5" x14ac:dyDescent="0.2">
      <c r="B101" s="1" t="s">
        <v>232</v>
      </c>
      <c r="D101" s="23">
        <f>+E22</f>
        <v>1410</v>
      </c>
    </row>
    <row r="102" spans="2:5" x14ac:dyDescent="0.2">
      <c r="B102" s="1" t="s">
        <v>305</v>
      </c>
      <c r="D102" s="1">
        <f>+D45</f>
        <v>210</v>
      </c>
    </row>
    <row r="103" spans="2:5" x14ac:dyDescent="0.2">
      <c r="B103" s="1" t="s">
        <v>349</v>
      </c>
    </row>
    <row r="104" spans="2:5" x14ac:dyDescent="0.2">
      <c r="B104" s="1" t="s">
        <v>350</v>
      </c>
      <c r="D104" s="23">
        <f>+D21</f>
        <v>10</v>
      </c>
    </row>
    <row r="105" spans="2:5" x14ac:dyDescent="0.2">
      <c r="B105" s="1" t="s">
        <v>307</v>
      </c>
      <c r="D105" s="23">
        <f>+D22</f>
        <v>1500</v>
      </c>
    </row>
    <row r="106" spans="2:5" ht="12.75" thickBot="1" x14ac:dyDescent="0.25">
      <c r="B106" s="1" t="s">
        <v>147</v>
      </c>
      <c r="D106" s="24">
        <f>+D101+D102+D104-D105</f>
        <v>130</v>
      </c>
    </row>
    <row r="107" spans="2:5" ht="12.75" thickTop="1" x14ac:dyDescent="0.2"/>
    <row r="108" spans="2:5" x14ac:dyDescent="0.2">
      <c r="B108" s="1" t="s">
        <v>351</v>
      </c>
    </row>
    <row r="109" spans="2:5" x14ac:dyDescent="0.2">
      <c r="B109" s="1" t="s">
        <v>182</v>
      </c>
      <c r="D109" s="23">
        <f>+E19+E20</f>
        <v>2000</v>
      </c>
    </row>
    <row r="110" spans="2:5" x14ac:dyDescent="0.2">
      <c r="B110" s="1" t="s">
        <v>349</v>
      </c>
      <c r="D110" s="1">
        <f>2.1*100-10</f>
        <v>200</v>
      </c>
      <c r="E110" s="1" t="str">
        <f ca="1">_xlfn.FORMULATEXT(D110)</f>
        <v>=2.1*100-10</v>
      </c>
    </row>
    <row r="111" spans="2:5" x14ac:dyDescent="0.2">
      <c r="B111" s="1" t="s">
        <v>184</v>
      </c>
      <c r="D111" s="23">
        <f>+D19+D20</f>
        <v>2200</v>
      </c>
    </row>
    <row r="112" spans="2:5" x14ac:dyDescent="0.2">
      <c r="B112" s="1" t="s">
        <v>351</v>
      </c>
      <c r="D112" s="23">
        <f>+D109+D110-D111</f>
        <v>0</v>
      </c>
    </row>
    <row r="114" spans="2:4" x14ac:dyDescent="0.2">
      <c r="B114" s="1" t="s">
        <v>229</v>
      </c>
    </row>
    <row r="115" spans="2:4" x14ac:dyDescent="0.2">
      <c r="B115" s="1" t="s">
        <v>230</v>
      </c>
      <c r="D115" s="23">
        <f>+E25</f>
        <v>150</v>
      </c>
    </row>
    <row r="116" spans="2:4" x14ac:dyDescent="0.2">
      <c r="B116" s="1" t="s">
        <v>352</v>
      </c>
      <c r="D116" s="1">
        <v>-20</v>
      </c>
    </row>
    <row r="117" spans="2:4" x14ac:dyDescent="0.2">
      <c r="B117" s="1" t="s">
        <v>353</v>
      </c>
      <c r="D117" s="23">
        <f>+D25</f>
        <v>200</v>
      </c>
    </row>
    <row r="118" spans="2:4" x14ac:dyDescent="0.2">
      <c r="B118" s="1" t="s">
        <v>229</v>
      </c>
      <c r="D118" s="23">
        <f>+D115+D116-D117</f>
        <v>-70</v>
      </c>
    </row>
    <row r="120" spans="2:4" x14ac:dyDescent="0.2">
      <c r="B120" s="1" t="s">
        <v>354</v>
      </c>
    </row>
    <row r="121" spans="2:4" x14ac:dyDescent="0.2">
      <c r="B121" s="1" t="s">
        <v>295</v>
      </c>
      <c r="D121" s="23">
        <f>+E9</f>
        <v>700</v>
      </c>
    </row>
    <row r="122" spans="2:4" x14ac:dyDescent="0.2">
      <c r="B122" s="1" t="s">
        <v>355</v>
      </c>
      <c r="D122" s="1">
        <v>10</v>
      </c>
    </row>
    <row r="123" spans="2:4" x14ac:dyDescent="0.2">
      <c r="B123" s="1" t="s">
        <v>297</v>
      </c>
      <c r="D123" s="23">
        <f>+D9</f>
        <v>610</v>
      </c>
    </row>
    <row r="124" spans="2:4" ht="12.75" thickBot="1" x14ac:dyDescent="0.25">
      <c r="B124" s="1" t="s">
        <v>354</v>
      </c>
      <c r="D124" s="24">
        <f>+D123-D121+D122</f>
        <v>-80</v>
      </c>
    </row>
    <row r="125" spans="2:4" ht="12.75" thickTop="1" x14ac:dyDescent="0.2"/>
  </sheetData>
  <hyperlinks>
    <hyperlink ref="A1" location="Main!A1" display="Main" xr:uid="{A645A812-301E-4316-93FD-B709D7B0AFAE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E864-97B6-4A56-A4A0-602CD858AC1E}">
  <sheetPr codeName="Sheet7"/>
  <dimension ref="A1:O262"/>
  <sheetViews>
    <sheetView workbookViewId="0">
      <selection activeCell="F17" sqref="E17:F17"/>
    </sheetView>
  </sheetViews>
  <sheetFormatPr defaultRowHeight="12" x14ac:dyDescent="0.2"/>
  <cols>
    <col min="1" max="16384" width="9.140625" style="1"/>
  </cols>
  <sheetData>
    <row r="1" spans="1:15" ht="15" x14ac:dyDescent="0.25">
      <c r="A1" s="2" t="s">
        <v>0</v>
      </c>
    </row>
    <row r="2" spans="1:15" ht="15.75" x14ac:dyDescent="0.25">
      <c r="A2" s="2"/>
      <c r="B2" s="29" t="s">
        <v>308</v>
      </c>
      <c r="C2" s="30"/>
      <c r="D2" s="30"/>
      <c r="E2" s="31"/>
      <c r="F2" s="31"/>
      <c r="G2" s="31"/>
      <c r="H2" s="32"/>
      <c r="I2" s="32"/>
      <c r="J2" s="26" t="s">
        <v>113</v>
      </c>
      <c r="K2" s="26" t="s">
        <v>129</v>
      </c>
      <c r="L2" s="31"/>
      <c r="M2" s="31"/>
      <c r="N2" s="31"/>
      <c r="O2" s="31"/>
    </row>
    <row r="3" spans="1:15" ht="15.75" x14ac:dyDescent="0.25">
      <c r="A3" s="2"/>
      <c r="B3" s="33" t="s">
        <v>309</v>
      </c>
      <c r="C3" s="30"/>
      <c r="D3" s="30"/>
      <c r="E3" s="31"/>
      <c r="F3" s="31"/>
      <c r="G3" s="31"/>
      <c r="H3" s="34" t="s">
        <v>337</v>
      </c>
      <c r="I3" s="32"/>
      <c r="J3" s="27" t="s">
        <v>148</v>
      </c>
      <c r="K3" s="27" t="s">
        <v>148</v>
      </c>
      <c r="L3" s="31"/>
      <c r="M3" s="31"/>
      <c r="N3" s="31"/>
      <c r="O3" s="31"/>
    </row>
    <row r="4" spans="1:15" ht="16.5" thickBot="1" x14ac:dyDescent="0.3">
      <c r="A4" s="2"/>
      <c r="B4" s="35" t="s">
        <v>422</v>
      </c>
      <c r="C4" s="30"/>
      <c r="D4" s="30"/>
      <c r="E4" s="31"/>
      <c r="F4" s="31"/>
      <c r="G4" s="31"/>
      <c r="H4" s="32" t="s">
        <v>363</v>
      </c>
      <c r="I4" s="32"/>
      <c r="J4" s="36">
        <v>950</v>
      </c>
      <c r="K4" s="36">
        <v>500</v>
      </c>
      <c r="L4" s="31"/>
      <c r="M4" s="31"/>
      <c r="N4" s="31"/>
      <c r="O4" s="31"/>
    </row>
    <row r="5" spans="1:15" ht="15.75" x14ac:dyDescent="0.25">
      <c r="A5" s="2"/>
      <c r="B5" s="37"/>
      <c r="C5" s="38" t="s">
        <v>148</v>
      </c>
      <c r="D5" s="38" t="s">
        <v>148</v>
      </c>
      <c r="E5" s="31"/>
      <c r="F5" s="31"/>
      <c r="G5" s="31"/>
      <c r="H5" s="32" t="s">
        <v>364</v>
      </c>
      <c r="I5" s="32"/>
      <c r="J5" s="36">
        <v>-750</v>
      </c>
      <c r="K5" s="36">
        <v>-400</v>
      </c>
      <c r="L5" s="31"/>
      <c r="M5" s="31"/>
      <c r="N5" s="31"/>
      <c r="O5" s="31"/>
    </row>
    <row r="6" spans="1:15" ht="16.5" thickBot="1" x14ac:dyDescent="0.3">
      <c r="A6" s="2"/>
      <c r="B6" s="33" t="s">
        <v>236</v>
      </c>
      <c r="C6" s="39"/>
      <c r="D6" s="39"/>
      <c r="E6" s="31"/>
      <c r="F6" s="31"/>
      <c r="G6" s="31"/>
      <c r="H6" s="32"/>
      <c r="I6" s="32"/>
      <c r="J6" s="40">
        <f>SUM(J4:J5)</f>
        <v>200</v>
      </c>
      <c r="K6" s="40">
        <f>SUM(K4:K5)</f>
        <v>100</v>
      </c>
      <c r="L6" s="31"/>
      <c r="M6" s="31"/>
      <c r="N6" s="31"/>
      <c r="O6" s="31"/>
    </row>
    <row r="7" spans="1:15" ht="15.75" thickTop="1" x14ac:dyDescent="0.25">
      <c r="A7" s="2"/>
      <c r="B7" s="37" t="s">
        <v>423</v>
      </c>
      <c r="C7" s="41">
        <f>'[1]Adjustments for cash flow'!C15</f>
        <v>1148</v>
      </c>
      <c r="D7" s="4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5" x14ac:dyDescent="0.25">
      <c r="A8" s="2"/>
      <c r="B8" s="37" t="s">
        <v>312</v>
      </c>
      <c r="C8" s="43"/>
      <c r="D8" s="42"/>
      <c r="E8" s="31"/>
      <c r="F8" s="31"/>
      <c r="G8" s="31"/>
      <c r="H8" s="34" t="s">
        <v>103</v>
      </c>
      <c r="I8" s="32"/>
      <c r="J8" s="32"/>
      <c r="K8" s="32"/>
      <c r="L8" s="32"/>
      <c r="M8" s="32"/>
      <c r="N8" s="31"/>
      <c r="O8" s="31"/>
    </row>
    <row r="9" spans="1:15" ht="15" x14ac:dyDescent="0.25">
      <c r="A9" s="2"/>
      <c r="B9" s="44" t="s">
        <v>313</v>
      </c>
      <c r="C9" s="45">
        <v>300</v>
      </c>
      <c r="D9" s="42"/>
      <c r="E9" s="31"/>
      <c r="F9" s="31"/>
      <c r="G9" s="31"/>
      <c r="H9" s="32"/>
      <c r="I9" s="32" t="s">
        <v>95</v>
      </c>
      <c r="J9" s="32" t="s">
        <v>365</v>
      </c>
      <c r="K9" s="32" t="s">
        <v>366</v>
      </c>
      <c r="L9" s="32" t="s">
        <v>367</v>
      </c>
      <c r="M9" s="32"/>
      <c r="N9" s="31"/>
      <c r="O9" s="31"/>
    </row>
    <row r="10" spans="1:15" ht="15" x14ac:dyDescent="0.25">
      <c r="A10" s="2"/>
      <c r="B10" s="44" t="s">
        <v>368</v>
      </c>
      <c r="C10" s="45"/>
      <c r="D10" s="42"/>
      <c r="E10" s="31"/>
      <c r="F10" s="31"/>
      <c r="G10" s="31"/>
      <c r="H10" s="32"/>
      <c r="I10" s="27" t="s">
        <v>148</v>
      </c>
      <c r="J10" s="27" t="s">
        <v>148</v>
      </c>
      <c r="K10" s="27" t="s">
        <v>148</v>
      </c>
      <c r="L10" s="27" t="s">
        <v>148</v>
      </c>
      <c r="M10" s="32"/>
      <c r="N10" s="31"/>
      <c r="O10" s="31"/>
    </row>
    <row r="11" spans="1:15" ht="15" x14ac:dyDescent="0.25">
      <c r="A11" s="2"/>
      <c r="B11" s="44" t="s">
        <v>314</v>
      </c>
      <c r="C11" s="45">
        <v>0</v>
      </c>
      <c r="D11" s="42"/>
      <c r="E11" s="31"/>
      <c r="F11" s="31"/>
      <c r="G11" s="31"/>
      <c r="H11" s="32" t="s">
        <v>290</v>
      </c>
      <c r="I11" s="46">
        <v>900</v>
      </c>
      <c r="J11" s="46">
        <v>540</v>
      </c>
      <c r="K11" s="46">
        <v>500</v>
      </c>
      <c r="L11" s="36"/>
      <c r="M11" s="32"/>
      <c r="N11" s="31"/>
      <c r="O11" s="31"/>
    </row>
    <row r="12" spans="1:15" ht="15" x14ac:dyDescent="0.25">
      <c r="A12" s="2"/>
      <c r="B12" s="44" t="s">
        <v>369</v>
      </c>
      <c r="C12" s="45"/>
      <c r="D12" s="42"/>
      <c r="E12" s="31"/>
      <c r="F12" s="31"/>
      <c r="G12" s="31"/>
      <c r="H12" s="32" t="s">
        <v>339</v>
      </c>
      <c r="I12" s="46"/>
      <c r="J12" s="46"/>
      <c r="K12" s="46"/>
      <c r="L12" s="36"/>
      <c r="M12" s="32"/>
      <c r="N12" s="31"/>
      <c r="O12" s="31"/>
    </row>
    <row r="13" spans="1:15" ht="15" x14ac:dyDescent="0.25">
      <c r="A13" s="2"/>
      <c r="B13" s="44" t="s">
        <v>370</v>
      </c>
      <c r="C13" s="45">
        <v>0</v>
      </c>
      <c r="D13" s="42"/>
      <c r="E13" s="31"/>
      <c r="F13" s="31"/>
      <c r="G13" s="31"/>
      <c r="H13" s="32" t="s">
        <v>340</v>
      </c>
      <c r="I13" s="46">
        <v>1000</v>
      </c>
      <c r="J13" s="46">
        <v>550</v>
      </c>
      <c r="K13" s="46">
        <v>450</v>
      </c>
      <c r="L13" s="36"/>
      <c r="M13" s="32"/>
      <c r="N13" s="31"/>
      <c r="O13" s="31"/>
    </row>
    <row r="14" spans="1:15" ht="15.75" thickBot="1" x14ac:dyDescent="0.3">
      <c r="A14" s="2"/>
      <c r="B14" s="44" t="s">
        <v>371</v>
      </c>
      <c r="C14" s="45"/>
      <c r="D14" s="42"/>
      <c r="E14" s="31"/>
      <c r="F14" s="31"/>
      <c r="G14" s="31"/>
      <c r="H14" s="32" t="s">
        <v>341</v>
      </c>
      <c r="I14" s="40">
        <f>I13-I11-I12</f>
        <v>100</v>
      </c>
      <c r="J14" s="40">
        <f>J13-J11-J12</f>
        <v>10</v>
      </c>
      <c r="K14" s="40">
        <f>K13-K11-K12</f>
        <v>-50</v>
      </c>
      <c r="L14" s="40">
        <f>L13-L11-L12</f>
        <v>0</v>
      </c>
      <c r="M14" s="32"/>
      <c r="N14" s="31"/>
      <c r="O14" s="31"/>
    </row>
    <row r="15" spans="1:15" ht="15.75" thickTop="1" x14ac:dyDescent="0.25">
      <c r="A15" s="2"/>
      <c r="B15" s="44" t="s">
        <v>373</v>
      </c>
      <c r="C15" s="45"/>
      <c r="D15" s="42"/>
      <c r="E15" s="31"/>
      <c r="F15" s="31"/>
      <c r="G15" s="31"/>
      <c r="H15" s="34" t="s">
        <v>372</v>
      </c>
      <c r="I15" s="47"/>
      <c r="J15" s="47"/>
      <c r="K15" s="48"/>
      <c r="L15" s="49">
        <f>-(I14+J14+K14+L14)</f>
        <v>-60</v>
      </c>
      <c r="M15" s="32"/>
      <c r="N15" s="31"/>
      <c r="O15" s="31"/>
    </row>
    <row r="16" spans="1:15" ht="15" x14ac:dyDescent="0.25">
      <c r="A16" s="2"/>
      <c r="B16" s="44" t="s">
        <v>374</v>
      </c>
      <c r="C16" s="45"/>
      <c r="D16" s="42"/>
      <c r="E16" s="31"/>
      <c r="F16" s="31"/>
      <c r="G16" s="31"/>
      <c r="H16" s="32"/>
      <c r="I16" s="32"/>
      <c r="J16" s="32"/>
      <c r="K16" s="32"/>
      <c r="L16" s="32"/>
      <c r="M16" s="32"/>
      <c r="N16" s="31"/>
      <c r="O16" s="31"/>
    </row>
    <row r="17" spans="1:15" ht="15" x14ac:dyDescent="0.25">
      <c r="A17" s="2"/>
      <c r="B17" s="44" t="s">
        <v>375</v>
      </c>
      <c r="C17" s="45"/>
      <c r="D17" s="42"/>
      <c r="E17" s="31"/>
      <c r="F17" s="31"/>
      <c r="G17" s="31"/>
      <c r="H17" s="32"/>
      <c r="I17" s="32"/>
      <c r="J17" s="32"/>
      <c r="K17" s="32"/>
      <c r="L17" s="32"/>
      <c r="M17" s="32"/>
      <c r="N17" s="31"/>
      <c r="O17" s="31"/>
    </row>
    <row r="18" spans="1:15" ht="15" x14ac:dyDescent="0.25">
      <c r="A18" s="2"/>
      <c r="B18" s="44" t="s">
        <v>132</v>
      </c>
      <c r="C18" s="45">
        <v>0</v>
      </c>
      <c r="D18" s="42"/>
      <c r="E18" s="31"/>
      <c r="F18" s="31"/>
      <c r="G18" s="31"/>
      <c r="H18" s="32" t="s">
        <v>376</v>
      </c>
      <c r="I18" s="32"/>
      <c r="J18" s="32"/>
      <c r="K18" s="32"/>
      <c r="L18" s="32"/>
      <c r="M18" s="32"/>
      <c r="N18" s="31"/>
      <c r="O18" s="31"/>
    </row>
    <row r="19" spans="1:15" ht="15" x14ac:dyDescent="0.25">
      <c r="A19" s="2"/>
      <c r="B19" s="44" t="s">
        <v>268</v>
      </c>
      <c r="C19" s="50">
        <v>245</v>
      </c>
      <c r="D19" s="42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ht="15" x14ac:dyDescent="0.25">
      <c r="A20" s="2"/>
      <c r="B20" s="44"/>
      <c r="C20" s="51">
        <f>SUM(C7:C19)</f>
        <v>1693</v>
      </c>
      <c r="D20" s="42"/>
      <c r="E20" s="31"/>
      <c r="F20" s="31"/>
      <c r="G20" s="31"/>
      <c r="H20" s="34" t="s">
        <v>215</v>
      </c>
      <c r="I20" s="32"/>
      <c r="J20" s="32"/>
      <c r="K20" s="52"/>
      <c r="L20" s="31"/>
      <c r="M20" s="31"/>
      <c r="N20" s="31"/>
      <c r="O20" s="31"/>
    </row>
    <row r="21" spans="1:15" ht="15" x14ac:dyDescent="0.25">
      <c r="A21" s="2"/>
      <c r="B21" s="44" t="str">
        <f>IF(C21&lt;0,"Increase in inventories","Decrease in inventories")</f>
        <v>Increase in inventories</v>
      </c>
      <c r="C21" s="53">
        <f>-I14</f>
        <v>-100</v>
      </c>
      <c r="D21" s="42"/>
      <c r="E21" s="31"/>
      <c r="F21" s="31"/>
      <c r="G21" s="31"/>
      <c r="H21" s="32" t="s">
        <v>377</v>
      </c>
      <c r="I21" s="32"/>
      <c r="J21" s="54"/>
      <c r="K21" s="46"/>
      <c r="L21" s="31" t="str">
        <f ca="1">IFERROR(_xlfn.FORMULATEXT(K21)," ")</f>
        <v xml:space="preserve"> </v>
      </c>
      <c r="M21" s="31"/>
      <c r="N21" s="31"/>
      <c r="O21" s="31"/>
    </row>
    <row r="22" spans="1:15" ht="15" x14ac:dyDescent="0.25">
      <c r="A22" s="2"/>
      <c r="B22" s="44" t="str">
        <f>IF(C22&lt;0,"Increase in trade and other receivables","Decrease in trade and other receivables")</f>
        <v>Increase in trade and other receivables</v>
      </c>
      <c r="C22" s="53">
        <f>-J14</f>
        <v>-10</v>
      </c>
      <c r="D22" s="42"/>
      <c r="E22" s="31"/>
      <c r="F22" s="31"/>
      <c r="G22" s="31"/>
      <c r="H22" s="32" t="s">
        <v>268</v>
      </c>
      <c r="I22" s="32"/>
      <c r="J22" s="54"/>
      <c r="K22" s="46">
        <v>0</v>
      </c>
      <c r="L22" s="31" t="str">
        <f t="shared" ref="L22:L79" ca="1" si="0">IFERROR(_xlfn.FORMULATEXT(K22)," ")</f>
        <v xml:space="preserve"> </v>
      </c>
      <c r="M22" s="31"/>
      <c r="N22" s="31"/>
      <c r="O22" s="31"/>
    </row>
    <row r="23" spans="1:15" ht="15" x14ac:dyDescent="0.25">
      <c r="A23" s="2"/>
      <c r="B23" s="44" t="str">
        <f>IF(C23&gt;0,"Increase in trade and other payables","Decrease in trade and other payables")</f>
        <v>Decrease in trade and other payables</v>
      </c>
      <c r="C23" s="41">
        <f>K14</f>
        <v>-50</v>
      </c>
      <c r="D23" s="42"/>
      <c r="E23" s="31"/>
      <c r="F23" s="31"/>
      <c r="G23" s="31"/>
      <c r="H23" s="32" t="s">
        <v>378</v>
      </c>
      <c r="I23" s="32"/>
      <c r="J23" s="54"/>
      <c r="K23" s="46">
        <v>0</v>
      </c>
      <c r="L23" s="31" t="str">
        <f t="shared" ca="1" si="0"/>
        <v xml:space="preserve"> </v>
      </c>
      <c r="M23" s="31"/>
      <c r="N23" s="31"/>
      <c r="O23" s="31"/>
    </row>
    <row r="24" spans="1:15" ht="15" x14ac:dyDescent="0.25">
      <c r="A24" s="2"/>
      <c r="B24" s="44" t="str">
        <f>IF(C24&gt;0,"Increase in provisions","Decrease in provisions")</f>
        <v>Decrease in provisions</v>
      </c>
      <c r="C24" s="41">
        <f>L14</f>
        <v>0</v>
      </c>
      <c r="D24" s="42"/>
      <c r="E24" s="31"/>
      <c r="F24" s="31"/>
      <c r="G24" s="31"/>
      <c r="H24" s="32" t="s">
        <v>362</v>
      </c>
      <c r="I24" s="32"/>
      <c r="J24" s="54"/>
      <c r="K24" s="46">
        <f>10%*1250</f>
        <v>125</v>
      </c>
      <c r="L24" s="31"/>
      <c r="M24" s="31"/>
      <c r="N24" s="31"/>
      <c r="O24" s="31"/>
    </row>
    <row r="25" spans="1:15" ht="15" x14ac:dyDescent="0.25">
      <c r="A25" s="2"/>
      <c r="B25" s="37" t="s">
        <v>80</v>
      </c>
      <c r="C25" s="55">
        <f>SUM(C20:C24)</f>
        <v>1533</v>
      </c>
      <c r="D25" s="42"/>
      <c r="E25" s="31"/>
      <c r="F25" s="31"/>
      <c r="G25" s="31"/>
      <c r="H25" s="32" t="s">
        <v>379</v>
      </c>
      <c r="I25" s="32"/>
      <c r="J25" s="54"/>
      <c r="K25" s="46">
        <v>120</v>
      </c>
      <c r="L25" s="31"/>
      <c r="M25" s="31"/>
      <c r="N25" s="31"/>
      <c r="O25" s="31"/>
    </row>
    <row r="26" spans="1:15" ht="15" x14ac:dyDescent="0.25">
      <c r="A26" s="2"/>
      <c r="B26" s="37" t="s">
        <v>215</v>
      </c>
      <c r="C26" s="41">
        <f>-K29</f>
        <v>-245</v>
      </c>
      <c r="D26" s="42"/>
      <c r="E26" s="31"/>
      <c r="F26" s="31"/>
      <c r="G26" s="31"/>
      <c r="H26" s="32" t="s">
        <v>380</v>
      </c>
      <c r="I26" s="32"/>
      <c r="J26" s="54"/>
      <c r="K26" s="46"/>
      <c r="L26" s="31" t="str">
        <f t="shared" ca="1" si="0"/>
        <v xml:space="preserve"> </v>
      </c>
      <c r="M26" s="31"/>
      <c r="N26" s="31"/>
      <c r="O26" s="31"/>
    </row>
    <row r="27" spans="1:15" ht="15" x14ac:dyDescent="0.25">
      <c r="A27" s="2"/>
      <c r="B27" s="37" t="s">
        <v>117</v>
      </c>
      <c r="C27" s="56">
        <f>-K38</f>
        <v>0</v>
      </c>
      <c r="D27" s="42"/>
      <c r="E27" s="31"/>
      <c r="F27" s="31"/>
      <c r="G27" s="31"/>
      <c r="H27" s="32"/>
      <c r="I27" s="32"/>
      <c r="J27" s="54"/>
      <c r="K27" s="57">
        <f>K21+K22-K26+K23+K24+K25</f>
        <v>245</v>
      </c>
      <c r="L27" s="31"/>
      <c r="M27" s="31"/>
      <c r="N27" s="31"/>
      <c r="O27" s="31"/>
    </row>
    <row r="28" spans="1:15" ht="15" x14ac:dyDescent="0.25">
      <c r="A28" s="2"/>
      <c r="B28" s="58" t="s">
        <v>424</v>
      </c>
      <c r="C28" s="59"/>
      <c r="D28" s="60">
        <f>SUM(C25:C27)</f>
        <v>1288</v>
      </c>
      <c r="E28" s="31"/>
      <c r="F28" s="31"/>
      <c r="G28" s="31"/>
      <c r="H28" s="32" t="s">
        <v>288</v>
      </c>
      <c r="I28" s="32"/>
      <c r="J28" s="54"/>
      <c r="K28" s="46">
        <v>0</v>
      </c>
      <c r="L28" s="31" t="str">
        <f t="shared" ca="1" si="0"/>
        <v xml:space="preserve"> </v>
      </c>
      <c r="M28" s="31"/>
      <c r="N28" s="31"/>
      <c r="O28" s="31"/>
    </row>
    <row r="29" spans="1:15" ht="15.75" thickBot="1" x14ac:dyDescent="0.3">
      <c r="A29" s="2"/>
      <c r="B29" s="37"/>
      <c r="C29" s="42"/>
      <c r="D29" s="42"/>
      <c r="E29" s="31"/>
      <c r="F29" s="31"/>
      <c r="G29" s="31"/>
      <c r="H29" s="32" t="s">
        <v>215</v>
      </c>
      <c r="I29" s="32"/>
      <c r="J29" s="54"/>
      <c r="K29" s="61">
        <f>K27-K28</f>
        <v>245</v>
      </c>
      <c r="L29" s="31"/>
      <c r="M29" s="31"/>
      <c r="N29" s="31"/>
      <c r="O29" s="31"/>
    </row>
    <row r="30" spans="1:15" ht="16.5" thickTop="1" x14ac:dyDescent="0.25">
      <c r="A30" s="2"/>
      <c r="B30" s="33" t="s">
        <v>318</v>
      </c>
      <c r="C30" s="42"/>
      <c r="D30" s="42"/>
      <c r="E30" s="31"/>
      <c r="F30" s="31"/>
      <c r="G30" s="31"/>
      <c r="H30" s="32"/>
      <c r="I30" s="32"/>
      <c r="J30" s="54"/>
      <c r="K30" s="54"/>
      <c r="L30" s="31" t="str">
        <f t="shared" ca="1" si="0"/>
        <v xml:space="preserve"> </v>
      </c>
      <c r="M30" s="31"/>
      <c r="N30" s="31"/>
      <c r="O30" s="31"/>
    </row>
    <row r="31" spans="1:15" ht="15" x14ac:dyDescent="0.25">
      <c r="A31" s="2"/>
      <c r="B31" s="37" t="s">
        <v>381</v>
      </c>
      <c r="C31" s="41"/>
      <c r="D31" s="42"/>
      <c r="E31" s="31"/>
      <c r="F31" s="31"/>
      <c r="G31" s="31"/>
      <c r="H31" s="34" t="s">
        <v>117</v>
      </c>
      <c r="I31" s="32"/>
      <c r="J31" s="54"/>
      <c r="K31" s="54"/>
      <c r="L31" s="31" t="str">
        <f t="shared" ca="1" si="0"/>
        <v xml:space="preserve"> </v>
      </c>
      <c r="M31" s="31"/>
      <c r="N31" s="31"/>
      <c r="O31" s="31"/>
    </row>
    <row r="32" spans="1:15" ht="15" x14ac:dyDescent="0.25">
      <c r="A32" s="2"/>
      <c r="B32" s="37" t="s">
        <v>382</v>
      </c>
      <c r="C32" s="41"/>
      <c r="D32" s="42"/>
      <c r="E32" s="31"/>
      <c r="F32" s="31"/>
      <c r="G32" s="31"/>
      <c r="H32" s="32" t="s">
        <v>218</v>
      </c>
      <c r="I32" s="32"/>
      <c r="J32" s="46">
        <v>0</v>
      </c>
      <c r="K32" s="62"/>
      <c r="L32" s="31" t="str">
        <f t="shared" ca="1" si="0"/>
        <v xml:space="preserve"> </v>
      </c>
      <c r="M32" s="31"/>
      <c r="N32" s="31"/>
      <c r="O32" s="31"/>
    </row>
    <row r="33" spans="1:15" ht="15" x14ac:dyDescent="0.25">
      <c r="A33" s="2"/>
      <c r="B33" s="37" t="s">
        <v>319</v>
      </c>
      <c r="C33" s="41">
        <f>-K48</f>
        <v>-2099.6999999999998</v>
      </c>
      <c r="D33" s="42"/>
      <c r="E33" s="31"/>
      <c r="F33" s="31"/>
      <c r="G33" s="31"/>
      <c r="H33" s="32" t="s">
        <v>383</v>
      </c>
      <c r="I33" s="32"/>
      <c r="J33" s="46">
        <v>0</v>
      </c>
      <c r="K33" s="62">
        <f>J33+J32</f>
        <v>0</v>
      </c>
      <c r="L33" s="31"/>
      <c r="M33" s="31"/>
      <c r="N33" s="31"/>
      <c r="O33" s="31"/>
    </row>
    <row r="34" spans="1:15" ht="15" x14ac:dyDescent="0.25">
      <c r="A34" s="2"/>
      <c r="B34" s="37" t="s">
        <v>320</v>
      </c>
      <c r="C34" s="41">
        <f>K53</f>
        <v>0</v>
      </c>
      <c r="D34" s="42"/>
      <c r="E34" s="31"/>
      <c r="F34" s="31"/>
      <c r="G34" s="31"/>
      <c r="H34" s="32" t="s">
        <v>344</v>
      </c>
      <c r="I34" s="32"/>
      <c r="J34" s="62"/>
      <c r="K34" s="46">
        <v>0</v>
      </c>
      <c r="L34" s="31" t="str">
        <f t="shared" ca="1" si="0"/>
        <v xml:space="preserve"> </v>
      </c>
      <c r="M34" s="31"/>
      <c r="N34" s="31"/>
      <c r="O34" s="31"/>
    </row>
    <row r="35" spans="1:15" ht="15" x14ac:dyDescent="0.25">
      <c r="A35" s="2"/>
      <c r="B35" s="37" t="s">
        <v>321</v>
      </c>
      <c r="C35" s="41">
        <f>-K94</f>
        <v>-90</v>
      </c>
      <c r="D35" s="42"/>
      <c r="E35" s="31"/>
      <c r="F35" s="31"/>
      <c r="G35" s="31"/>
      <c r="H35" s="32"/>
      <c r="I35" s="32"/>
      <c r="J35" s="62"/>
      <c r="K35" s="62">
        <f>K33+K34</f>
        <v>0</v>
      </c>
      <c r="L35" s="31"/>
      <c r="M35" s="31"/>
      <c r="N35" s="31"/>
      <c r="O35" s="31"/>
    </row>
    <row r="36" spans="1:15" ht="15" x14ac:dyDescent="0.25">
      <c r="A36" s="2"/>
      <c r="B36" s="37" t="s">
        <v>384</v>
      </c>
      <c r="C36" s="41"/>
      <c r="D36" s="42"/>
      <c r="E36" s="31"/>
      <c r="F36" s="31"/>
      <c r="G36" s="31"/>
      <c r="H36" s="32" t="s">
        <v>220</v>
      </c>
      <c r="I36" s="32"/>
      <c r="J36" s="46">
        <v>0</v>
      </c>
      <c r="K36" s="62"/>
      <c r="L36" s="31" t="str">
        <f t="shared" ca="1" si="0"/>
        <v xml:space="preserve"> </v>
      </c>
      <c r="M36" s="31"/>
      <c r="N36" s="31"/>
      <c r="O36" s="31"/>
    </row>
    <row r="37" spans="1:15" ht="15" x14ac:dyDescent="0.25">
      <c r="A37" s="2"/>
      <c r="B37" s="37" t="s">
        <v>135</v>
      </c>
      <c r="C37" s="41">
        <f>K63</f>
        <v>0</v>
      </c>
      <c r="D37" s="42"/>
      <c r="E37" s="31"/>
      <c r="F37" s="31"/>
      <c r="G37" s="31"/>
      <c r="H37" s="32" t="s">
        <v>385</v>
      </c>
      <c r="I37" s="32"/>
      <c r="J37" s="46"/>
      <c r="K37" s="62">
        <f>J37+J36</f>
        <v>0</v>
      </c>
      <c r="L37" s="31"/>
      <c r="M37" s="31"/>
      <c r="N37" s="31"/>
      <c r="O37" s="31"/>
    </row>
    <row r="38" spans="1:15" ht="15.75" thickBot="1" x14ac:dyDescent="0.3">
      <c r="A38" s="2"/>
      <c r="B38" s="37" t="s">
        <v>386</v>
      </c>
      <c r="C38" s="56">
        <f>K74</f>
        <v>0</v>
      </c>
      <c r="D38" s="42"/>
      <c r="E38" s="31"/>
      <c r="F38" s="31"/>
      <c r="G38" s="31"/>
      <c r="H38" s="32" t="s">
        <v>117</v>
      </c>
      <c r="I38" s="32"/>
      <c r="J38" s="62"/>
      <c r="K38" s="61">
        <f>K35-K37</f>
        <v>0</v>
      </c>
      <c r="L38" s="31"/>
      <c r="M38" s="31"/>
      <c r="N38" s="31"/>
      <c r="O38" s="31"/>
    </row>
    <row r="39" spans="1:15" ht="15.75" thickTop="1" x14ac:dyDescent="0.25">
      <c r="A39" s="2"/>
      <c r="B39" s="58" t="s">
        <v>425</v>
      </c>
      <c r="C39" s="59"/>
      <c r="D39" s="60">
        <f>SUM(C31:C38)</f>
        <v>-2189.6999999999998</v>
      </c>
      <c r="E39" s="31"/>
      <c r="F39" s="31"/>
      <c r="G39" s="31"/>
      <c r="H39" s="32"/>
      <c r="I39" s="32"/>
      <c r="J39" s="54"/>
      <c r="K39" s="54"/>
      <c r="L39" s="31" t="str">
        <f t="shared" ca="1" si="0"/>
        <v xml:space="preserve"> </v>
      </c>
      <c r="M39" s="31"/>
      <c r="N39" s="31"/>
      <c r="O39" s="31"/>
    </row>
    <row r="40" spans="1:15" ht="15" x14ac:dyDescent="0.25">
      <c r="A40" s="2"/>
      <c r="B40" s="37"/>
      <c r="C40" s="42"/>
      <c r="D40" s="42"/>
      <c r="E40" s="31"/>
      <c r="F40" s="31"/>
      <c r="G40" s="31"/>
      <c r="H40" s="34" t="s">
        <v>221</v>
      </c>
      <c r="I40" s="32"/>
      <c r="J40" s="54"/>
      <c r="K40" s="54"/>
      <c r="L40" s="31" t="str">
        <f t="shared" ca="1" si="0"/>
        <v xml:space="preserve"> </v>
      </c>
      <c r="M40" s="31"/>
      <c r="N40" s="31"/>
      <c r="O40" s="31"/>
    </row>
    <row r="41" spans="1:15" ht="15.75" x14ac:dyDescent="0.25">
      <c r="A41" s="2"/>
      <c r="B41" s="33" t="s">
        <v>199</v>
      </c>
      <c r="C41" s="42"/>
      <c r="D41" s="42"/>
      <c r="E41" s="31"/>
      <c r="F41" s="31"/>
      <c r="G41" s="31"/>
      <c r="H41" s="32" t="s">
        <v>151</v>
      </c>
      <c r="I41" s="32"/>
      <c r="J41" s="54"/>
      <c r="K41" s="46">
        <v>3000</v>
      </c>
      <c r="L41" s="31" t="str">
        <f t="shared" ca="1" si="0"/>
        <v xml:space="preserve"> </v>
      </c>
      <c r="M41" s="31"/>
      <c r="N41" s="31"/>
      <c r="O41" s="31"/>
    </row>
    <row r="42" spans="1:15" ht="15" x14ac:dyDescent="0.25">
      <c r="A42" s="2"/>
      <c r="B42" s="37" t="s">
        <v>181</v>
      </c>
      <c r="C42" s="41">
        <f>K80</f>
        <v>350</v>
      </c>
      <c r="D42" s="42"/>
      <c r="E42" s="31"/>
      <c r="F42" s="31"/>
      <c r="G42" s="31"/>
      <c r="H42" s="32" t="s">
        <v>387</v>
      </c>
      <c r="I42" s="32"/>
      <c r="J42" s="54"/>
      <c r="K42" s="46">
        <f>120.3+25</f>
        <v>145.30000000000001</v>
      </c>
      <c r="L42" s="31" t="str">
        <f t="shared" ca="1" si="0"/>
        <v>=120.3+25</v>
      </c>
      <c r="M42" s="31"/>
      <c r="N42" s="31"/>
      <c r="O42" s="31"/>
    </row>
    <row r="43" spans="1:15" ht="15" x14ac:dyDescent="0.25">
      <c r="A43" s="2"/>
      <c r="B43" s="37" t="s">
        <v>389</v>
      </c>
      <c r="C43" s="41"/>
      <c r="D43" s="42"/>
      <c r="E43" s="31"/>
      <c r="F43" s="31"/>
      <c r="G43" s="31"/>
      <c r="H43" s="32" t="s">
        <v>388</v>
      </c>
      <c r="I43" s="32"/>
      <c r="J43" s="54"/>
      <c r="K43" s="46">
        <v>300</v>
      </c>
      <c r="L43" s="31" t="str">
        <f t="shared" ca="1" si="0"/>
        <v xml:space="preserve"> </v>
      </c>
      <c r="M43" s="31"/>
      <c r="N43" s="31"/>
      <c r="O43" s="31"/>
    </row>
    <row r="44" spans="1:15" ht="15" x14ac:dyDescent="0.25">
      <c r="A44" s="2"/>
      <c r="B44" s="37" t="s">
        <v>391</v>
      </c>
      <c r="C44" s="41">
        <f>+K85</f>
        <v>250</v>
      </c>
      <c r="D44" s="42"/>
      <c r="E44" s="31"/>
      <c r="F44" s="31"/>
      <c r="G44" s="31"/>
      <c r="H44" s="32" t="s">
        <v>390</v>
      </c>
      <c r="I44" s="32"/>
      <c r="J44" s="54"/>
      <c r="K44" s="46">
        <v>0</v>
      </c>
      <c r="L44" s="31" t="str">
        <f t="shared" ca="1" si="0"/>
        <v xml:space="preserve"> </v>
      </c>
      <c r="M44" s="31"/>
      <c r="N44" s="31"/>
      <c r="O44" s="31"/>
    </row>
    <row r="45" spans="1:15" ht="15" x14ac:dyDescent="0.25">
      <c r="A45" s="2"/>
      <c r="B45" s="37" t="s">
        <v>194</v>
      </c>
      <c r="C45" s="41">
        <f>K87</f>
        <v>450</v>
      </c>
      <c r="D45" s="42"/>
      <c r="E45" s="31"/>
      <c r="F45" s="31"/>
      <c r="G45" s="31"/>
      <c r="H45" s="32" t="s">
        <v>392</v>
      </c>
      <c r="I45" s="32"/>
      <c r="J45" s="54"/>
      <c r="K45" s="46">
        <v>55</v>
      </c>
      <c r="L45" s="31" t="str">
        <f t="shared" ca="1" si="0"/>
        <v xml:space="preserve"> </v>
      </c>
      <c r="M45" s="31"/>
      <c r="N45" s="31"/>
      <c r="O45" s="31"/>
    </row>
    <row r="46" spans="1:15" ht="15" x14ac:dyDescent="0.25">
      <c r="A46" s="2"/>
      <c r="B46" s="37" t="s">
        <v>323</v>
      </c>
      <c r="C46" s="41">
        <f>-K112</f>
        <v>0</v>
      </c>
      <c r="D46" s="42"/>
      <c r="E46" s="31"/>
      <c r="F46" s="31"/>
      <c r="G46" s="31"/>
      <c r="H46" s="32"/>
      <c r="I46" s="32"/>
      <c r="J46" s="54"/>
      <c r="K46" s="57">
        <f>K41-K43+K42-K44+K45</f>
        <v>2900.3</v>
      </c>
      <c r="L46" s="31"/>
      <c r="M46" s="31"/>
      <c r="N46" s="31"/>
      <c r="O46" s="31"/>
    </row>
    <row r="47" spans="1:15" ht="15" x14ac:dyDescent="0.25">
      <c r="A47" s="2"/>
      <c r="B47" s="37" t="s">
        <v>393</v>
      </c>
      <c r="C47" s="41">
        <f>-K120</f>
        <v>0</v>
      </c>
      <c r="D47" s="42"/>
      <c r="E47" s="31"/>
      <c r="F47" s="31"/>
      <c r="G47" s="31"/>
      <c r="H47" s="32" t="s">
        <v>156</v>
      </c>
      <c r="I47" s="32"/>
      <c r="J47" s="54"/>
      <c r="K47" s="46">
        <v>5000</v>
      </c>
      <c r="L47" s="31"/>
      <c r="M47" s="31"/>
      <c r="N47" s="31"/>
      <c r="O47" s="31"/>
    </row>
    <row r="48" spans="1:15" ht="15.75" thickBot="1" x14ac:dyDescent="0.3">
      <c r="A48" s="2"/>
      <c r="B48" s="37" t="s">
        <v>394</v>
      </c>
      <c r="C48" s="41"/>
      <c r="D48" s="42"/>
      <c r="E48" s="31"/>
      <c r="F48" s="31"/>
      <c r="G48" s="31"/>
      <c r="H48" s="32" t="s">
        <v>221</v>
      </c>
      <c r="I48" s="32"/>
      <c r="J48" s="54"/>
      <c r="K48" s="63">
        <f>K47-K46</f>
        <v>2099.6999999999998</v>
      </c>
      <c r="L48" s="31"/>
      <c r="M48" s="31"/>
      <c r="N48" s="31"/>
      <c r="O48" s="31"/>
    </row>
    <row r="49" spans="1:15" ht="15.75" thickTop="1" x14ac:dyDescent="0.25">
      <c r="A49" s="2"/>
      <c r="B49" s="37" t="s">
        <v>395</v>
      </c>
      <c r="C49" s="41"/>
      <c r="D49" s="42"/>
      <c r="E49" s="31"/>
      <c r="F49" s="31"/>
      <c r="G49" s="31"/>
      <c r="H49" s="32"/>
      <c r="I49" s="32"/>
      <c r="J49" s="54"/>
      <c r="K49" s="54"/>
      <c r="L49" s="31" t="str">
        <f t="shared" ca="1" si="0"/>
        <v xml:space="preserve"> </v>
      </c>
      <c r="M49" s="31"/>
      <c r="N49" s="31"/>
      <c r="O49" s="31"/>
    </row>
    <row r="50" spans="1:15" ht="15" x14ac:dyDescent="0.25">
      <c r="A50" s="2"/>
      <c r="B50" s="37" t="s">
        <v>147</v>
      </c>
      <c r="C50" s="56">
        <f>-K72</f>
        <v>-48</v>
      </c>
      <c r="D50" s="42"/>
      <c r="E50" s="31"/>
      <c r="F50" s="31"/>
      <c r="G50" s="31"/>
      <c r="H50" s="34" t="s">
        <v>225</v>
      </c>
      <c r="I50" s="64"/>
      <c r="J50" s="65"/>
      <c r="K50" s="65"/>
      <c r="L50" s="31" t="str">
        <f t="shared" ca="1" si="0"/>
        <v xml:space="preserve"> </v>
      </c>
      <c r="M50" s="31"/>
      <c r="N50" s="31"/>
      <c r="O50" s="31"/>
    </row>
    <row r="51" spans="1:15" ht="15" x14ac:dyDescent="0.25">
      <c r="A51" s="2"/>
      <c r="B51" s="58" t="s">
        <v>426</v>
      </c>
      <c r="C51" s="59"/>
      <c r="D51" s="66">
        <f>SUM(C42:C50)</f>
        <v>1002</v>
      </c>
      <c r="E51" s="31"/>
      <c r="F51" s="31"/>
      <c r="G51" s="31"/>
      <c r="H51" s="32" t="s">
        <v>226</v>
      </c>
      <c r="I51" s="64"/>
      <c r="J51" s="65"/>
      <c r="K51" s="67">
        <v>0</v>
      </c>
      <c r="L51" s="31" t="str">
        <f t="shared" ca="1" si="0"/>
        <v xml:space="preserve"> </v>
      </c>
      <c r="M51" s="31"/>
      <c r="N51" s="31"/>
      <c r="O51" s="31"/>
    </row>
    <row r="52" spans="1:15" ht="15" x14ac:dyDescent="0.25">
      <c r="A52" s="2"/>
      <c r="B52" s="37"/>
      <c r="C52" s="42"/>
      <c r="D52" s="59"/>
      <c r="E52" s="31"/>
      <c r="F52" s="31"/>
      <c r="G52" s="31"/>
      <c r="H52" s="32" t="s">
        <v>347</v>
      </c>
      <c r="I52" s="64"/>
      <c r="J52" s="65"/>
      <c r="K52" s="67"/>
      <c r="L52" s="31" t="str">
        <f t="shared" ca="1" si="0"/>
        <v xml:space="preserve"> </v>
      </c>
      <c r="M52" s="31"/>
      <c r="N52" s="31"/>
      <c r="O52" s="31"/>
    </row>
    <row r="53" spans="1:15" ht="16.5" thickBot="1" x14ac:dyDescent="0.3">
      <c r="A53" s="2"/>
      <c r="B53" s="33" t="s">
        <v>324</v>
      </c>
      <c r="C53" s="42"/>
      <c r="D53" s="60">
        <f>SUM(D28,D39,D51)</f>
        <v>100.30000000000018</v>
      </c>
      <c r="E53" s="31"/>
      <c r="F53" s="31"/>
      <c r="G53" s="31"/>
      <c r="H53" s="32" t="s">
        <v>225</v>
      </c>
      <c r="I53" s="64"/>
      <c r="J53" s="65"/>
      <c r="K53" s="63">
        <f>K51-K52</f>
        <v>0</v>
      </c>
      <c r="L53" s="31"/>
      <c r="M53" s="31"/>
      <c r="N53" s="31"/>
      <c r="O53" s="31"/>
    </row>
    <row r="54" spans="1:15" ht="16.5" thickTop="1" x14ac:dyDescent="0.25">
      <c r="A54" s="2"/>
      <c r="B54" s="68" t="s">
        <v>427</v>
      </c>
      <c r="C54" s="42"/>
      <c r="D54" s="56">
        <f>K6</f>
        <v>100</v>
      </c>
      <c r="E54" s="31"/>
      <c r="F54" s="31"/>
      <c r="G54" s="31"/>
      <c r="H54" s="64"/>
      <c r="I54" s="64"/>
      <c r="J54" s="65"/>
      <c r="K54" s="65"/>
      <c r="L54" s="31" t="str">
        <f t="shared" ca="1" si="0"/>
        <v xml:space="preserve"> </v>
      </c>
      <c r="M54" s="31"/>
      <c r="N54" s="31"/>
      <c r="O54" s="31"/>
    </row>
    <row r="55" spans="1:15" ht="16.5" thickBot="1" x14ac:dyDescent="0.3">
      <c r="A55" s="2"/>
      <c r="B55" s="33" t="s">
        <v>428</v>
      </c>
      <c r="C55" s="42"/>
      <c r="D55" s="69">
        <f>J6</f>
        <v>200</v>
      </c>
      <c r="E55" s="31"/>
      <c r="F55" s="31"/>
      <c r="G55" s="31"/>
      <c r="H55" s="64"/>
      <c r="I55" s="64"/>
      <c r="J55" s="65"/>
      <c r="K55" s="65"/>
      <c r="L55" s="31" t="str">
        <f t="shared" ca="1" si="0"/>
        <v xml:space="preserve"> </v>
      </c>
      <c r="M55" s="31"/>
      <c r="N55" s="31"/>
      <c r="O55" s="31"/>
    </row>
    <row r="56" spans="1:15" ht="15" x14ac:dyDescent="0.25">
      <c r="A56" s="2"/>
      <c r="B56" s="31"/>
      <c r="C56" s="70"/>
      <c r="D56" s="70"/>
      <c r="E56" s="31"/>
      <c r="F56" s="31"/>
      <c r="G56" s="31"/>
      <c r="H56" s="34" t="s">
        <v>135</v>
      </c>
      <c r="I56" s="32"/>
      <c r="J56" s="54"/>
      <c r="K56" s="54"/>
      <c r="L56" s="31" t="str">
        <f t="shared" ca="1" si="0"/>
        <v xml:space="preserve"> </v>
      </c>
      <c r="M56" s="31"/>
      <c r="N56" s="31"/>
      <c r="O56" s="31"/>
    </row>
    <row r="57" spans="1:15" ht="15" x14ac:dyDescent="0.25">
      <c r="A57" s="2"/>
      <c r="B57" s="31"/>
      <c r="C57" s="71">
        <f>D55-(SUM(D53:D54))</f>
        <v>-0.3000000000001819</v>
      </c>
      <c r="D57" s="72"/>
      <c r="E57" s="31"/>
      <c r="F57" s="31"/>
      <c r="G57" s="31"/>
      <c r="H57" s="32" t="s">
        <v>300</v>
      </c>
      <c r="I57" s="32"/>
      <c r="J57" s="54"/>
      <c r="K57" s="36">
        <v>0</v>
      </c>
      <c r="L57" s="31" t="str">
        <f t="shared" ca="1" si="0"/>
        <v xml:space="preserve"> </v>
      </c>
      <c r="M57" s="31"/>
      <c r="N57" s="31"/>
      <c r="O57" s="31"/>
    </row>
    <row r="58" spans="1:15" ht="15" x14ac:dyDescent="0.25">
      <c r="A58" s="2"/>
      <c r="B58" s="31"/>
      <c r="C58" s="70"/>
      <c r="D58" s="70"/>
      <c r="E58" s="31"/>
      <c r="F58" s="31"/>
      <c r="G58" s="31"/>
      <c r="H58" s="32" t="s">
        <v>132</v>
      </c>
      <c r="I58" s="32"/>
      <c r="J58" s="54"/>
      <c r="K58" s="46">
        <v>0</v>
      </c>
      <c r="L58" s="31" t="str">
        <f t="shared" ca="1" si="0"/>
        <v xml:space="preserve"> </v>
      </c>
      <c r="M58" s="31"/>
      <c r="N58" s="31"/>
      <c r="O58" s="31"/>
    </row>
    <row r="59" spans="1:15" ht="15" x14ac:dyDescent="0.25">
      <c r="A59" s="2"/>
      <c r="B59" s="31"/>
      <c r="C59" s="70"/>
      <c r="D59" s="70"/>
      <c r="E59" s="31"/>
      <c r="F59" s="31"/>
      <c r="G59" s="31"/>
      <c r="H59" s="32" t="s">
        <v>396</v>
      </c>
      <c r="I59" s="32"/>
      <c r="J59" s="54"/>
      <c r="K59" s="46"/>
      <c r="L59" s="31" t="str">
        <f t="shared" ca="1" si="0"/>
        <v xml:space="preserve"> </v>
      </c>
      <c r="M59" s="31"/>
      <c r="N59" s="31"/>
      <c r="O59" s="31"/>
    </row>
    <row r="60" spans="1:15" ht="15" x14ac:dyDescent="0.25">
      <c r="A60" s="2"/>
      <c r="B60" s="31"/>
      <c r="C60" s="70"/>
      <c r="D60" s="70"/>
      <c r="E60" s="31"/>
      <c r="F60" s="31"/>
      <c r="G60" s="31"/>
      <c r="H60" s="32" t="s">
        <v>397</v>
      </c>
      <c r="I60" s="32"/>
      <c r="J60" s="54"/>
      <c r="K60" s="46"/>
      <c r="L60" s="31" t="str">
        <f t="shared" ca="1" si="0"/>
        <v xml:space="preserve"> </v>
      </c>
      <c r="M60" s="31"/>
      <c r="N60" s="31"/>
      <c r="O60" s="31"/>
    </row>
    <row r="61" spans="1:15" ht="15" x14ac:dyDescent="0.25">
      <c r="A61" s="2"/>
      <c r="B61" s="31"/>
      <c r="C61" s="70"/>
      <c r="D61" s="70"/>
      <c r="E61" s="31"/>
      <c r="F61" s="31"/>
      <c r="G61" s="31"/>
      <c r="H61" s="32"/>
      <c r="I61" s="32"/>
      <c r="J61" s="54"/>
      <c r="K61" s="73">
        <f>K57+K58+K60-K59</f>
        <v>0</v>
      </c>
      <c r="L61" s="31"/>
      <c r="M61" s="31"/>
      <c r="N61" s="31"/>
      <c r="O61" s="31"/>
    </row>
    <row r="62" spans="1:15" ht="15" x14ac:dyDescent="0.25">
      <c r="A62" s="2"/>
      <c r="B62" s="31"/>
      <c r="C62" s="70"/>
      <c r="D62" s="70"/>
      <c r="E62" s="31"/>
      <c r="F62" s="31"/>
      <c r="G62" s="31"/>
      <c r="H62" s="32" t="s">
        <v>301</v>
      </c>
      <c r="I62" s="32"/>
      <c r="J62" s="54"/>
      <c r="K62" s="36">
        <v>0</v>
      </c>
      <c r="L62" s="31" t="str">
        <f t="shared" ca="1" si="0"/>
        <v xml:space="preserve"> </v>
      </c>
      <c r="M62" s="31"/>
      <c r="N62" s="31"/>
      <c r="O62" s="31"/>
    </row>
    <row r="63" spans="1:15" ht="15.75" thickBot="1" x14ac:dyDescent="0.3">
      <c r="A63" s="2"/>
      <c r="B63" s="31"/>
      <c r="C63" s="70"/>
      <c r="D63" s="70"/>
      <c r="E63" s="31"/>
      <c r="F63" s="31"/>
      <c r="G63" s="31"/>
      <c r="H63" s="32" t="s">
        <v>135</v>
      </c>
      <c r="I63" s="32"/>
      <c r="J63" s="54"/>
      <c r="K63" s="63">
        <f>K61-K62</f>
        <v>0</v>
      </c>
      <c r="L63" s="31"/>
      <c r="M63" s="31"/>
      <c r="N63" s="31"/>
      <c r="O63" s="31"/>
    </row>
    <row r="64" spans="1:15" ht="15.75" thickTop="1" x14ac:dyDescent="0.25">
      <c r="A64" s="2"/>
      <c r="B64" s="31"/>
      <c r="C64" s="70"/>
      <c r="D64" s="70"/>
      <c r="E64" s="31"/>
      <c r="F64" s="31"/>
      <c r="G64" s="31"/>
      <c r="H64" s="32"/>
      <c r="I64" s="32"/>
      <c r="J64" s="54"/>
      <c r="K64" s="54"/>
      <c r="L64" s="31" t="str">
        <f t="shared" ca="1" si="0"/>
        <v xml:space="preserve"> </v>
      </c>
      <c r="M64" s="31"/>
      <c r="N64" s="31"/>
      <c r="O64" s="31"/>
    </row>
    <row r="65" spans="1:15" ht="15" x14ac:dyDescent="0.25">
      <c r="A65" s="2"/>
      <c r="B65" s="31"/>
      <c r="C65" s="70"/>
      <c r="D65" s="70"/>
      <c r="E65" s="31"/>
      <c r="F65" s="31"/>
      <c r="G65" s="31"/>
      <c r="H65" s="34" t="s">
        <v>147</v>
      </c>
      <c r="I65" s="32"/>
      <c r="J65" s="54"/>
      <c r="K65" s="54"/>
      <c r="L65" s="31" t="str">
        <f t="shared" ca="1" si="0"/>
        <v xml:space="preserve"> </v>
      </c>
      <c r="M65" s="31"/>
      <c r="N65" s="31"/>
      <c r="O65" s="31"/>
    </row>
    <row r="66" spans="1:15" ht="15" x14ac:dyDescent="0.25">
      <c r="A66" s="2"/>
      <c r="B66" s="31"/>
      <c r="C66" s="70"/>
      <c r="D66" s="70"/>
      <c r="E66" s="31"/>
      <c r="F66" s="31"/>
      <c r="G66" s="31"/>
      <c r="H66" s="32" t="s">
        <v>143</v>
      </c>
      <c r="I66" s="32"/>
      <c r="J66" s="54"/>
      <c r="K66" s="74">
        <v>150</v>
      </c>
      <c r="L66" s="31" t="str">
        <f t="shared" ca="1" si="0"/>
        <v xml:space="preserve"> </v>
      </c>
      <c r="M66" s="31"/>
      <c r="N66" s="31"/>
      <c r="O66" s="31"/>
    </row>
    <row r="67" spans="1:15" ht="15" x14ac:dyDescent="0.25">
      <c r="A67" s="2"/>
      <c r="B67" s="31"/>
      <c r="C67" s="70"/>
      <c r="D67" s="70"/>
      <c r="E67" s="31"/>
      <c r="F67" s="31"/>
      <c r="G67" s="31"/>
      <c r="H67" s="32" t="s">
        <v>305</v>
      </c>
      <c r="I67" s="32"/>
      <c r="J67" s="54"/>
      <c r="K67" s="74">
        <v>1148</v>
      </c>
      <c r="L67" s="31" t="str">
        <f t="shared" ca="1" si="0"/>
        <v xml:space="preserve"> </v>
      </c>
      <c r="M67" s="31"/>
      <c r="N67" s="31"/>
      <c r="O67" s="31"/>
    </row>
    <row r="68" spans="1:15" ht="15" x14ac:dyDescent="0.25">
      <c r="A68" s="2"/>
      <c r="B68" s="31"/>
      <c r="C68" s="70"/>
      <c r="D68" s="70"/>
      <c r="E68" s="31"/>
      <c r="F68" s="31"/>
      <c r="G68" s="31"/>
      <c r="H68" s="32" t="s">
        <v>349</v>
      </c>
      <c r="I68" s="32"/>
      <c r="J68" s="54"/>
      <c r="K68" s="75"/>
      <c r="L68" s="31" t="str">
        <f ca="1">IFERROR(_xlfn.FORMULATEXT(K69)," ")</f>
        <v xml:space="preserve"> </v>
      </c>
      <c r="M68" s="31"/>
      <c r="N68" s="31"/>
      <c r="O68" s="31"/>
    </row>
    <row r="69" spans="1:15" ht="15" x14ac:dyDescent="0.25">
      <c r="A69" s="2"/>
      <c r="B69" s="31"/>
      <c r="C69" s="70"/>
      <c r="D69" s="70"/>
      <c r="E69" s="31"/>
      <c r="F69" s="31"/>
      <c r="G69" s="31"/>
      <c r="H69" s="32" t="s">
        <v>398</v>
      </c>
      <c r="I69" s="32"/>
      <c r="J69" s="54"/>
      <c r="K69" s="74"/>
      <c r="L69" s="31"/>
      <c r="M69" s="31"/>
      <c r="N69" s="31"/>
      <c r="O69" s="31"/>
    </row>
    <row r="70" spans="1:15" ht="15" x14ac:dyDescent="0.25">
      <c r="A70" s="2"/>
      <c r="B70" s="31"/>
      <c r="C70" s="70"/>
      <c r="D70" s="70"/>
      <c r="E70" s="31"/>
      <c r="F70" s="31"/>
      <c r="G70" s="31"/>
      <c r="H70" s="32"/>
      <c r="I70" s="32"/>
      <c r="J70" s="54"/>
      <c r="K70" s="57">
        <f>K66+K67+K69-K68</f>
        <v>1298</v>
      </c>
      <c r="L70" s="31" t="str">
        <f ca="1">IFERROR(_xlfn.FORMULATEXT(K71)," ")</f>
        <v xml:space="preserve"> </v>
      </c>
      <c r="M70" s="31"/>
      <c r="N70" s="31"/>
      <c r="O70" s="31"/>
    </row>
    <row r="71" spans="1:15" ht="15" x14ac:dyDescent="0.25">
      <c r="A71" s="2"/>
      <c r="B71" s="31"/>
      <c r="C71" s="76"/>
      <c r="D71" s="76"/>
      <c r="E71" s="31"/>
      <c r="F71" s="31"/>
      <c r="G71" s="31"/>
      <c r="H71" s="32" t="s">
        <v>233</v>
      </c>
      <c r="I71" s="32"/>
      <c r="J71" s="54"/>
      <c r="K71" s="74">
        <v>1250</v>
      </c>
      <c r="L71" s="31"/>
      <c r="M71" s="31"/>
      <c r="N71" s="31"/>
      <c r="O71" s="31"/>
    </row>
    <row r="72" spans="1:15" ht="15.75" thickBot="1" x14ac:dyDescent="0.3">
      <c r="A72" s="2"/>
      <c r="B72" s="31"/>
      <c r="C72" s="76"/>
      <c r="D72" s="76"/>
      <c r="E72" s="31"/>
      <c r="F72" s="31"/>
      <c r="G72" s="31"/>
      <c r="H72" s="32" t="s">
        <v>147</v>
      </c>
      <c r="I72" s="32"/>
      <c r="J72" s="54"/>
      <c r="K72" s="77">
        <f>-(K71-K70)</f>
        <v>48</v>
      </c>
      <c r="L72" s="31" t="str">
        <f ca="1">IFERROR(_xlfn.FORMULATEXT(#REF!)," ")</f>
        <v xml:space="preserve"> </v>
      </c>
      <c r="M72" s="31"/>
      <c r="N72" s="31"/>
      <c r="O72" s="31"/>
    </row>
    <row r="73" spans="1:15" ht="15.75" thickTop="1" x14ac:dyDescent="0.25">
      <c r="A73" s="2"/>
      <c r="B73" s="31"/>
      <c r="C73" s="76"/>
      <c r="D73" s="76"/>
      <c r="E73" s="31"/>
      <c r="F73" s="31"/>
      <c r="G73" s="31"/>
      <c r="H73" s="32"/>
      <c r="I73" s="32"/>
      <c r="J73" s="32"/>
      <c r="K73" s="78"/>
      <c r="L73" s="31" t="str">
        <f t="shared" ca="1" si="0"/>
        <v xml:space="preserve"> </v>
      </c>
      <c r="M73" s="31"/>
      <c r="N73" s="31"/>
      <c r="O73" s="31"/>
    </row>
    <row r="74" spans="1:15" ht="15" x14ac:dyDescent="0.25">
      <c r="A74" s="2"/>
      <c r="B74" s="31"/>
      <c r="C74" s="76"/>
      <c r="D74" s="76"/>
      <c r="E74" s="31"/>
      <c r="F74" s="31"/>
      <c r="G74" s="31"/>
      <c r="H74" s="34" t="s">
        <v>386</v>
      </c>
      <c r="I74" s="32"/>
      <c r="J74" s="32"/>
      <c r="K74" s="36"/>
      <c r="L74" s="31" t="str">
        <f t="shared" ca="1" si="0"/>
        <v xml:space="preserve"> </v>
      </c>
      <c r="M74" s="31"/>
      <c r="N74" s="31"/>
      <c r="O74" s="31"/>
    </row>
    <row r="75" spans="1:15" ht="15" x14ac:dyDescent="0.25">
      <c r="A75" s="2"/>
      <c r="B75" s="31"/>
      <c r="C75" s="76"/>
      <c r="D75" s="76"/>
      <c r="E75" s="31"/>
      <c r="F75" s="31"/>
      <c r="G75" s="31"/>
      <c r="H75" s="32"/>
      <c r="I75" s="32"/>
      <c r="J75" s="32"/>
      <c r="K75" s="54"/>
      <c r="L75" s="31" t="str">
        <f t="shared" ca="1" si="0"/>
        <v xml:space="preserve"> </v>
      </c>
      <c r="M75" s="31"/>
      <c r="N75" s="31"/>
      <c r="O75" s="31"/>
    </row>
    <row r="76" spans="1:15" ht="15" x14ac:dyDescent="0.25">
      <c r="A76" s="2"/>
      <c r="B76" s="31"/>
      <c r="C76" s="76"/>
      <c r="D76" s="76"/>
      <c r="E76" s="31"/>
      <c r="F76" s="31"/>
      <c r="G76" s="31"/>
      <c r="H76" s="32"/>
      <c r="I76" s="32"/>
      <c r="J76" s="32"/>
      <c r="K76" s="54"/>
      <c r="L76" s="31" t="str">
        <f t="shared" ca="1" si="0"/>
        <v xml:space="preserve"> </v>
      </c>
      <c r="M76" s="31"/>
      <c r="N76" s="31"/>
      <c r="O76" s="31"/>
    </row>
    <row r="77" spans="1:15" ht="15" x14ac:dyDescent="0.25">
      <c r="A77" s="2"/>
      <c r="B77" s="31"/>
      <c r="C77" s="76"/>
      <c r="D77" s="76"/>
      <c r="E77" s="31"/>
      <c r="F77" s="31"/>
      <c r="G77" s="31"/>
      <c r="H77" s="34" t="s">
        <v>399</v>
      </c>
      <c r="I77" s="64"/>
      <c r="J77" s="64"/>
      <c r="K77" s="65"/>
      <c r="L77" s="31" t="str">
        <f t="shared" ca="1" si="0"/>
        <v xml:space="preserve"> </v>
      </c>
      <c r="M77" s="31"/>
      <c r="N77" s="31"/>
      <c r="O77" s="31"/>
    </row>
    <row r="78" spans="1:15" ht="15" x14ac:dyDescent="0.25">
      <c r="A78" s="2"/>
      <c r="B78" s="31"/>
      <c r="C78" s="76"/>
      <c r="D78" s="76"/>
      <c r="E78" s="31"/>
      <c r="F78" s="31"/>
      <c r="G78" s="31"/>
      <c r="H78" s="32" t="s">
        <v>400</v>
      </c>
      <c r="I78" s="64"/>
      <c r="J78" s="64"/>
      <c r="K78" s="67">
        <f>200*2</f>
        <v>400</v>
      </c>
      <c r="L78" s="28" t="str">
        <f t="shared" ca="1" si="0"/>
        <v>=200*2</v>
      </c>
      <c r="M78" s="31"/>
      <c r="N78" s="31"/>
      <c r="O78" s="31"/>
    </row>
    <row r="79" spans="1:15" ht="15" x14ac:dyDescent="0.25">
      <c r="A79" s="2"/>
      <c r="B79" s="31"/>
      <c r="C79" s="76"/>
      <c r="D79" s="76"/>
      <c r="E79" s="31"/>
      <c r="F79" s="31"/>
      <c r="G79" s="31"/>
      <c r="H79" s="32" t="s">
        <v>401</v>
      </c>
      <c r="I79" s="64"/>
      <c r="J79" s="64"/>
      <c r="K79" s="67">
        <v>-50</v>
      </c>
      <c r="L79" s="28" t="str">
        <f t="shared" ca="1" si="0"/>
        <v xml:space="preserve"> </v>
      </c>
      <c r="M79" s="31"/>
      <c r="N79" s="31"/>
      <c r="O79" s="31"/>
    </row>
    <row r="80" spans="1:15" ht="15.75" thickBot="1" x14ac:dyDescent="0.3">
      <c r="A80" s="2"/>
      <c r="B80" s="31"/>
      <c r="C80" s="76"/>
      <c r="D80" s="76"/>
      <c r="E80" s="31"/>
      <c r="F80" s="31"/>
      <c r="G80" s="31"/>
      <c r="H80" s="32" t="s">
        <v>399</v>
      </c>
      <c r="I80" s="64"/>
      <c r="J80" s="64"/>
      <c r="K80" s="77">
        <f>SUM(K78:K79)</f>
        <v>350</v>
      </c>
      <c r="L80" s="28"/>
      <c r="M80" s="31"/>
      <c r="N80" s="31"/>
      <c r="O80" s="31"/>
    </row>
    <row r="81" spans="1:15" ht="15.75" thickTop="1" x14ac:dyDescent="0.25">
      <c r="A81" s="2"/>
      <c r="B81" s="31"/>
      <c r="C81" s="76"/>
      <c r="D81" s="76"/>
      <c r="E81" s="31"/>
      <c r="F81" s="31"/>
      <c r="G81" s="31"/>
      <c r="H81" s="64"/>
      <c r="I81" s="64"/>
      <c r="J81" s="64"/>
      <c r="K81" s="65"/>
      <c r="L81" s="28" t="str">
        <f ca="1">IFERROR(_xlfn.FORMULATEXT(#REF!)," ")</f>
        <v xml:space="preserve"> </v>
      </c>
      <c r="M81" s="31"/>
      <c r="N81" s="31"/>
      <c r="O81" s="31"/>
    </row>
    <row r="82" spans="1:15" ht="15" x14ac:dyDescent="0.25">
      <c r="A82" s="2"/>
      <c r="B82" s="31"/>
      <c r="C82" s="76"/>
      <c r="D82" s="76"/>
      <c r="E82" s="31"/>
      <c r="F82" s="31"/>
      <c r="G82" s="31"/>
      <c r="H82" s="34" t="s">
        <v>402</v>
      </c>
      <c r="I82" s="64"/>
      <c r="J82" s="64"/>
      <c r="K82" s="65"/>
      <c r="L82" s="31"/>
      <c r="M82" s="31"/>
      <c r="N82" s="31"/>
      <c r="O82" s="31"/>
    </row>
    <row r="83" spans="1:15" ht="15" x14ac:dyDescent="0.25">
      <c r="A83" s="2"/>
      <c r="B83" s="31"/>
      <c r="C83" s="76"/>
      <c r="D83" s="76"/>
      <c r="E83" s="31"/>
      <c r="F83" s="31"/>
      <c r="G83" s="31"/>
      <c r="H83" s="32" t="s">
        <v>230</v>
      </c>
      <c r="I83" s="64"/>
      <c r="J83" s="64"/>
      <c r="K83" s="67">
        <f>1600+100</f>
        <v>1700</v>
      </c>
      <c r="L83" s="31" t="str">
        <f ca="1">IFERROR(_xlfn.FORMULATEXT(K81)," ")</f>
        <v xml:space="preserve"> </v>
      </c>
      <c r="M83" s="31"/>
      <c r="N83" s="31"/>
      <c r="O83" s="31"/>
    </row>
    <row r="84" spans="1:15" ht="15" x14ac:dyDescent="0.25">
      <c r="A84" s="2"/>
      <c r="B84" s="31"/>
      <c r="C84" s="76"/>
      <c r="D84" s="76"/>
      <c r="E84" s="31"/>
      <c r="F84" s="31"/>
      <c r="G84" s="31"/>
      <c r="H84" s="32" t="s">
        <v>403</v>
      </c>
      <c r="I84" s="32"/>
      <c r="J84" s="32"/>
      <c r="K84" s="67">
        <v>0</v>
      </c>
      <c r="L84" s="31" t="str">
        <f ca="1">IFERROR(_xlfn.FORMULATEXT(K82)," ")</f>
        <v xml:space="preserve"> </v>
      </c>
      <c r="M84" s="31"/>
      <c r="N84" s="31"/>
      <c r="O84" s="31"/>
    </row>
    <row r="85" spans="1:15" ht="15" x14ac:dyDescent="0.25">
      <c r="A85" s="2"/>
      <c r="B85" s="31"/>
      <c r="C85" s="76"/>
      <c r="D85" s="76"/>
      <c r="E85" s="31"/>
      <c r="F85" s="31"/>
      <c r="G85" s="31"/>
      <c r="H85" s="32" t="s">
        <v>391</v>
      </c>
      <c r="I85" s="32"/>
      <c r="J85" s="32"/>
      <c r="K85" s="67">
        <v>250</v>
      </c>
      <c r="L85" s="31"/>
      <c r="M85" s="31"/>
      <c r="N85" s="31"/>
      <c r="O85" s="31"/>
    </row>
    <row r="86" spans="1:15" ht="15" x14ac:dyDescent="0.25">
      <c r="A86" s="2"/>
      <c r="B86" s="31"/>
      <c r="C86" s="76"/>
      <c r="D86" s="76"/>
      <c r="E86" s="31"/>
      <c r="F86" s="31"/>
      <c r="G86" s="31"/>
      <c r="H86" s="32" t="s">
        <v>353</v>
      </c>
      <c r="I86" s="64"/>
      <c r="J86" s="64"/>
      <c r="K86" s="67">
        <f>1950+200</f>
        <v>2150</v>
      </c>
      <c r="L86" s="31" t="str">
        <f ca="1">IFERROR(_xlfn.FORMULATEXT(K83)," ")</f>
        <v>=1600+100</v>
      </c>
      <c r="M86" s="31"/>
      <c r="N86" s="31"/>
      <c r="O86" s="31"/>
    </row>
    <row r="87" spans="1:15" ht="15.75" thickBot="1" x14ac:dyDescent="0.3">
      <c r="A87" s="2"/>
      <c r="B87" s="31"/>
      <c r="C87" s="76"/>
      <c r="D87" s="76"/>
      <c r="E87" s="31"/>
      <c r="F87" s="31"/>
      <c r="G87" s="31"/>
      <c r="H87" s="32" t="s">
        <v>404</v>
      </c>
      <c r="I87" s="64"/>
      <c r="J87" s="64"/>
      <c r="K87" s="63">
        <f>K86-K83+K84</f>
        <v>450</v>
      </c>
      <c r="L87" s="31" t="str">
        <f ca="1">IFERROR(_xlfn.FORMULATEXT(K86)," ")</f>
        <v>=1950+200</v>
      </c>
      <c r="M87" s="31"/>
      <c r="N87" s="31"/>
      <c r="O87" s="31"/>
    </row>
    <row r="88" spans="1:15" ht="15.75" thickTop="1" x14ac:dyDescent="0.25">
      <c r="A88" s="2"/>
      <c r="B88" s="31"/>
      <c r="C88" s="76"/>
      <c r="D88" s="76"/>
      <c r="E88" s="31"/>
      <c r="F88" s="31"/>
      <c r="G88" s="31"/>
      <c r="H88" s="64"/>
      <c r="I88" s="64"/>
      <c r="J88" s="64"/>
      <c r="K88" s="65"/>
      <c r="L88" s="31"/>
      <c r="M88" s="31"/>
      <c r="N88" s="31"/>
      <c r="O88" s="31"/>
    </row>
    <row r="89" spans="1:15" ht="15" x14ac:dyDescent="0.25">
      <c r="A89" s="2"/>
      <c r="B89" s="31"/>
      <c r="C89" s="76"/>
      <c r="D89" s="76"/>
      <c r="E89" s="31"/>
      <c r="F89" s="31"/>
      <c r="G89" s="31"/>
      <c r="H89" s="79" t="s">
        <v>354</v>
      </c>
      <c r="I89" s="64"/>
      <c r="J89" s="64"/>
      <c r="K89" s="65"/>
      <c r="L89" s="31" t="str">
        <f ca="1">IFERROR(_xlfn.FORMULATEXT(K88)," ")</f>
        <v xml:space="preserve"> </v>
      </c>
      <c r="M89" s="31"/>
      <c r="N89" s="31"/>
      <c r="O89" s="31"/>
    </row>
    <row r="90" spans="1:15" ht="15" x14ac:dyDescent="0.25">
      <c r="A90" s="2"/>
      <c r="B90" s="31"/>
      <c r="C90" s="76"/>
      <c r="D90" s="76"/>
      <c r="E90" s="31"/>
      <c r="F90" s="31"/>
      <c r="G90" s="31"/>
      <c r="H90" s="80" t="s">
        <v>405</v>
      </c>
      <c r="I90" s="64"/>
      <c r="J90" s="64"/>
      <c r="K90" s="75">
        <v>60</v>
      </c>
      <c r="L90" s="31" t="str">
        <f ca="1">IFERROR(_xlfn.FORMULATEXT(K89)," ")</f>
        <v xml:space="preserve"> </v>
      </c>
      <c r="M90" s="31"/>
      <c r="N90" s="31"/>
      <c r="O90" s="31"/>
    </row>
    <row r="91" spans="1:15" ht="15" x14ac:dyDescent="0.25">
      <c r="A91" s="2"/>
      <c r="B91" s="31"/>
      <c r="C91" s="76"/>
      <c r="D91" s="76"/>
      <c r="E91" s="31"/>
      <c r="F91" s="31"/>
      <c r="G91" s="31"/>
      <c r="H91" s="80" t="s">
        <v>406</v>
      </c>
      <c r="I91" s="64"/>
      <c r="J91" s="64"/>
      <c r="K91" s="75">
        <v>0</v>
      </c>
      <c r="L91" s="31" t="str">
        <f ca="1">IFERROR(_xlfn.FORMULATEXT(#REF!)," ")</f>
        <v xml:space="preserve"> </v>
      </c>
      <c r="M91" s="31"/>
      <c r="N91" s="31"/>
      <c r="O91" s="31"/>
    </row>
    <row r="92" spans="1:15" ht="15" x14ac:dyDescent="0.25">
      <c r="A92" s="2"/>
      <c r="B92" s="31"/>
      <c r="C92" s="76"/>
      <c r="D92" s="76"/>
      <c r="E92" s="31"/>
      <c r="F92" s="31"/>
      <c r="G92" s="31"/>
      <c r="H92" s="80"/>
      <c r="I92" s="64"/>
      <c r="J92" s="64"/>
      <c r="K92" s="81">
        <f>SUM(K90:K91)</f>
        <v>60</v>
      </c>
      <c r="L92" s="31" t="str">
        <f ca="1">IFERROR(_xlfn.FORMULATEXT(K90)," ")</f>
        <v xml:space="preserve"> </v>
      </c>
      <c r="M92" s="31"/>
      <c r="N92" s="31"/>
      <c r="O92" s="31"/>
    </row>
    <row r="93" spans="1:15" ht="15" x14ac:dyDescent="0.25">
      <c r="A93" s="2"/>
      <c r="B93" s="31"/>
      <c r="C93" s="76"/>
      <c r="D93" s="76"/>
      <c r="E93" s="31"/>
      <c r="F93" s="31"/>
      <c r="G93" s="31"/>
      <c r="H93" s="80" t="s">
        <v>297</v>
      </c>
      <c r="I93" s="64"/>
      <c r="J93" s="64"/>
      <c r="K93" s="75">
        <v>150</v>
      </c>
      <c r="L93" s="31"/>
      <c r="M93" s="31"/>
      <c r="N93" s="31"/>
      <c r="O93" s="31"/>
    </row>
    <row r="94" spans="1:15" ht="15.75" thickBot="1" x14ac:dyDescent="0.3">
      <c r="A94" s="2"/>
      <c r="B94" s="31"/>
      <c r="C94" s="76"/>
      <c r="D94" s="76"/>
      <c r="E94" s="31"/>
      <c r="F94" s="31"/>
      <c r="G94" s="31"/>
      <c r="H94" s="80" t="s">
        <v>354</v>
      </c>
      <c r="I94" s="64"/>
      <c r="J94" s="64"/>
      <c r="K94" s="82">
        <f>K93-K92</f>
        <v>90</v>
      </c>
      <c r="L94" s="31" t="str">
        <f ca="1">IFERROR(_xlfn.FORMULATEXT(K93)," ")</f>
        <v xml:space="preserve"> </v>
      </c>
      <c r="M94" s="31"/>
      <c r="N94" s="31"/>
      <c r="O94" s="31"/>
    </row>
    <row r="95" spans="1:15" ht="15.75" thickTop="1" x14ac:dyDescent="0.25">
      <c r="A95" s="2"/>
      <c r="B95" s="31"/>
      <c r="C95" s="76"/>
      <c r="D95" s="76"/>
      <c r="E95" s="31"/>
      <c r="F95" s="31"/>
      <c r="G95" s="31"/>
      <c r="H95" s="80"/>
      <c r="I95" s="64"/>
      <c r="J95" s="64"/>
      <c r="K95" s="83"/>
      <c r="L95" s="31"/>
      <c r="M95" s="28" t="s">
        <v>407</v>
      </c>
      <c r="N95" s="31"/>
      <c r="O95" s="31"/>
    </row>
    <row r="96" spans="1:15" ht="15" x14ac:dyDescent="0.25">
      <c r="A96" s="2"/>
      <c r="B96" s="31"/>
      <c r="C96" s="76"/>
      <c r="D96" s="76"/>
      <c r="E96" s="31"/>
      <c r="F96" s="31"/>
      <c r="G96" s="31"/>
      <c r="H96" s="79" t="s">
        <v>408</v>
      </c>
      <c r="I96" s="64"/>
      <c r="J96" s="64"/>
      <c r="K96" s="65"/>
      <c r="L96" s="31" t="str">
        <f ca="1">IFERROR(_xlfn.FORMULATEXT(K105)," ")</f>
        <v xml:space="preserve"> </v>
      </c>
      <c r="M96" s="31"/>
      <c r="N96" s="31"/>
      <c r="O96" s="31"/>
    </row>
    <row r="97" spans="1:15" ht="15" x14ac:dyDescent="0.25">
      <c r="A97" s="2"/>
      <c r="B97" s="31"/>
      <c r="C97" s="76"/>
      <c r="D97" s="76"/>
      <c r="E97" s="31"/>
      <c r="F97" s="31"/>
      <c r="G97" s="31"/>
      <c r="H97" s="80" t="s">
        <v>405</v>
      </c>
      <c r="I97" s="64"/>
      <c r="J97" s="64"/>
      <c r="K97" s="75">
        <v>60</v>
      </c>
      <c r="L97" s="31" t="str">
        <f ca="1">IFERROR(_xlfn.FORMULATEXT(K106)," ")</f>
        <v xml:space="preserve"> </v>
      </c>
      <c r="M97" s="31"/>
      <c r="N97" s="31"/>
      <c r="O97" s="31"/>
    </row>
    <row r="98" spans="1:15" ht="15" x14ac:dyDescent="0.25">
      <c r="A98" s="2"/>
      <c r="B98" s="31"/>
      <c r="C98" s="76"/>
      <c r="D98" s="76"/>
      <c r="E98" s="31"/>
      <c r="F98" s="31"/>
      <c r="G98" s="31"/>
      <c r="H98" s="80" t="s">
        <v>409</v>
      </c>
      <c r="I98" s="64"/>
      <c r="J98" s="64"/>
      <c r="K98" s="84">
        <v>0</v>
      </c>
      <c r="L98" s="31" t="str">
        <f ca="1">IFERROR(_xlfn.FORMULATEXT(K107)," ")</f>
        <v xml:space="preserve"> </v>
      </c>
      <c r="M98" s="31"/>
      <c r="N98" s="31"/>
      <c r="O98" s="31"/>
    </row>
    <row r="99" spans="1:15" ht="15" x14ac:dyDescent="0.25">
      <c r="A99" s="2"/>
      <c r="B99" s="31"/>
      <c r="C99" s="76"/>
      <c r="D99" s="76"/>
      <c r="E99" s="31"/>
      <c r="F99" s="31"/>
      <c r="G99" s="31"/>
      <c r="H99" s="80"/>
      <c r="I99" s="64"/>
      <c r="J99" s="64"/>
      <c r="K99" s="83">
        <f>SUM(K97:K98)</f>
        <v>60</v>
      </c>
      <c r="L99" s="31" t="str">
        <f ca="1">IFERROR(_xlfn.FORMULATEXT(K108)," ")</f>
        <v xml:space="preserve"> </v>
      </c>
      <c r="M99" s="28" t="s">
        <v>410</v>
      </c>
      <c r="N99" s="31"/>
      <c r="O99" s="31"/>
    </row>
    <row r="100" spans="1:15" ht="15" x14ac:dyDescent="0.25">
      <c r="A100" s="2"/>
      <c r="B100" s="31"/>
      <c r="C100" s="76"/>
      <c r="D100" s="76"/>
      <c r="E100" s="31"/>
      <c r="F100" s="31"/>
      <c r="G100" s="31"/>
      <c r="H100" s="80" t="s">
        <v>297</v>
      </c>
      <c r="I100" s="64"/>
      <c r="J100" s="64"/>
      <c r="K100" s="85">
        <v>150</v>
      </c>
      <c r="L100" s="31" t="str">
        <f ca="1">IFERROR(_xlfn.FORMULATEXT(K109)," ")</f>
        <v xml:space="preserve"> </v>
      </c>
      <c r="M100" s="28" t="s">
        <v>411</v>
      </c>
      <c r="N100" s="31"/>
      <c r="O100" s="31"/>
    </row>
    <row r="101" spans="1:15" ht="15" x14ac:dyDescent="0.25">
      <c r="A101" s="2"/>
      <c r="B101" s="31"/>
      <c r="C101" s="76"/>
      <c r="D101" s="76"/>
      <c r="E101" s="31"/>
      <c r="F101" s="31"/>
      <c r="G101" s="31"/>
      <c r="H101" s="80" t="s">
        <v>412</v>
      </c>
      <c r="I101" s="64"/>
      <c r="J101" s="64"/>
      <c r="K101" s="75">
        <f>+K99-K100</f>
        <v>-90</v>
      </c>
      <c r="L101" s="31"/>
      <c r="M101" s="31"/>
      <c r="N101" s="31"/>
      <c r="O101" s="31"/>
    </row>
    <row r="102" spans="1:15" ht="15" x14ac:dyDescent="0.25">
      <c r="A102" s="2"/>
      <c r="B102" s="31"/>
      <c r="C102" s="76"/>
      <c r="D102" s="76"/>
      <c r="E102" s="31"/>
      <c r="F102" s="31"/>
      <c r="G102" s="31"/>
      <c r="H102" s="80" t="s">
        <v>413</v>
      </c>
      <c r="I102" s="64"/>
      <c r="J102" s="64"/>
      <c r="K102" s="75">
        <v>0</v>
      </c>
      <c r="L102" s="31" t="str">
        <f ca="1">IFERROR(_xlfn.FORMULATEXT(K111)," ")</f>
        <v xml:space="preserve"> </v>
      </c>
      <c r="M102" s="31"/>
      <c r="N102" s="31"/>
      <c r="O102" s="31"/>
    </row>
    <row r="103" spans="1:15" ht="15.75" thickBot="1" x14ac:dyDescent="0.3">
      <c r="A103" s="2"/>
      <c r="B103" s="31"/>
      <c r="C103" s="76"/>
      <c r="D103" s="76"/>
      <c r="E103" s="31"/>
      <c r="F103" s="31"/>
      <c r="G103" s="31"/>
      <c r="H103" s="80" t="s">
        <v>408</v>
      </c>
      <c r="I103" s="64"/>
      <c r="J103" s="64"/>
      <c r="K103" s="82">
        <f>+K101+K102</f>
        <v>-90</v>
      </c>
      <c r="L103" s="31"/>
      <c r="M103" s="31"/>
      <c r="N103" s="31"/>
      <c r="O103" s="31"/>
    </row>
    <row r="104" spans="1:15" ht="15.75" thickTop="1" x14ac:dyDescent="0.25">
      <c r="A104" s="2"/>
      <c r="B104" s="31"/>
      <c r="C104" s="76"/>
      <c r="D104" s="76"/>
      <c r="E104" s="31"/>
      <c r="F104" s="31"/>
      <c r="G104" s="31"/>
      <c r="H104" s="64"/>
      <c r="I104" s="64"/>
      <c r="J104" s="64"/>
      <c r="K104" s="83"/>
      <c r="L104" s="31"/>
      <c r="M104" s="31"/>
      <c r="N104" s="31"/>
      <c r="O104" s="31"/>
    </row>
    <row r="105" spans="1:15" ht="15" x14ac:dyDescent="0.25">
      <c r="A105" s="2"/>
      <c r="B105" s="31"/>
      <c r="C105" s="76"/>
      <c r="D105" s="76"/>
      <c r="E105" s="31"/>
      <c r="F105" s="31"/>
      <c r="G105" s="31"/>
      <c r="H105" s="64"/>
      <c r="I105" s="64"/>
      <c r="J105" s="64"/>
      <c r="K105" s="65"/>
      <c r="L105" s="31"/>
      <c r="M105" s="31"/>
      <c r="N105" s="31"/>
      <c r="O105" s="31"/>
    </row>
    <row r="106" spans="1:15" ht="15" x14ac:dyDescent="0.25">
      <c r="A106" s="2"/>
      <c r="B106" s="31"/>
      <c r="C106" s="76"/>
      <c r="D106" s="76"/>
      <c r="E106" s="31"/>
      <c r="F106" s="31"/>
      <c r="G106" s="31"/>
      <c r="H106" s="64"/>
      <c r="I106" s="64"/>
      <c r="J106" s="64"/>
      <c r="K106" s="65"/>
      <c r="L106" s="31"/>
      <c r="M106" s="31"/>
      <c r="N106" s="31"/>
      <c r="O106" s="31"/>
    </row>
    <row r="107" spans="1:15" ht="15" x14ac:dyDescent="0.25">
      <c r="A107" s="2"/>
      <c r="B107" s="31"/>
      <c r="C107" s="76"/>
      <c r="D107" s="76"/>
      <c r="E107" s="31"/>
      <c r="F107" s="31"/>
      <c r="G107" s="31"/>
      <c r="H107" s="34" t="s">
        <v>414</v>
      </c>
      <c r="I107" s="64"/>
      <c r="J107" s="64"/>
      <c r="K107" s="65"/>
      <c r="L107" s="31"/>
      <c r="M107" s="31"/>
      <c r="N107" s="31"/>
      <c r="O107" s="31"/>
    </row>
    <row r="108" spans="1:15" ht="15" x14ac:dyDescent="0.25">
      <c r="A108" s="2"/>
      <c r="B108" s="31"/>
      <c r="C108" s="76"/>
      <c r="D108" s="76"/>
      <c r="E108" s="31"/>
      <c r="F108" s="31"/>
      <c r="G108" s="31"/>
      <c r="H108" s="64" t="s">
        <v>195</v>
      </c>
      <c r="I108" s="64"/>
      <c r="J108" s="64"/>
      <c r="K108" s="46"/>
      <c r="L108" s="31"/>
      <c r="M108" s="31"/>
      <c r="N108" s="31"/>
      <c r="O108" s="31"/>
    </row>
    <row r="109" spans="1:15" ht="15" x14ac:dyDescent="0.25">
      <c r="A109" s="2"/>
      <c r="B109" s="31"/>
      <c r="C109" s="76"/>
      <c r="D109" s="76"/>
      <c r="E109" s="31"/>
      <c r="F109" s="31"/>
      <c r="G109" s="31"/>
      <c r="H109" s="64" t="s">
        <v>415</v>
      </c>
      <c r="I109" s="64"/>
      <c r="J109" s="64"/>
      <c r="K109" s="67"/>
      <c r="L109" s="31"/>
      <c r="M109" s="31"/>
      <c r="N109" s="31"/>
      <c r="O109" s="31"/>
    </row>
    <row r="110" spans="1:15" ht="15" x14ac:dyDescent="0.25">
      <c r="A110" s="2"/>
      <c r="B110" s="31"/>
      <c r="C110" s="76"/>
      <c r="D110" s="76"/>
      <c r="E110" s="31"/>
      <c r="F110" s="31"/>
      <c r="G110" s="31"/>
      <c r="H110" s="64"/>
      <c r="I110" s="64"/>
      <c r="J110" s="64"/>
      <c r="K110" s="86">
        <f>SUM(K108:K109)</f>
        <v>0</v>
      </c>
      <c r="L110" s="31"/>
      <c r="M110" s="31"/>
      <c r="N110" s="31"/>
      <c r="O110" s="31"/>
    </row>
    <row r="111" spans="1:15" ht="15" x14ac:dyDescent="0.25">
      <c r="A111" s="2"/>
      <c r="B111" s="31"/>
      <c r="C111" s="76"/>
      <c r="D111" s="76"/>
      <c r="E111" s="31"/>
      <c r="F111" s="31"/>
      <c r="G111" s="31"/>
      <c r="H111" s="64" t="s">
        <v>304</v>
      </c>
      <c r="I111" s="64"/>
      <c r="J111" s="64"/>
      <c r="K111" s="46"/>
      <c r="L111" s="31"/>
      <c r="M111" s="31"/>
      <c r="N111" s="31"/>
      <c r="O111" s="31"/>
    </row>
    <row r="112" spans="1:15" ht="15.75" thickBot="1" x14ac:dyDescent="0.3">
      <c r="A112" s="2"/>
      <c r="B112" s="31"/>
      <c r="C112" s="76"/>
      <c r="D112" s="76"/>
      <c r="E112" s="31"/>
      <c r="F112" s="31"/>
      <c r="G112" s="31"/>
      <c r="H112" s="64" t="s">
        <v>414</v>
      </c>
      <c r="I112" s="64"/>
      <c r="J112" s="64"/>
      <c r="K112" s="87">
        <f>K110-K111</f>
        <v>0</v>
      </c>
      <c r="L112" s="31"/>
      <c r="M112" s="31"/>
      <c r="N112" s="31"/>
      <c r="O112" s="31"/>
    </row>
    <row r="113" spans="1:15" ht="15.75" thickTop="1" x14ac:dyDescent="0.25">
      <c r="A113" s="2"/>
      <c r="B113" s="31"/>
      <c r="C113" s="76"/>
      <c r="D113" s="76"/>
      <c r="E113" s="31"/>
      <c r="F113" s="31"/>
      <c r="G113" s="31"/>
      <c r="H113" s="64"/>
      <c r="I113" s="64"/>
      <c r="J113" s="64"/>
      <c r="K113" s="65"/>
      <c r="L113" s="31"/>
      <c r="M113" s="31"/>
      <c r="N113" s="31"/>
      <c r="O113" s="31"/>
    </row>
    <row r="114" spans="1:15" ht="15" x14ac:dyDescent="0.25">
      <c r="A114" s="2"/>
      <c r="B114" s="31"/>
      <c r="C114" s="76"/>
      <c r="D114" s="76"/>
      <c r="E114" s="31"/>
      <c r="F114" s="31"/>
      <c r="G114" s="31"/>
      <c r="H114" s="64"/>
      <c r="I114" s="64"/>
      <c r="J114" s="64"/>
      <c r="K114" s="65"/>
      <c r="L114" s="31"/>
      <c r="M114" s="31"/>
      <c r="N114" s="31"/>
      <c r="O114" s="31"/>
    </row>
    <row r="115" spans="1:15" ht="15" x14ac:dyDescent="0.25">
      <c r="A115" s="2"/>
      <c r="B115" s="31"/>
      <c r="C115" s="76"/>
      <c r="D115" s="76"/>
      <c r="E115" s="31"/>
      <c r="F115" s="31"/>
      <c r="G115" s="31"/>
      <c r="H115" s="34" t="s">
        <v>416</v>
      </c>
      <c r="I115" s="64"/>
      <c r="J115" s="64"/>
      <c r="K115" s="65"/>
      <c r="L115" s="31"/>
      <c r="M115" s="31"/>
      <c r="N115" s="31"/>
      <c r="O115" s="31"/>
    </row>
    <row r="116" spans="1:15" ht="15" x14ac:dyDescent="0.25">
      <c r="A116" s="2"/>
      <c r="B116" s="31"/>
      <c r="C116" s="76"/>
      <c r="D116" s="76"/>
      <c r="E116" s="31"/>
      <c r="F116" s="31"/>
      <c r="G116" s="31"/>
      <c r="H116" s="64" t="s">
        <v>417</v>
      </c>
      <c r="I116" s="64"/>
      <c r="J116" s="64"/>
      <c r="K116" s="67">
        <v>0</v>
      </c>
      <c r="L116" s="31"/>
      <c r="M116" s="31"/>
      <c r="N116" s="31"/>
      <c r="O116" s="31"/>
    </row>
    <row r="117" spans="1:15" ht="15" x14ac:dyDescent="0.25">
      <c r="A117" s="2"/>
      <c r="B117" s="31"/>
      <c r="C117" s="76"/>
      <c r="D117" s="76"/>
      <c r="E117" s="31"/>
      <c r="F117" s="31"/>
      <c r="G117" s="31"/>
      <c r="H117" s="64" t="s">
        <v>418</v>
      </c>
      <c r="I117" s="64"/>
      <c r="J117" s="64"/>
      <c r="K117" s="67">
        <v>55</v>
      </c>
      <c r="L117" s="31"/>
      <c r="M117" s="31"/>
      <c r="N117" s="31"/>
      <c r="O117" s="31"/>
    </row>
    <row r="118" spans="1:15" ht="15" x14ac:dyDescent="0.25">
      <c r="A118" s="2"/>
      <c r="B118" s="31"/>
      <c r="C118" s="76"/>
      <c r="D118" s="76"/>
      <c r="E118" s="31"/>
      <c r="F118" s="31"/>
      <c r="G118" s="31"/>
      <c r="H118" s="64"/>
      <c r="I118" s="64"/>
      <c r="J118" s="64"/>
      <c r="K118" s="86">
        <f>K116+K117</f>
        <v>55</v>
      </c>
      <c r="L118" s="31"/>
      <c r="M118" s="31"/>
      <c r="N118" s="31"/>
      <c r="O118" s="31"/>
    </row>
    <row r="119" spans="1:15" ht="15" x14ac:dyDescent="0.25">
      <c r="A119" s="2"/>
      <c r="B119" s="31"/>
      <c r="C119" s="76"/>
      <c r="D119" s="76"/>
      <c r="E119" s="31"/>
      <c r="F119" s="31"/>
      <c r="G119" s="31"/>
      <c r="H119" s="64" t="s">
        <v>419</v>
      </c>
      <c r="I119" s="64"/>
      <c r="J119" s="64"/>
      <c r="K119" s="67">
        <v>55</v>
      </c>
      <c r="L119" s="31"/>
      <c r="M119" s="31"/>
      <c r="N119" s="31"/>
      <c r="O119" s="31"/>
    </row>
    <row r="120" spans="1:15" ht="15.75" thickBot="1" x14ac:dyDescent="0.3">
      <c r="A120" s="2"/>
      <c r="B120" s="31"/>
      <c r="C120" s="76"/>
      <c r="D120" s="76"/>
      <c r="E120" s="31"/>
      <c r="F120" s="31"/>
      <c r="G120" s="31"/>
      <c r="H120" s="64" t="s">
        <v>393</v>
      </c>
      <c r="I120" s="64"/>
      <c r="J120" s="64"/>
      <c r="K120" s="87">
        <f>K118-K119</f>
        <v>0</v>
      </c>
      <c r="L120" s="31"/>
      <c r="M120" s="31"/>
      <c r="N120" s="31"/>
      <c r="O120" s="31"/>
    </row>
    <row r="121" spans="1:15" ht="15.75" thickTop="1" x14ac:dyDescent="0.25">
      <c r="A121" s="2"/>
      <c r="B121" s="31"/>
      <c r="C121" s="76"/>
      <c r="D121" s="76"/>
      <c r="E121" s="31"/>
      <c r="F121" s="31"/>
      <c r="G121" s="31"/>
      <c r="H121" s="64"/>
      <c r="I121" s="64"/>
      <c r="J121" s="64"/>
      <c r="K121" s="65"/>
      <c r="L121" s="31"/>
      <c r="M121" s="31"/>
      <c r="N121" s="31"/>
      <c r="O121" s="31"/>
    </row>
    <row r="122" spans="1:15" ht="15" x14ac:dyDescent="0.25">
      <c r="A122" s="2"/>
      <c r="B122" s="31"/>
      <c r="C122" s="76"/>
      <c r="D122" s="76"/>
      <c r="E122" s="31"/>
      <c r="F122" s="31"/>
      <c r="G122" s="31"/>
      <c r="H122" s="34" t="s">
        <v>420</v>
      </c>
      <c r="I122" s="32"/>
      <c r="J122" s="32"/>
      <c r="K122" s="54"/>
      <c r="L122" s="31"/>
      <c r="M122" s="31"/>
      <c r="N122" s="31"/>
      <c r="O122" s="31"/>
    </row>
    <row r="123" spans="1:15" ht="15" x14ac:dyDescent="0.25">
      <c r="A123" s="2"/>
      <c r="B123" s="31"/>
      <c r="C123" s="76"/>
      <c r="D123" s="76"/>
      <c r="E123" s="31"/>
      <c r="F123" s="31"/>
      <c r="G123" s="31"/>
      <c r="H123" s="32" t="s">
        <v>151</v>
      </c>
      <c r="I123" s="32"/>
      <c r="J123" s="32"/>
      <c r="K123" s="46"/>
      <c r="L123" s="31"/>
      <c r="M123" s="31"/>
      <c r="N123" s="31"/>
      <c r="O123" s="31"/>
    </row>
    <row r="124" spans="1:15" ht="15" x14ac:dyDescent="0.25">
      <c r="A124" s="2"/>
      <c r="B124" s="31"/>
      <c r="C124" s="76"/>
      <c r="D124" s="76"/>
      <c r="E124" s="31"/>
      <c r="F124" s="31"/>
      <c r="G124" s="31"/>
      <c r="H124" s="32" t="s">
        <v>296</v>
      </c>
      <c r="I124" s="32"/>
      <c r="J124" s="32"/>
      <c r="K124" s="46"/>
      <c r="L124" s="31"/>
      <c r="M124" s="31"/>
      <c r="N124" s="31"/>
      <c r="O124" s="31"/>
    </row>
    <row r="125" spans="1:15" ht="15" x14ac:dyDescent="0.25">
      <c r="A125" s="2"/>
      <c r="B125" s="31"/>
      <c r="C125" s="76"/>
      <c r="D125" s="76"/>
      <c r="E125" s="31"/>
      <c r="F125" s="31"/>
      <c r="G125" s="31"/>
      <c r="H125" s="32" t="s">
        <v>421</v>
      </c>
      <c r="I125" s="32"/>
      <c r="J125" s="32"/>
      <c r="K125" s="46"/>
      <c r="L125" s="31"/>
      <c r="M125" s="31"/>
      <c r="N125" s="31"/>
      <c r="O125" s="31"/>
    </row>
    <row r="126" spans="1:15" ht="15" x14ac:dyDescent="0.25">
      <c r="A126" s="2"/>
      <c r="B126" s="31"/>
      <c r="C126" s="76"/>
      <c r="D126" s="76"/>
      <c r="E126" s="31"/>
      <c r="F126" s="31"/>
      <c r="G126" s="31"/>
      <c r="H126" s="32" t="s">
        <v>390</v>
      </c>
      <c r="I126" s="32"/>
      <c r="J126" s="32"/>
      <c r="K126" s="46"/>
      <c r="L126" s="31"/>
      <c r="M126" s="31"/>
      <c r="N126" s="31"/>
      <c r="O126" s="31"/>
    </row>
    <row r="127" spans="1:15" ht="15" x14ac:dyDescent="0.25">
      <c r="A127" s="2"/>
      <c r="B127" s="31"/>
      <c r="C127" s="76"/>
      <c r="D127" s="76"/>
      <c r="E127" s="31"/>
      <c r="F127" s="31"/>
      <c r="G127" s="31"/>
      <c r="H127" s="32"/>
      <c r="I127" s="32"/>
      <c r="J127" s="32"/>
      <c r="K127" s="57">
        <f>K123-K125+K124-K126</f>
        <v>0</v>
      </c>
      <c r="L127" s="31"/>
      <c r="M127" s="31"/>
      <c r="N127" s="31"/>
      <c r="O127" s="31"/>
    </row>
    <row r="128" spans="1:15" ht="15" x14ac:dyDescent="0.25">
      <c r="A128" s="2"/>
      <c r="B128" s="31"/>
      <c r="C128" s="76"/>
      <c r="D128" s="76"/>
      <c r="E128" s="31"/>
      <c r="F128" s="31"/>
      <c r="G128" s="31"/>
      <c r="H128" s="32" t="s">
        <v>156</v>
      </c>
      <c r="I128" s="32"/>
      <c r="J128" s="32"/>
      <c r="K128" s="46">
        <v>0</v>
      </c>
      <c r="L128" s="31"/>
      <c r="M128" s="31"/>
      <c r="N128" s="31"/>
      <c r="O128" s="31"/>
    </row>
    <row r="129" spans="1:15" ht="15.75" thickBot="1" x14ac:dyDescent="0.3">
      <c r="A129" s="2"/>
      <c r="B129" s="31"/>
      <c r="C129" s="76"/>
      <c r="D129" s="76"/>
      <c r="E129" s="31"/>
      <c r="F129" s="31"/>
      <c r="G129" s="31"/>
      <c r="H129" s="32" t="s">
        <v>221</v>
      </c>
      <c r="I129" s="32"/>
      <c r="J129" s="32"/>
      <c r="K129" s="63">
        <f>K128-K127</f>
        <v>0</v>
      </c>
      <c r="L129" s="31"/>
      <c r="M129" s="31"/>
      <c r="N129" s="31"/>
      <c r="O129" s="31"/>
    </row>
    <row r="130" spans="1:15" ht="15.75" thickTop="1" x14ac:dyDescent="0.25">
      <c r="A130" s="2"/>
    </row>
    <row r="131" spans="1:15" ht="15" x14ac:dyDescent="0.25">
      <c r="A131" s="2"/>
    </row>
    <row r="132" spans="1:15" ht="15" x14ac:dyDescent="0.25">
      <c r="A132" s="2"/>
    </row>
    <row r="133" spans="1:15" ht="15" x14ac:dyDescent="0.25">
      <c r="A133" s="2"/>
    </row>
    <row r="134" spans="1:15" ht="15" x14ac:dyDescent="0.25">
      <c r="A134" s="2"/>
    </row>
    <row r="135" spans="1:15" ht="15" x14ac:dyDescent="0.25">
      <c r="A135" s="2"/>
    </row>
    <row r="136" spans="1:15" ht="15" x14ac:dyDescent="0.25">
      <c r="A136" s="2"/>
    </row>
    <row r="137" spans="1:15" ht="15" x14ac:dyDescent="0.25">
      <c r="A137" s="2"/>
    </row>
    <row r="138" spans="1:15" ht="15" x14ac:dyDescent="0.25">
      <c r="A138" s="2"/>
    </row>
    <row r="139" spans="1:15" ht="15" x14ac:dyDescent="0.25">
      <c r="A139" s="2"/>
    </row>
    <row r="140" spans="1:15" ht="15" x14ac:dyDescent="0.25">
      <c r="A140" s="2"/>
    </row>
    <row r="141" spans="1:15" ht="15" x14ac:dyDescent="0.25">
      <c r="A141" s="2"/>
    </row>
    <row r="142" spans="1:15" ht="15" x14ac:dyDescent="0.25">
      <c r="A142" s="2"/>
    </row>
    <row r="143" spans="1:15" ht="15" x14ac:dyDescent="0.25">
      <c r="A143" s="2"/>
    </row>
    <row r="144" spans="1:15" ht="15" x14ac:dyDescent="0.25">
      <c r="A144" s="2"/>
    </row>
    <row r="145" spans="1:1" ht="15" x14ac:dyDescent="0.25">
      <c r="A145" s="2"/>
    </row>
    <row r="146" spans="1:1" ht="15" x14ac:dyDescent="0.25">
      <c r="A146" s="2"/>
    </row>
    <row r="147" spans="1:1" ht="15" x14ac:dyDescent="0.25">
      <c r="A147" s="2"/>
    </row>
    <row r="148" spans="1:1" ht="15" x14ac:dyDescent="0.25">
      <c r="A148" s="2"/>
    </row>
    <row r="149" spans="1:1" ht="15" x14ac:dyDescent="0.25">
      <c r="A149" s="2"/>
    </row>
    <row r="150" spans="1:1" ht="15" x14ac:dyDescent="0.25">
      <c r="A150" s="2"/>
    </row>
    <row r="151" spans="1:1" ht="15" x14ac:dyDescent="0.25">
      <c r="A151" s="2"/>
    </row>
    <row r="152" spans="1:1" ht="15" x14ac:dyDescent="0.25">
      <c r="A152" s="2"/>
    </row>
    <row r="153" spans="1:1" ht="15" x14ac:dyDescent="0.25">
      <c r="A153" s="2"/>
    </row>
    <row r="154" spans="1:1" ht="15" x14ac:dyDescent="0.25">
      <c r="A154" s="2"/>
    </row>
    <row r="155" spans="1:1" ht="15" x14ac:dyDescent="0.25">
      <c r="A155" s="2"/>
    </row>
    <row r="156" spans="1:1" ht="15" x14ac:dyDescent="0.25">
      <c r="A156" s="2"/>
    </row>
    <row r="157" spans="1:1" ht="15" x14ac:dyDescent="0.25">
      <c r="A157" s="2"/>
    </row>
    <row r="158" spans="1:1" ht="15" x14ac:dyDescent="0.25">
      <c r="A158" s="2"/>
    </row>
    <row r="159" spans="1:1" ht="15" x14ac:dyDescent="0.25">
      <c r="A159" s="2"/>
    </row>
    <row r="160" spans="1:1" ht="15" x14ac:dyDescent="0.25">
      <c r="A160" s="2"/>
    </row>
    <row r="161" spans="1:1" ht="15" x14ac:dyDescent="0.25">
      <c r="A161" s="2"/>
    </row>
    <row r="162" spans="1:1" ht="15" x14ac:dyDescent="0.25">
      <c r="A162" s="2"/>
    </row>
    <row r="163" spans="1:1" ht="15" x14ac:dyDescent="0.25">
      <c r="A163" s="2"/>
    </row>
    <row r="164" spans="1:1" ht="15" x14ac:dyDescent="0.25">
      <c r="A164" s="2"/>
    </row>
    <row r="165" spans="1:1" ht="15" x14ac:dyDescent="0.25">
      <c r="A165" s="2"/>
    </row>
    <row r="166" spans="1:1" ht="15" x14ac:dyDescent="0.25">
      <c r="A166" s="2"/>
    </row>
    <row r="167" spans="1:1" ht="15" x14ac:dyDescent="0.25">
      <c r="A167" s="2"/>
    </row>
    <row r="168" spans="1:1" ht="15" x14ac:dyDescent="0.25">
      <c r="A168" s="2"/>
    </row>
    <row r="169" spans="1:1" ht="15" x14ac:dyDescent="0.25">
      <c r="A169" s="2"/>
    </row>
    <row r="170" spans="1:1" ht="15" x14ac:dyDescent="0.25">
      <c r="A170" s="2"/>
    </row>
    <row r="171" spans="1:1" ht="15" x14ac:dyDescent="0.25">
      <c r="A171" s="2"/>
    </row>
    <row r="172" spans="1:1" ht="15" x14ac:dyDescent="0.25">
      <c r="A172" s="2"/>
    </row>
    <row r="173" spans="1:1" ht="15" x14ac:dyDescent="0.25">
      <c r="A173" s="2"/>
    </row>
    <row r="174" spans="1:1" ht="15" x14ac:dyDescent="0.25">
      <c r="A174" s="2"/>
    </row>
    <row r="175" spans="1:1" ht="15" x14ac:dyDescent="0.25">
      <c r="A175" s="2"/>
    </row>
    <row r="176" spans="1:1" ht="15" x14ac:dyDescent="0.25">
      <c r="A176" s="2"/>
    </row>
    <row r="177" spans="1:1" ht="15" x14ac:dyDescent="0.25">
      <c r="A177" s="2"/>
    </row>
    <row r="178" spans="1:1" ht="15" x14ac:dyDescent="0.25">
      <c r="A178" s="2"/>
    </row>
    <row r="179" spans="1:1" ht="15" x14ac:dyDescent="0.25">
      <c r="A179" s="2"/>
    </row>
    <row r="180" spans="1:1" ht="15" x14ac:dyDescent="0.25">
      <c r="A180" s="2"/>
    </row>
    <row r="181" spans="1:1" ht="15" x14ac:dyDescent="0.25">
      <c r="A181" s="2"/>
    </row>
    <row r="182" spans="1:1" ht="15" x14ac:dyDescent="0.25">
      <c r="A182" s="2"/>
    </row>
    <row r="183" spans="1:1" ht="15" x14ac:dyDescent="0.25">
      <c r="A183" s="2"/>
    </row>
    <row r="184" spans="1:1" ht="15" x14ac:dyDescent="0.25">
      <c r="A184" s="2"/>
    </row>
    <row r="185" spans="1:1" ht="15" x14ac:dyDescent="0.25">
      <c r="A185" s="2"/>
    </row>
    <row r="186" spans="1:1" ht="15" x14ac:dyDescent="0.25">
      <c r="A186" s="2"/>
    </row>
    <row r="187" spans="1:1" ht="15" x14ac:dyDescent="0.25">
      <c r="A187" s="2"/>
    </row>
    <row r="188" spans="1:1" ht="15" x14ac:dyDescent="0.25">
      <c r="A188" s="2"/>
    </row>
    <row r="189" spans="1:1" ht="15" x14ac:dyDescent="0.25">
      <c r="A189" s="2"/>
    </row>
    <row r="190" spans="1:1" ht="15" x14ac:dyDescent="0.25">
      <c r="A190" s="2"/>
    </row>
    <row r="191" spans="1:1" ht="15" x14ac:dyDescent="0.25">
      <c r="A191" s="2"/>
    </row>
    <row r="192" spans="1:1" ht="15" x14ac:dyDescent="0.25">
      <c r="A192" s="2"/>
    </row>
    <row r="193" spans="1:1" ht="15" x14ac:dyDescent="0.25">
      <c r="A193" s="2"/>
    </row>
    <row r="194" spans="1:1" ht="15" x14ac:dyDescent="0.25">
      <c r="A194" s="2"/>
    </row>
    <row r="195" spans="1:1" ht="15" x14ac:dyDescent="0.25">
      <c r="A195" s="2"/>
    </row>
    <row r="196" spans="1:1" ht="15" x14ac:dyDescent="0.25">
      <c r="A196" s="2"/>
    </row>
    <row r="197" spans="1:1" ht="15" x14ac:dyDescent="0.25">
      <c r="A197" s="2"/>
    </row>
    <row r="198" spans="1:1" ht="15" x14ac:dyDescent="0.25">
      <c r="A198" s="2"/>
    </row>
    <row r="199" spans="1:1" ht="15" x14ac:dyDescent="0.25">
      <c r="A199" s="2"/>
    </row>
    <row r="200" spans="1:1" ht="15" x14ac:dyDescent="0.25">
      <c r="A200" s="2"/>
    </row>
    <row r="201" spans="1:1" ht="15" x14ac:dyDescent="0.25">
      <c r="A201" s="2"/>
    </row>
    <row r="202" spans="1:1" ht="15" x14ac:dyDescent="0.25">
      <c r="A202" s="2"/>
    </row>
    <row r="203" spans="1:1" ht="15" x14ac:dyDescent="0.25">
      <c r="A203" s="2"/>
    </row>
    <row r="204" spans="1:1" ht="15" x14ac:dyDescent="0.25">
      <c r="A204" s="2"/>
    </row>
    <row r="205" spans="1:1" ht="15" x14ac:dyDescent="0.25">
      <c r="A205" s="2"/>
    </row>
    <row r="206" spans="1:1" ht="15" x14ac:dyDescent="0.25">
      <c r="A206" s="2"/>
    </row>
    <row r="207" spans="1:1" ht="15" x14ac:dyDescent="0.25">
      <c r="A207" s="2"/>
    </row>
    <row r="208" spans="1:1" ht="15" x14ac:dyDescent="0.25">
      <c r="A208" s="2"/>
    </row>
    <row r="209" spans="1:2" ht="15" x14ac:dyDescent="0.25">
      <c r="A209" s="2"/>
    </row>
    <row r="210" spans="1:2" ht="15" x14ac:dyDescent="0.25">
      <c r="A210" s="2"/>
    </row>
    <row r="211" spans="1:2" ht="15" x14ac:dyDescent="0.25">
      <c r="A211" s="2"/>
    </row>
    <row r="212" spans="1:2" ht="15" x14ac:dyDescent="0.25">
      <c r="A212" s="2"/>
    </row>
    <row r="213" spans="1:2" ht="15" x14ac:dyDescent="0.25">
      <c r="A213" s="2"/>
    </row>
    <row r="214" spans="1:2" ht="15" x14ac:dyDescent="0.25">
      <c r="A214" s="2"/>
    </row>
    <row r="215" spans="1:2" ht="15" x14ac:dyDescent="0.25">
      <c r="A215" s="2"/>
    </row>
    <row r="216" spans="1:2" ht="15" x14ac:dyDescent="0.25">
      <c r="A216" s="2"/>
    </row>
    <row r="217" spans="1:2" ht="15" x14ac:dyDescent="0.25">
      <c r="A217" s="2"/>
    </row>
    <row r="218" spans="1:2" ht="15" x14ac:dyDescent="0.25">
      <c r="A218" s="2"/>
    </row>
    <row r="219" spans="1:2" ht="15" x14ac:dyDescent="0.25">
      <c r="A219" s="2"/>
    </row>
    <row r="220" spans="1:2" ht="15" x14ac:dyDescent="0.25">
      <c r="A220" s="2"/>
    </row>
    <row r="221" spans="1:2" ht="15" x14ac:dyDescent="0.25">
      <c r="A221" s="2"/>
    </row>
    <row r="222" spans="1:2" ht="15" x14ac:dyDescent="0.25">
      <c r="A222" s="2"/>
    </row>
    <row r="223" spans="1:2" x14ac:dyDescent="0.2">
      <c r="B223" s="1" t="s">
        <v>356</v>
      </c>
    </row>
    <row r="235" spans="2:4" x14ac:dyDescent="0.2">
      <c r="B235" s="1" t="s">
        <v>287</v>
      </c>
      <c r="C235" s="6">
        <v>5000</v>
      </c>
      <c r="D235" s="6">
        <v>3000</v>
      </c>
    </row>
    <row r="236" spans="2:4" x14ac:dyDescent="0.2">
      <c r="C236" s="6">
        <f>SUM(C235)</f>
        <v>5000</v>
      </c>
      <c r="D236" s="6">
        <f>SUM(D235)</f>
        <v>3000</v>
      </c>
    </row>
    <row r="237" spans="2:4" x14ac:dyDescent="0.2">
      <c r="C237" s="6"/>
      <c r="D237" s="6"/>
    </row>
    <row r="238" spans="2:4" x14ac:dyDescent="0.2">
      <c r="B238" s="1" t="s">
        <v>95</v>
      </c>
      <c r="C238" s="6">
        <v>1000</v>
      </c>
      <c r="D238" s="6">
        <v>900</v>
      </c>
    </row>
    <row r="239" spans="2:4" x14ac:dyDescent="0.2">
      <c r="B239" s="1" t="s">
        <v>94</v>
      </c>
      <c r="C239" s="6">
        <v>550</v>
      </c>
      <c r="D239" s="6">
        <v>540</v>
      </c>
    </row>
    <row r="240" spans="2:4" x14ac:dyDescent="0.2">
      <c r="B240" s="1" t="s">
        <v>286</v>
      </c>
      <c r="C240" s="6">
        <v>150</v>
      </c>
      <c r="D240" s="6">
        <v>60</v>
      </c>
    </row>
    <row r="241" spans="2:5" x14ac:dyDescent="0.2">
      <c r="B241" s="1" t="s">
        <v>93</v>
      </c>
      <c r="C241" s="6">
        <v>950</v>
      </c>
      <c r="D241" s="6">
        <v>500</v>
      </c>
    </row>
    <row r="242" spans="2:5" x14ac:dyDescent="0.2">
      <c r="C242" s="6">
        <f>SUM(C238:C241)</f>
        <v>2650</v>
      </c>
      <c r="D242" s="6">
        <f>SUM(D238:D241)</f>
        <v>2000</v>
      </c>
    </row>
    <row r="243" spans="2:5" x14ac:dyDescent="0.2">
      <c r="B243" s="1" t="s">
        <v>285</v>
      </c>
      <c r="C243" s="6">
        <f>+C242+C236</f>
        <v>7650</v>
      </c>
      <c r="D243" s="6">
        <f>+D242+D236</f>
        <v>5000</v>
      </c>
    </row>
    <row r="244" spans="2:5" x14ac:dyDescent="0.2">
      <c r="C244" s="6"/>
      <c r="D244" s="6"/>
    </row>
    <row r="245" spans="2:5" x14ac:dyDescent="0.2">
      <c r="B245" s="1" t="s">
        <v>284</v>
      </c>
      <c r="C245" s="6">
        <v>1200</v>
      </c>
      <c r="D245" s="6">
        <v>1000</v>
      </c>
    </row>
    <row r="246" spans="2:5" x14ac:dyDescent="0.2">
      <c r="B246" s="1" t="s">
        <v>128</v>
      </c>
      <c r="C246" s="6">
        <v>400</v>
      </c>
      <c r="D246" s="6">
        <v>250</v>
      </c>
    </row>
    <row r="247" spans="2:5" x14ac:dyDescent="0.2">
      <c r="B247" s="1" t="s">
        <v>281</v>
      </c>
      <c r="C247" s="6">
        <v>120</v>
      </c>
      <c r="D247" s="6">
        <v>0</v>
      </c>
    </row>
    <row r="248" spans="2:5" x14ac:dyDescent="0.2">
      <c r="B248" s="1" t="s">
        <v>283</v>
      </c>
      <c r="C248" s="6">
        <v>1250</v>
      </c>
      <c r="D248" s="6">
        <v>150</v>
      </c>
    </row>
    <row r="249" spans="2:5" x14ac:dyDescent="0.2">
      <c r="B249" s="1" t="s">
        <v>280</v>
      </c>
      <c r="C249" s="6">
        <f>SUM(C245:C248)</f>
        <v>2970</v>
      </c>
      <c r="D249" s="6">
        <f>SUM(D245:D248)</f>
        <v>1400</v>
      </c>
    </row>
    <row r="250" spans="2:5" x14ac:dyDescent="0.2">
      <c r="C250" s="6"/>
      <c r="D250" s="6"/>
    </row>
    <row r="251" spans="2:5" x14ac:dyDescent="0.2">
      <c r="B251" s="1" t="s">
        <v>362</v>
      </c>
      <c r="C251" s="6">
        <v>1250</v>
      </c>
      <c r="D251" s="6">
        <v>1000</v>
      </c>
      <c r="E251" s="1" t="s">
        <v>358</v>
      </c>
    </row>
    <row r="252" spans="2:5" x14ac:dyDescent="0.2">
      <c r="B252" s="1" t="s">
        <v>357</v>
      </c>
      <c r="C252" s="6">
        <v>1950</v>
      </c>
      <c r="D252" s="6">
        <v>1600</v>
      </c>
      <c r="E252" s="1" t="s">
        <v>358</v>
      </c>
    </row>
    <row r="253" spans="2:5" x14ac:dyDescent="0.2">
      <c r="B253" s="1" t="s">
        <v>361</v>
      </c>
      <c r="C253" s="6">
        <v>25</v>
      </c>
      <c r="D253" s="6">
        <v>0</v>
      </c>
      <c r="E253" s="1" t="s">
        <v>358</v>
      </c>
    </row>
    <row r="254" spans="2:5" x14ac:dyDescent="0.2">
      <c r="B254" s="1" t="s">
        <v>360</v>
      </c>
      <c r="C254" s="6">
        <v>55</v>
      </c>
      <c r="D254" s="6">
        <v>0</v>
      </c>
      <c r="E254" s="1" t="s">
        <v>358</v>
      </c>
    </row>
    <row r="255" spans="2:5" x14ac:dyDescent="0.2">
      <c r="C255" s="6">
        <f>SUM(C251:C254)</f>
        <v>3280</v>
      </c>
      <c r="D255" s="6">
        <f>SUM(D251:D254)</f>
        <v>2600</v>
      </c>
    </row>
    <row r="256" spans="2:5" x14ac:dyDescent="0.2">
      <c r="C256" s="6"/>
      <c r="D256" s="6"/>
    </row>
    <row r="257" spans="2:5" x14ac:dyDescent="0.2">
      <c r="B257" s="1" t="s">
        <v>359</v>
      </c>
      <c r="C257" s="6">
        <v>750</v>
      </c>
      <c r="D257" s="6">
        <v>400</v>
      </c>
      <c r="E257" s="1" t="s">
        <v>358</v>
      </c>
    </row>
    <row r="258" spans="2:5" x14ac:dyDescent="0.2">
      <c r="B258" s="1" t="s">
        <v>92</v>
      </c>
      <c r="C258" s="6">
        <v>450</v>
      </c>
      <c r="D258" s="6">
        <v>500</v>
      </c>
    </row>
    <row r="259" spans="2:5" x14ac:dyDescent="0.2">
      <c r="B259" s="1" t="s">
        <v>357</v>
      </c>
      <c r="C259" s="6">
        <v>200</v>
      </c>
      <c r="D259" s="6">
        <v>100</v>
      </c>
      <c r="E259" s="1" t="s">
        <v>358</v>
      </c>
    </row>
    <row r="260" spans="2:5" x14ac:dyDescent="0.2">
      <c r="B260" s="1" t="s">
        <v>274</v>
      </c>
      <c r="C260" s="6">
        <f>SUM(C257:C259)</f>
        <v>1400</v>
      </c>
      <c r="D260" s="6">
        <f>SUM(D257:D259)</f>
        <v>1000</v>
      </c>
    </row>
    <row r="261" spans="2:5" x14ac:dyDescent="0.2">
      <c r="B261" s="1" t="s">
        <v>273</v>
      </c>
      <c r="C261" s="6">
        <f>+C260+C255</f>
        <v>4680</v>
      </c>
      <c r="D261" s="6">
        <f>+D260+D255</f>
        <v>3600</v>
      </c>
    </row>
    <row r="262" spans="2:5" x14ac:dyDescent="0.2">
      <c r="B262" s="1" t="s">
        <v>272</v>
      </c>
      <c r="C262" s="6">
        <f>+C261+C249</f>
        <v>7650</v>
      </c>
      <c r="D262" s="6">
        <f>+D261+D249</f>
        <v>5000</v>
      </c>
    </row>
  </sheetData>
  <conditionalFormatting sqref="C57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A1" location="Main!A1" display="Main" xr:uid="{7D4D0258-F5F9-4F7F-BB91-083A75FBBA6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208D-2DB4-4322-AC95-D43D2758EE9D}">
  <sheetPr codeName="Sheet8">
    <tabColor rgb="FFFFFF00"/>
  </sheetPr>
  <dimension ref="A1"/>
  <sheetViews>
    <sheetView tabSelected="1" workbookViewId="0">
      <selection activeCell="D12" sqref="D12"/>
    </sheetView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9FB3A1AE-6A4D-4272-B9FA-98506EC4B82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9E5D-80DA-45E1-B0F0-B8DBA072EFF4}">
  <sheetPr codeName="Sheet9">
    <tabColor rgb="FFFFFF00"/>
  </sheetPr>
  <dimension ref="A1"/>
  <sheetViews>
    <sheetView workbookViewId="0"/>
  </sheetViews>
  <sheetFormatPr defaultRowHeight="12" x14ac:dyDescent="0.2"/>
  <cols>
    <col min="1" max="16384" width="9.140625" style="1"/>
  </cols>
  <sheetData>
    <row r="1" spans="1:1" ht="15" x14ac:dyDescent="0.25">
      <c r="A1" s="2" t="s">
        <v>0</v>
      </c>
    </row>
  </sheetData>
  <hyperlinks>
    <hyperlink ref="A1" location="Main!A1" display="Main" xr:uid="{29AE5732-F21E-45BD-AE0E-E20585B2DB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Module 24</vt:lpstr>
      <vt:lpstr>WSE24.1</vt:lpstr>
      <vt:lpstr>WSE24.2</vt:lpstr>
      <vt:lpstr>WSE24.3</vt:lpstr>
      <vt:lpstr>WSE24.4</vt:lpstr>
      <vt:lpstr>WSE24.5</vt:lpstr>
      <vt:lpstr>WSE24.6</vt:lpstr>
      <vt:lpstr>WSE24.7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cp:lastPrinted>2023-05-28T20:50:08Z</cp:lastPrinted>
  <dcterms:created xsi:type="dcterms:W3CDTF">2023-05-16T23:48:54Z</dcterms:created>
  <dcterms:modified xsi:type="dcterms:W3CDTF">2023-05-30T19:09:04Z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