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1300" documentId="8_{FD3ED545-F1D9-42B9-BF3B-68B579A73AE2}" xr6:coauthVersionLast="47" xr6:coauthVersionMax="47" xr10:uidLastSave="{5A62D38A-221E-49F9-AAF9-C08FAC54F76A}"/>
  <bookViews>
    <workbookView xWindow="4680" yWindow="4680" windowWidth="5415" windowHeight="11385" activeTab="4" xr2:uid="{DF5AE081-8450-4B7E-8634-5B62B0F464C3}"/>
  </bookViews>
  <sheets>
    <sheet name="Main" sheetId="1" r:id="rId1"/>
    <sheet name="Module 14" sheetId="2" r:id="rId2"/>
    <sheet name="WSE14.1" sheetId="4" r:id="rId3"/>
    <sheet name="WSE14.2" sheetId="5" r:id="rId4"/>
    <sheet name="WSE14.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A2" i="6"/>
  <c r="D202" i="6"/>
  <c r="H196" i="6"/>
  <c r="H197" i="6"/>
  <c r="H198" i="6"/>
  <c r="H199" i="6"/>
  <c r="H200" i="6"/>
  <c r="E199" i="6"/>
  <c r="F199" i="6" s="1"/>
  <c r="D199" i="6"/>
  <c r="D198" i="6"/>
  <c r="D197" i="6"/>
  <c r="E74" i="6"/>
  <c r="E196" i="6"/>
  <c r="D201" i="6"/>
  <c r="E194" i="6"/>
  <c r="F194" i="6" s="1"/>
  <c r="E191" i="6"/>
  <c r="F191" i="6" s="1"/>
  <c r="E192" i="6"/>
  <c r="F192" i="6" s="1"/>
  <c r="E193" i="6"/>
  <c r="F193" i="6" s="1"/>
  <c r="E195" i="6"/>
  <c r="F195" i="6" s="1"/>
  <c r="E197" i="6"/>
  <c r="E198" i="6"/>
  <c r="C184" i="6"/>
  <c r="D160" i="6"/>
  <c r="D161" i="6" s="1"/>
  <c r="E163" i="6" s="1"/>
  <c r="F164" i="6" s="1"/>
  <c r="E152" i="6"/>
  <c r="E143" i="6"/>
  <c r="E142" i="6"/>
  <c r="C134" i="6"/>
  <c r="D128" i="6"/>
  <c r="D130" i="6" s="1"/>
  <c r="C128" i="6"/>
  <c r="C130" i="6" s="1"/>
  <c r="F119" i="6"/>
  <c r="C105" i="6"/>
  <c r="D104" i="6"/>
  <c r="D101" i="6"/>
  <c r="D103" i="6" s="1"/>
  <c r="D105" i="6" s="1"/>
  <c r="D106" i="6" s="1"/>
  <c r="C101" i="6"/>
  <c r="C103" i="6" s="1"/>
  <c r="E75" i="6"/>
  <c r="E77" i="6"/>
  <c r="C74" i="6"/>
  <c r="D74" i="6" s="1"/>
  <c r="E89" i="6" s="1"/>
  <c r="E76" i="6"/>
  <c r="E78" i="6"/>
  <c r="E79" i="6"/>
  <c r="F198" i="6" l="1"/>
  <c r="F197" i="6"/>
  <c r="F196" i="6"/>
  <c r="F144" i="6"/>
  <c r="E148" i="6"/>
  <c r="F149" i="6" s="1"/>
  <c r="F90" i="6"/>
  <c r="C106" i="6"/>
  <c r="F110" i="6" s="1"/>
  <c r="E83" i="6"/>
  <c r="F84" i="6" s="1"/>
  <c r="F74" i="6"/>
  <c r="C75" i="6" s="1"/>
  <c r="F200" i="6" l="1"/>
  <c r="D203" i="6" s="1"/>
  <c r="E109" i="6"/>
  <c r="F153" i="6"/>
  <c r="E154" i="6" s="1"/>
  <c r="D75" i="6"/>
  <c r="F75" i="6" s="1"/>
  <c r="C76" i="6" s="1"/>
  <c r="E209" i="6" l="1"/>
  <c r="F210" i="6" s="1"/>
  <c r="E205" i="6"/>
  <c r="F206" i="6" s="1"/>
  <c r="D76" i="6"/>
  <c r="F76" i="6" s="1"/>
  <c r="C77" i="6" s="1"/>
  <c r="D77" i="6" l="1"/>
  <c r="F77" i="6" s="1"/>
  <c r="C78" i="6" s="1"/>
  <c r="D78" i="6" l="1"/>
  <c r="F78" i="6" s="1"/>
  <c r="C79" i="6" s="1"/>
  <c r="D79" i="6" l="1"/>
  <c r="F79" i="6" s="1"/>
  <c r="E69" i="6" l="1"/>
  <c r="F70" i="6" s="1"/>
  <c r="E54" i="6"/>
  <c r="C19" i="6"/>
  <c r="C17" i="6"/>
  <c r="E33" i="6" s="1"/>
  <c r="C18" i="6"/>
  <c r="C32" i="6" s="1"/>
  <c r="E26" i="6"/>
  <c r="B3" i="6"/>
  <c r="F25" i="6" l="1"/>
  <c r="D32" i="6"/>
  <c r="E43" i="6" s="1"/>
  <c r="F44" i="6" s="1"/>
  <c r="E32" i="6"/>
  <c r="E49" i="6" s="1"/>
  <c r="F50" i="6" s="1"/>
  <c r="E36" i="6"/>
  <c r="E35" i="6"/>
  <c r="E34" i="6"/>
  <c r="F32" i="6" l="1"/>
  <c r="C33" i="6" l="1"/>
  <c r="D33" i="6" s="1"/>
  <c r="F33" i="6" s="1"/>
  <c r="C39" i="6" l="1"/>
  <c r="C34" i="6"/>
  <c r="C38" i="6"/>
  <c r="C40" i="6" s="1"/>
  <c r="D34" i="6" l="1"/>
  <c r="F34" i="6" s="1"/>
  <c r="C35" i="6" s="1"/>
  <c r="D35" i="6" s="1"/>
  <c r="F35" i="6" s="1"/>
  <c r="C36" i="6" s="1"/>
  <c r="D36" i="6" s="1"/>
  <c r="F36" i="6" s="1"/>
  <c r="E70" i="5" l="1"/>
  <c r="C68" i="5"/>
  <c r="C55" i="5"/>
  <c r="E68" i="5"/>
  <c r="C77" i="5"/>
  <c r="D87" i="5" s="1"/>
  <c r="D68" i="5" l="1"/>
  <c r="F71" i="5" l="1"/>
  <c r="F68" i="5"/>
  <c r="C78" i="5" s="1"/>
  <c r="C86" i="5" s="1"/>
  <c r="C79" i="5" l="1"/>
  <c r="D88" i="5" s="1"/>
  <c r="E41" i="5" l="1"/>
  <c r="C31" i="5"/>
  <c r="C23" i="5"/>
  <c r="F42" i="5" s="1"/>
  <c r="C21" i="5"/>
  <c r="F15" i="5"/>
  <c r="C27" i="5" l="1"/>
  <c r="E40" i="5" s="1"/>
  <c r="C32" i="5"/>
  <c r="C33" i="5" s="1"/>
  <c r="E35" i="5" s="1"/>
  <c r="F36" i="5" s="1"/>
  <c r="D17" i="4"/>
  <c r="D16" i="4"/>
  <c r="C31" i="4"/>
  <c r="E26" i="4"/>
  <c r="C9" i="4"/>
  <c r="C32" i="4" s="1"/>
  <c r="D18" i="4" l="1"/>
  <c r="E20" i="4" s="1"/>
  <c r="F21" i="4" s="1"/>
  <c r="C33" i="4"/>
  <c r="F27" i="4"/>
  <c r="E25" i="4"/>
  <c r="F36" i="4" l="1"/>
  <c r="E35" i="4"/>
  <c r="F246" i="2" l="1"/>
  <c r="E245" i="2"/>
  <c r="F242" i="2"/>
  <c r="F241" i="2"/>
  <c r="F240" i="2"/>
  <c r="E239" i="2"/>
  <c r="C237" i="2"/>
  <c r="C236" i="2"/>
  <c r="C235" i="2"/>
  <c r="C234" i="2"/>
  <c r="C233" i="2"/>
  <c r="D159" i="2"/>
  <c r="E167" i="2" s="1"/>
  <c r="C155" i="2"/>
  <c r="C156" i="2" s="1"/>
  <c r="C157" i="2" s="1"/>
  <c r="D160" i="2" s="1"/>
  <c r="D161" i="2" s="1"/>
  <c r="F168" i="2" s="1"/>
  <c r="E140" i="2"/>
  <c r="F143" i="2"/>
  <c r="F142" i="2"/>
  <c r="E141" i="2" s="1"/>
  <c r="F118" i="2"/>
  <c r="E117" i="2" s="1"/>
  <c r="E137" i="2"/>
  <c r="F128" i="2"/>
  <c r="E121" i="2"/>
  <c r="F122" i="2" s="1"/>
  <c r="D114" i="2"/>
  <c r="D115" i="2" s="1"/>
  <c r="E126" i="2" s="1"/>
  <c r="E163" i="2" l="1"/>
  <c r="F164" i="2" s="1"/>
  <c r="F169" i="2"/>
  <c r="E127" i="2"/>
</calcChain>
</file>

<file path=xl/sharedStrings.xml><?xml version="1.0" encoding="utf-8"?>
<sst xmlns="http://schemas.openxmlformats.org/spreadsheetml/2006/main" count="406" uniqueCount="333">
  <si>
    <t>Module 14 - Financial Instruments Derecognition</t>
  </si>
  <si>
    <t>Main</t>
  </si>
  <si>
    <t>Module 14</t>
  </si>
  <si>
    <t>Cashflow expired</t>
  </si>
  <si>
    <t>Cashflow from an asset can expire when:</t>
  </si>
  <si>
    <t>Settlement</t>
  </si>
  <si>
    <t>Lapse</t>
  </si>
  <si>
    <t>Cancellation</t>
  </si>
  <si>
    <t>cash received to settle AR</t>
  </si>
  <si>
    <t>options expire before recognition</t>
  </si>
  <si>
    <t>higher court ruling cancels damagess due to the resulf of a lower court decision</t>
  </si>
  <si>
    <t>Can transfer the asset</t>
  </si>
  <si>
    <t>onlt derecognised if the risks and rewards of the aset are alos transferred</t>
  </si>
  <si>
    <t>If the exposure does not significantly reduce, then the asset is retained</t>
  </si>
  <si>
    <t>if exposure is no longer significant then there is no longer exposure to the liability from the original owner</t>
  </si>
  <si>
    <t>Example 1</t>
  </si>
  <si>
    <t>YE</t>
  </si>
  <si>
    <t>Loan repaid - no exposure as debt paid off</t>
  </si>
  <si>
    <t>AR</t>
  </si>
  <si>
    <t>non-recourse basis</t>
  </si>
  <si>
    <t>this obligation has been transferred as debt sold fully.  Cannot come back to us</t>
  </si>
  <si>
    <t>rights for cashflows have expired</t>
  </si>
  <si>
    <t>no further cashflows expected</t>
  </si>
  <si>
    <t>title of the debts has changed hand.</t>
  </si>
  <si>
    <t>right to receive the cash has transferrred to the factor</t>
  </si>
  <si>
    <t>call option to repurchase the shares in 4 year time</t>
  </si>
  <si>
    <t>at price plus interest at 2%</t>
  </si>
  <si>
    <t>we are still bearing the risk and reward and the bank has an equivalent put option</t>
  </si>
  <si>
    <t>reward - we can exercise out option and buy the shares at a favourable price - pricing in the cashflows in the interim</t>
  </si>
  <si>
    <t>risk - bank could force us to buy the shares back.  If they went down - we are still exposed to the risk</t>
  </si>
  <si>
    <t>any proceeds received on transfer are recognised as a financial liabilty</t>
  </si>
  <si>
    <t>the retained asset and financial liability are not offset</t>
  </si>
  <si>
    <t>carrying amount at the date of derecognition</t>
  </si>
  <si>
    <t>Amortised cost</t>
  </si>
  <si>
    <t>recognise the finance cost up to the date of de-recognition</t>
  </si>
  <si>
    <t>up until the date of disposal</t>
  </si>
  <si>
    <t xml:space="preserve">FVTPL </t>
  </si>
  <si>
    <t>remeasured prior to derecognition</t>
  </si>
  <si>
    <t>the only loss we will have is selling cost</t>
  </si>
  <si>
    <t>given the selling price.  Revalue the asset to the selling price.  Less cost of disposal and recognise the difference</t>
  </si>
  <si>
    <t>FVTOCI</t>
  </si>
  <si>
    <t>may have a revaluation surplus which related to the financial asset we are disposing.</t>
  </si>
  <si>
    <t>the reval surplus needs to be sweeped to RE</t>
  </si>
  <si>
    <t>cannot hold a surplus for an asset we no longer have</t>
  </si>
  <si>
    <t>exam tip - financial asset always sold at fair value</t>
  </si>
  <si>
    <t>surplus balance will chagen on revaluation</t>
  </si>
  <si>
    <t>movement in surplus when revaluing before disposing</t>
  </si>
  <si>
    <t>Activity 1</t>
  </si>
  <si>
    <t>FVTPL</t>
  </si>
  <si>
    <t>share value</t>
  </si>
  <si>
    <t>dividend received</t>
  </si>
  <si>
    <t>FV</t>
  </si>
  <si>
    <t>selling cost</t>
  </si>
  <si>
    <t>revalue the asset</t>
  </si>
  <si>
    <t>dispose revalued asset</t>
  </si>
  <si>
    <t>cr - reval surp</t>
  </si>
  <si>
    <t>Elsanna plc - FVTOCI</t>
  </si>
  <si>
    <t>reval deficit</t>
  </si>
  <si>
    <t>opening reval deficit</t>
  </si>
  <si>
    <t>proceeds</t>
  </si>
  <si>
    <t>reval to FV</t>
  </si>
  <si>
    <t>cr-  dividends received</t>
  </si>
  <si>
    <t>dr - revenue</t>
  </si>
  <si>
    <t>dr - finanical asset</t>
  </si>
  <si>
    <t>cr - SPL Fair value gain</t>
  </si>
  <si>
    <t>being reval of FVTOCI</t>
  </si>
  <si>
    <t>cr - reval deficit</t>
  </si>
  <si>
    <t>dr - financial asset</t>
  </si>
  <si>
    <t>dr - admin expense - selling cost</t>
  </si>
  <si>
    <t>dr - SPL revenue</t>
  </si>
  <si>
    <t>being correction to sale of investment in shares</t>
  </si>
  <si>
    <t>being fair value gain on investments in shares</t>
  </si>
  <si>
    <t>Kickstart</t>
  </si>
  <si>
    <t>NBV</t>
  </si>
  <si>
    <t>effective interest rate</t>
  </si>
  <si>
    <t>interest paid</t>
  </si>
  <si>
    <t>each year</t>
  </si>
  <si>
    <t>dr revenue</t>
  </si>
  <si>
    <t>cr - financial asset</t>
  </si>
  <si>
    <t>dr - RE</t>
  </si>
  <si>
    <t>being correction for sale of investment in shaeres and transfer of revaluatoin deficit to RE</t>
  </si>
  <si>
    <t>&lt;&lt;&lt;v. important to sweep the reval reserve to RE</t>
  </si>
  <si>
    <t>calculate the finance income and then dercognising</t>
  </si>
  <si>
    <t>Net proceeds</t>
  </si>
  <si>
    <t>carrying amount</t>
  </si>
  <si>
    <t>Finance income</t>
  </si>
  <si>
    <t>&lt;&lt;&lt;add this to the value of the asset</t>
  </si>
  <si>
    <t>gain on sale</t>
  </si>
  <si>
    <t>cr - gain on sale</t>
  </si>
  <si>
    <t>cr - fiancne income</t>
  </si>
  <si>
    <t>being correctoin to sale of investment in bonds</t>
  </si>
  <si>
    <t>being finance income for the three months ended 31/03/24</t>
  </si>
  <si>
    <t>transfer any remaining revaluation balance to retained earnings</t>
  </si>
  <si>
    <t>Example 2</t>
  </si>
  <si>
    <t>Loan payable</t>
  </si>
  <si>
    <t>Bonds</t>
  </si>
  <si>
    <t>Legal damages payable</t>
  </si>
  <si>
    <t>The liability has been cancelled by legal process and should be derecognised and
credited to profit or loss. The costs of £25,000 should be written off to profit or loss.</t>
  </si>
  <si>
    <t>The bonds should be derecognised as the purchase extinguishes the obligation.
A gain of £80,000 should be recognised in profit or loss.</t>
  </si>
  <si>
    <t>The loan should be derecognised as the obligation has been discharged through
payment. The £40,000 early payment penalty gives rise to a loss in profit or loss.</t>
  </si>
  <si>
    <t>Activity 2</t>
  </si>
  <si>
    <t>Equity</t>
  </si>
  <si>
    <t>Reserve for convertible bonds</t>
  </si>
  <si>
    <t>CL</t>
  </si>
  <si>
    <t>Convertible bonds</t>
  </si>
  <si>
    <t>Terms</t>
  </si>
  <si>
    <t>share per</t>
  </si>
  <si>
    <t>bonds</t>
  </si>
  <si>
    <t>Cash paid</t>
  </si>
  <si>
    <t>% of converters</t>
  </si>
  <si>
    <t>&lt;&lt;did not convert - just redeemed</t>
  </si>
  <si>
    <t>number of bonds</t>
  </si>
  <si>
    <t>Shares issued</t>
  </si>
  <si>
    <t>shares issued</t>
  </si>
  <si>
    <t>Cshares capital</t>
  </si>
  <si>
    <t>Share premium</t>
  </si>
  <si>
    <t>dr - convertible bonds</t>
  </si>
  <si>
    <t>cr - bank</t>
  </si>
  <si>
    <t>cr - Share captial</t>
  </si>
  <si>
    <t>cr - share premium</t>
  </si>
  <si>
    <t>being redemption and conversion of bonds</t>
  </si>
  <si>
    <t>Dr - reserve for ocnvertible bonds</t>
  </si>
  <si>
    <t>cr - RE</t>
  </si>
  <si>
    <t>being transfer from reserve for convertible bonds</t>
  </si>
  <si>
    <t>Use the financial instruments summary pages</t>
  </si>
  <si>
    <t>WSE14.1</t>
  </si>
  <si>
    <t>Borthwick plc</t>
  </si>
  <si>
    <t>acquired</t>
  </si>
  <si>
    <t>par</t>
  </si>
  <si>
    <t>shares</t>
  </si>
  <si>
    <t>cost</t>
  </si>
  <si>
    <t>acq. Cost</t>
  </si>
  <si>
    <t>selling costd</t>
  </si>
  <si>
    <t>net proceeds credited to other income</t>
  </si>
  <si>
    <t>revalue to the FV on date of disposal</t>
  </si>
  <si>
    <t>gain on reval</t>
  </si>
  <si>
    <t>now recognised the sale</t>
  </si>
  <si>
    <t>dr - admin cost</t>
  </si>
  <si>
    <t>being sale of financial asset</t>
  </si>
  <si>
    <t>dr - other income</t>
  </si>
  <si>
    <t>FV 31/12/22</t>
  </si>
  <si>
    <t>FV 08/11/2023</t>
  </si>
  <si>
    <t>dr - reval reserve</t>
  </si>
  <si>
    <t>FV loss</t>
  </si>
  <si>
    <t>being fair value loss at derecognition</t>
  </si>
  <si>
    <t>Cumulative fair value gains</t>
  </si>
  <si>
    <r>
      <t xml:space="preserve">&lt;&lt;&lt;could do it for each one and net it off.  </t>
    </r>
    <r>
      <rPr>
        <b/>
        <sz val="9"/>
        <color theme="1"/>
        <rFont val="Calibri"/>
        <family val="2"/>
        <scheme val="minor"/>
      </rPr>
      <t>Key thing to watch out for is the transaction costs being rolled into the cost</t>
    </r>
  </si>
  <si>
    <t>being transfer of cumulative FV to RE</t>
  </si>
  <si>
    <t>&lt;&lt;&lt;don't forget to roll transaction cost into the FV</t>
  </si>
  <si>
    <t>&lt;&lt;&lt;never forget the transfer to RE if accounting through OCI</t>
  </si>
  <si>
    <t>WSE14.2</t>
  </si>
  <si>
    <t>Patel plc</t>
  </si>
  <si>
    <t>derecognition of financial assets</t>
  </si>
  <si>
    <t>Option</t>
  </si>
  <si>
    <t>out of the money</t>
  </si>
  <si>
    <t>not a hedging relationshup</t>
  </si>
  <si>
    <t>dr - SPL finance cost</t>
  </si>
  <si>
    <t>cr - banks</t>
  </si>
  <si>
    <t>cost of unexcoxised currency option</t>
  </si>
  <si>
    <t>Investment in shares</t>
  </si>
  <si>
    <t>k shares</t>
  </si>
  <si>
    <t xml:space="preserve"> at par</t>
  </si>
  <si>
    <t>per share at</t>
  </si>
  <si>
    <t>at date of sale</t>
  </si>
  <si>
    <t>net proceeds</t>
  </si>
  <si>
    <t>cr - other income</t>
  </si>
  <si>
    <t>journal to correct</t>
  </si>
  <si>
    <t>we need to revalue the asset to the fair value on the date of derecognition</t>
  </si>
  <si>
    <t>gain on share reval measured at FVPL</t>
  </si>
  <si>
    <t>Then measure the disposal</t>
  </si>
  <si>
    <t>dr - admin exp - selling cost</t>
  </si>
  <si>
    <t>being correction of disposal journal</t>
  </si>
  <si>
    <t>Issued bonds</t>
  </si>
  <si>
    <t>issued</t>
  </si>
  <si>
    <t>coupon</t>
  </si>
  <si>
    <t>on</t>
  </si>
  <si>
    <t>redemption date</t>
  </si>
  <si>
    <t xml:space="preserve">at </t>
  </si>
  <si>
    <t>interest paid on all outstanding bonds at 31/01/2027</t>
  </si>
  <si>
    <t>dr - finance cost</t>
  </si>
  <si>
    <t xml:space="preserve">question is around the derecognition of </t>
  </si>
  <si>
    <t xml:space="preserve">bonds on </t>
  </si>
  <si>
    <t>this is prior to the contracted redemption date so the redemption price of £1.05 does not need to be factored into workings</t>
  </si>
  <si>
    <t>do the computation as if disposing of 5,000 shares and then rate down to 2,000 at the end end of workings</t>
  </si>
  <si>
    <t>Step 3:</t>
  </si>
  <si>
    <t>Derecognition</t>
  </si>
  <si>
    <t>£000</t>
  </si>
  <si>
    <t>Payment</t>
  </si>
  <si>
    <t>bonds purchased * amount per bond</t>
  </si>
  <si>
    <t>Carrying Amount at date of derecognition</t>
  </si>
  <si>
    <t>(bonds purchased / total bonds) * closing balance per above table</t>
  </si>
  <si>
    <t>gain if positive</t>
  </si>
  <si>
    <t>Description</t>
  </si>
  <si>
    <t>DR</t>
  </si>
  <si>
    <t>CR</t>
  </si>
  <si>
    <t xml:space="preserve">       Bank</t>
  </si>
  <si>
    <t>being derecognition of bonds</t>
  </si>
  <si>
    <t>at price</t>
  </si>
  <si>
    <t>Subsequent measurement</t>
  </si>
  <si>
    <t>Opening balance</t>
  </si>
  <si>
    <t>effective</t>
  </si>
  <si>
    <t>Nominal</t>
  </si>
  <si>
    <t>Closing balance</t>
  </si>
  <si>
    <t>cr - Bonds</t>
  </si>
  <si>
    <t>being recognition of finance cost</t>
  </si>
  <si>
    <t>As the option is a non-hedging derivative, it should be classified as fair value through profit or loss.</t>
  </si>
  <si>
    <t>As the option has expired unexercised, the derivative must be removed and a loss of £25k recognised though profit or loss.</t>
  </si>
  <si>
    <t>gain on redemption</t>
  </si>
  <si>
    <r>
      <t>Redeeming bonds discharges the liability and so bonds are removed, with a gain</t>
    </r>
    <r>
      <rPr>
        <sz val="11"/>
        <color theme="1"/>
        <rFont val="Calibri"/>
        <family val="2"/>
        <scheme val="minor"/>
      </rPr>
      <t xml:space="preserve"> on redemption of </t>
    </r>
    <r>
      <rPr>
        <b/>
        <sz val="11"/>
        <color theme="1"/>
        <rFont val="Calibri"/>
        <family val="2"/>
        <scheme val="minor"/>
      </rPr>
      <t>£37</t>
    </r>
    <r>
      <rPr>
        <sz val="11"/>
        <color theme="1"/>
        <rFont val="Calibri"/>
        <family val="2"/>
        <scheme val="minor"/>
      </rPr>
      <t xml:space="preserve"> recognised in Profit or Loss</t>
    </r>
  </si>
  <si>
    <t xml:space="preserve">       gain on redemption</t>
  </si>
  <si>
    <t>Round Group</t>
  </si>
  <si>
    <t>discount</t>
  </si>
  <si>
    <t>premium</t>
  </si>
  <si>
    <t>repayment</t>
  </si>
  <si>
    <t>paid back</t>
  </si>
  <si>
    <t>issue costs</t>
  </si>
  <si>
    <t>journals to correst</t>
  </si>
  <si>
    <t>cr - non-current liab</t>
  </si>
  <si>
    <t>dr -finance cost</t>
  </si>
  <si>
    <t>Liabilities are not put through FVTPL so will be accounted for at amortised cost</t>
  </si>
  <si>
    <t xml:space="preserve"> </t>
  </si>
  <si>
    <t>Principl</t>
  </si>
  <si>
    <t>Issue amount</t>
  </si>
  <si>
    <t>Capitalised fees</t>
  </si>
  <si>
    <t>nominal interest rate</t>
  </si>
  <si>
    <t xml:space="preserve">payable in </t>
  </si>
  <si>
    <t>arrears</t>
  </si>
  <si>
    <t>Effective interest</t>
  </si>
  <si>
    <t>Nominal interest</t>
  </si>
  <si>
    <t>Non-current loan payable</t>
  </si>
  <si>
    <t>Current loan payable</t>
  </si>
  <si>
    <t>loan payable at year end</t>
  </si>
  <si>
    <t>recognise a current liab</t>
  </si>
  <si>
    <t xml:space="preserve"> capitlaise the issue costs</t>
  </si>
  <si>
    <t>cr - finance cost</t>
  </si>
  <si>
    <t>dr - bond</t>
  </si>
  <si>
    <t>Loan to supplier</t>
  </si>
  <si>
    <t>6m</t>
  </si>
  <si>
    <t>loan</t>
  </si>
  <si>
    <t>interest</t>
  </si>
  <si>
    <t xml:space="preserve">due </t>
  </si>
  <si>
    <t>due on 30 June each year</t>
  </si>
  <si>
    <t>effective rate of interest</t>
  </si>
  <si>
    <t>loan classsed</t>
  </si>
  <si>
    <t>amoritsed cost</t>
  </si>
  <si>
    <t>incorrect journals to correct</t>
  </si>
  <si>
    <t>dr - AR</t>
  </si>
  <si>
    <t>pa</t>
  </si>
  <si>
    <t>cr - loan</t>
  </si>
  <si>
    <t>period ended</t>
  </si>
  <si>
    <t>Nominal interst</t>
  </si>
  <si>
    <t>closing balance</t>
  </si>
  <si>
    <t>recognise loan receivable</t>
  </si>
  <si>
    <t>dr - loan recievable</t>
  </si>
  <si>
    <t>interest earned is recognised as finance income in the statement of profit and loss and is added to the financial asset</t>
  </si>
  <si>
    <t>dr - loan receivable</t>
  </si>
  <si>
    <t>cr - AR</t>
  </si>
  <si>
    <t>being recognition of loan receivable and correction of intitial journal entry</t>
  </si>
  <si>
    <t>Investment in shares - Triangle and Hexagon</t>
  </si>
  <si>
    <t>acuired the following</t>
  </si>
  <si>
    <t>Triangle</t>
  </si>
  <si>
    <t>Hex</t>
  </si>
  <si>
    <t>Shares</t>
  </si>
  <si>
    <t>cost/share</t>
  </si>
  <si>
    <t>trans cost</t>
  </si>
  <si>
    <t>consideration</t>
  </si>
  <si>
    <t>Cost</t>
  </si>
  <si>
    <t>FV 31/12/2023</t>
  </si>
  <si>
    <t>impairment</t>
  </si>
  <si>
    <t>cr - Traingle</t>
  </si>
  <si>
    <t>dr - revaluation deficit</t>
  </si>
  <si>
    <t>being recognition of write down in share price at year end</t>
  </si>
  <si>
    <t>no asset exists at year end</t>
  </si>
  <si>
    <t>just expense the option through finance cost</t>
  </si>
  <si>
    <t>being cost of option</t>
  </si>
  <si>
    <t>investment in shares</t>
  </si>
  <si>
    <t>Octagon and Quad</t>
  </si>
  <si>
    <t>Octagon</t>
  </si>
  <si>
    <t>Quad</t>
  </si>
  <si>
    <t>share</t>
  </si>
  <si>
    <t>cost per share</t>
  </si>
  <si>
    <t>consideratoin</t>
  </si>
  <si>
    <t>transaction cost</t>
  </si>
  <si>
    <t>Disposal</t>
  </si>
  <si>
    <t>cr - suspense</t>
  </si>
  <si>
    <t>Due to the short term (trading nature) holding this should be treated as FVTPL</t>
  </si>
  <si>
    <t>so transaction cost go through as PL expense</t>
  </si>
  <si>
    <t>recognition</t>
  </si>
  <si>
    <t>dr - investment asset</t>
  </si>
  <si>
    <t>being recognition of investment in shares asset</t>
  </si>
  <si>
    <t>reval at date of sael</t>
  </si>
  <si>
    <t>cr - SPL gain of reval</t>
  </si>
  <si>
    <t>disaposal</t>
  </si>
  <si>
    <t>cr - investment in shares</t>
  </si>
  <si>
    <t>being disposal of shares</t>
  </si>
  <si>
    <t>dr - loss on revaluation</t>
  </si>
  <si>
    <t>cr - investment asset</t>
  </si>
  <si>
    <t>being decrease in value of investment asset on revaluation</t>
  </si>
  <si>
    <t>Investment in bonds</t>
  </si>
  <si>
    <t>due half yearly</t>
  </si>
  <si>
    <t>per 6m</t>
  </si>
  <si>
    <t>loss allce</t>
  </si>
  <si>
    <t>p(default on principal)</t>
  </si>
  <si>
    <t>p(default on interest)</t>
  </si>
  <si>
    <t>Loan principal</t>
  </si>
  <si>
    <t>Stage of ECL</t>
  </si>
  <si>
    <t>There is objective evidence of impairment as ..., therefore the asset is credit impaired and so lifetime expected credit losses should be recognised</t>
  </si>
  <si>
    <t>Lifetime/ 12 month expected credit losses are measured at the probability weighted present value of cash shortfalls on interest and the principal</t>
  </si>
  <si>
    <t>Cash shortfall</t>
  </si>
  <si>
    <t>n</t>
  </si>
  <si>
    <t>PVF</t>
  </si>
  <si>
    <t>PV</t>
  </si>
  <si>
    <t>Probability</t>
  </si>
  <si>
    <t>Weighted average</t>
  </si>
  <si>
    <t>PY PV of cash shortfall</t>
  </si>
  <si>
    <t>CY PV of cash shortfall</t>
  </si>
  <si>
    <t>For stage 3 income, finance income is calculated on the net balance</t>
  </si>
  <si>
    <t>dr  -SPL impairment loss</t>
  </si>
  <si>
    <t>cr - loss allce</t>
  </si>
  <si>
    <t>cr - finance inceom</t>
  </si>
  <si>
    <t>the loss allce will be netted off against the loan receivable to a give a single balance of the SFP</t>
  </si>
  <si>
    <t>Issue cost must be capitalised and so an adjustment of 100k is required to reduce the bonds balcne and reduce finance costs</t>
  </si>
  <si>
    <t>being correctoin to capitlise issue costs</t>
  </si>
  <si>
    <t>cr - bonds</t>
  </si>
  <si>
    <t>dr - bonds</t>
  </si>
  <si>
    <t>being recognition of interest paid</t>
  </si>
  <si>
    <t>and the finance cost to the bonds balance</t>
  </si>
  <si>
    <t>reduce the bond balance and the bank by the bond coupon payment</t>
  </si>
  <si>
    <t>being recognition of the finance income for the six month ended 31/12/2023</t>
  </si>
  <si>
    <t>dr - suspsense</t>
  </si>
  <si>
    <t>dr - SPL selling cost</t>
  </si>
  <si>
    <t>more practice required</t>
  </si>
  <si>
    <t>So many marks are in the chat and showing the understanding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</si>
</sst>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3" formatCode="_-* #,##0.00_-;\-* #,##0.00_-;_-* &quot;-&quot;??_-;_-@_-"/>
    <numFmt numFmtId="164" formatCode="&quot;£&quot;#,##0.00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4" fillId="0" borderId="0" xfId="2"/>
    <xf numFmtId="14" fontId="3" fillId="0" borderId="0" xfId="0" applyNumberFormat="1" applyFont="1"/>
    <xf numFmtId="0" fontId="5" fillId="0" borderId="0" xfId="0" applyFont="1"/>
    <xf numFmtId="3" fontId="3" fillId="0" borderId="0" xfId="0" applyNumberFormat="1" applyFont="1"/>
    <xf numFmtId="9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2" borderId="0" xfId="0" applyFont="1" applyFill="1"/>
    <xf numFmtId="0" fontId="3" fillId="0" borderId="7" xfId="0" applyFont="1" applyBorder="1"/>
    <xf numFmtId="0" fontId="3" fillId="0" borderId="0" xfId="0" applyFont="1" applyAlignment="1"/>
    <xf numFmtId="4" fontId="0" fillId="0" borderId="0" xfId="0" applyNumberFormat="1"/>
    <xf numFmtId="10" fontId="3" fillId="0" borderId="0" xfId="0" applyNumberFormat="1" applyFont="1"/>
    <xf numFmtId="164" fontId="3" fillId="0" borderId="0" xfId="0" applyNumberFormat="1" applyFont="1"/>
    <xf numFmtId="164" fontId="7" fillId="0" borderId="0" xfId="0" applyNumberFormat="1" applyFont="1"/>
    <xf numFmtId="0" fontId="2" fillId="0" borderId="0" xfId="0" applyFont="1"/>
    <xf numFmtId="3" fontId="1" fillId="0" borderId="0" xfId="0" applyNumberFormat="1" applyFont="1"/>
    <xf numFmtId="0" fontId="1" fillId="0" borderId="0" xfId="0" applyFont="1"/>
    <xf numFmtId="3" fontId="2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right"/>
    </xf>
    <xf numFmtId="3" fontId="8" fillId="0" borderId="0" xfId="0" applyNumberFormat="1" applyFont="1"/>
    <xf numFmtId="0" fontId="2" fillId="0" borderId="0" xfId="0" applyFont="1" applyAlignment="1">
      <alignment horizontal="right"/>
    </xf>
    <xf numFmtId="3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165" fontId="1" fillId="0" borderId="0" xfId="1" applyNumberFormat="1" applyFont="1"/>
    <xf numFmtId="0" fontId="8" fillId="0" borderId="0" xfId="0" applyFont="1"/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6" fontId="3" fillId="0" borderId="0" xfId="0" applyNumberFormat="1" applyFont="1"/>
    <xf numFmtId="4" fontId="3" fillId="0" borderId="0" xfId="0" applyNumberFormat="1" applyFont="1"/>
    <xf numFmtId="0" fontId="3" fillId="0" borderId="0" xfId="0" applyFont="1" applyFill="1"/>
    <xf numFmtId="3" fontId="3" fillId="0" borderId="0" xfId="0" applyNumberFormat="1" applyFont="1" applyFill="1"/>
    <xf numFmtId="9" fontId="3" fillId="3" borderId="0" xfId="0" applyNumberFormat="1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7</xdr:col>
      <xdr:colOff>0</xdr:colOff>
      <xdr:row>28</xdr:row>
      <xdr:rowOff>33067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42B8CB-CEA3-476E-47F3-02B9DCD00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321" y="789214"/>
          <a:ext cx="3673929" cy="347567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39</xdr:row>
      <xdr:rowOff>0</xdr:rowOff>
    </xdr:from>
    <xdr:to>
      <xdr:col>7</xdr:col>
      <xdr:colOff>1</xdr:colOff>
      <xdr:row>44</xdr:row>
      <xdr:rowOff>25105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CE9CC-2374-5D36-1E56-CE64FCFCB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914" y="5855804"/>
          <a:ext cx="3677478" cy="77054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68</xdr:row>
      <xdr:rowOff>0</xdr:rowOff>
    </xdr:from>
    <xdr:to>
      <xdr:col>7</xdr:col>
      <xdr:colOff>1</xdr:colOff>
      <xdr:row>72</xdr:row>
      <xdr:rowOff>2417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00C8A4-B949-3F8B-2243-CBAE7C15D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119" y="10701618"/>
          <a:ext cx="3630706" cy="6299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7</xdr:col>
      <xdr:colOff>0</xdr:colOff>
      <xdr:row>84</xdr:row>
      <xdr:rowOff>26428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D939A2-E42F-19E4-5FFE-7D8A7E72A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135" y="11730404"/>
          <a:ext cx="3648807" cy="12573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7</xdr:col>
      <xdr:colOff>0</xdr:colOff>
      <xdr:row>174</xdr:row>
      <xdr:rowOff>94101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6CC10E-528A-C4D5-BFBD-C2408563E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8135" y="26376923"/>
          <a:ext cx="3648807" cy="5556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7</xdr:col>
      <xdr:colOff>69139</xdr:colOff>
      <xdr:row>216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3F1C67-8EB4-C64C-947B-4C4C26BF8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2321" y="28683857"/>
          <a:ext cx="3743068" cy="3741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5C54-A4ED-4388-A978-26CB6FC5E712}">
  <dimension ref="B2:J12"/>
  <sheetViews>
    <sheetView workbookViewId="0">
      <selection activeCell="C3" sqref="C3"/>
    </sheetView>
  </sheetViews>
  <sheetFormatPr defaultRowHeight="15" x14ac:dyDescent="0.25"/>
  <cols>
    <col min="2" max="2" width="10.28515625" bestFit="1" customWidth="1"/>
    <col min="8" max="8" width="9.140625" style="16"/>
  </cols>
  <sheetData>
    <row r="2" spans="2:10" x14ac:dyDescent="0.25">
      <c r="B2" s="2" t="s">
        <v>2</v>
      </c>
      <c r="C2" s="2" t="s">
        <v>125</v>
      </c>
    </row>
    <row r="3" spans="2:10" x14ac:dyDescent="0.25">
      <c r="C3" s="2" t="s">
        <v>150</v>
      </c>
    </row>
    <row r="9" spans="2:10" x14ac:dyDescent="0.25">
      <c r="I9" s="16"/>
      <c r="J9" s="16"/>
    </row>
    <row r="10" spans="2:10" x14ac:dyDescent="0.25">
      <c r="I10" s="16"/>
      <c r="J10" s="16"/>
    </row>
    <row r="11" spans="2:10" x14ac:dyDescent="0.25">
      <c r="I11" s="16"/>
      <c r="J11" s="16"/>
    </row>
    <row r="12" spans="2:10" x14ac:dyDescent="0.25">
      <c r="I12" s="16"/>
      <c r="J12" s="16"/>
    </row>
  </sheetData>
  <hyperlinks>
    <hyperlink ref="B2" location="'Module 14'!A1" display="Module 14" xr:uid="{FBB8769C-82B5-412A-9AC9-AB5C5E2089C2}"/>
    <hyperlink ref="C2" location="WSE14.1!A1" display="WSE14.1" xr:uid="{7B53A37B-DDFA-4867-BFAB-9F103AEA2CD7}"/>
    <hyperlink ref="C3" location="WSE14.2!A1" display="WSE14.2" xr:uid="{3A77335F-4285-4EB7-83AB-678F940E63BA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9FAD-1A0E-429F-A0B6-49444ECC6702}">
  <dimension ref="A1:G248"/>
  <sheetViews>
    <sheetView topLeftCell="A206" zoomScale="160" zoomScaleNormal="160" workbookViewId="0">
      <selection activeCell="D240" sqref="D240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1</v>
      </c>
    </row>
    <row r="2" spans="1:2" x14ac:dyDescent="0.2">
      <c r="B2" s="1" t="s">
        <v>0</v>
      </c>
    </row>
    <row r="4" spans="1:2" x14ac:dyDescent="0.2">
      <c r="B4" s="1" t="s">
        <v>3</v>
      </c>
    </row>
    <row r="31" spans="2:2" x14ac:dyDescent="0.2">
      <c r="B31" s="1" t="s">
        <v>4</v>
      </c>
    </row>
    <row r="33" spans="2:3" x14ac:dyDescent="0.2">
      <c r="B33" s="1" t="s">
        <v>5</v>
      </c>
      <c r="C33" s="1" t="s">
        <v>8</v>
      </c>
    </row>
    <row r="34" spans="2:3" x14ac:dyDescent="0.2">
      <c r="B34" s="1" t="s">
        <v>6</v>
      </c>
      <c r="C34" s="1" t="s">
        <v>9</v>
      </c>
    </row>
    <row r="35" spans="2:3" x14ac:dyDescent="0.2">
      <c r="B35" s="1" t="s">
        <v>7</v>
      </c>
      <c r="C35" s="1" t="s">
        <v>10</v>
      </c>
    </row>
    <row r="37" spans="2:3" x14ac:dyDescent="0.2">
      <c r="B37" s="1" t="s">
        <v>11</v>
      </c>
    </row>
    <row r="38" spans="2:3" x14ac:dyDescent="0.2">
      <c r="B38" s="1" t="s">
        <v>12</v>
      </c>
    </row>
    <row r="46" spans="2:3" x14ac:dyDescent="0.2">
      <c r="B46" s="1" t="s">
        <v>13</v>
      </c>
    </row>
    <row r="47" spans="2:3" x14ac:dyDescent="0.2">
      <c r="B47" s="1" t="s">
        <v>14</v>
      </c>
    </row>
    <row r="49" spans="2:3" x14ac:dyDescent="0.2">
      <c r="B49" s="1" t="s">
        <v>15</v>
      </c>
    </row>
    <row r="50" spans="2:3" x14ac:dyDescent="0.2">
      <c r="B50" s="1" t="s">
        <v>16</v>
      </c>
      <c r="C50" s="3">
        <v>45016</v>
      </c>
    </row>
    <row r="52" spans="2:3" x14ac:dyDescent="0.2">
      <c r="B52" s="1" t="s">
        <v>17</v>
      </c>
    </row>
    <row r="53" spans="2:3" x14ac:dyDescent="0.2">
      <c r="B53" s="1" t="s">
        <v>21</v>
      </c>
    </row>
    <row r="54" spans="2:3" x14ac:dyDescent="0.2">
      <c r="B54" s="1" t="s">
        <v>22</v>
      </c>
    </row>
    <row r="56" spans="2:3" x14ac:dyDescent="0.2">
      <c r="B56" s="1" t="s">
        <v>18</v>
      </c>
    </row>
    <row r="57" spans="2:3" x14ac:dyDescent="0.2">
      <c r="B57" s="1" t="s">
        <v>19</v>
      </c>
    </row>
    <row r="58" spans="2:3" x14ac:dyDescent="0.2">
      <c r="B58" s="1" t="s">
        <v>20</v>
      </c>
    </row>
    <row r="59" spans="2:3" x14ac:dyDescent="0.2">
      <c r="B59" s="1" t="s">
        <v>23</v>
      </c>
    </row>
    <row r="60" spans="2:3" x14ac:dyDescent="0.2">
      <c r="B60" s="1" t="s">
        <v>24</v>
      </c>
    </row>
    <row r="63" spans="2:3" x14ac:dyDescent="0.2">
      <c r="B63" s="1" t="s">
        <v>25</v>
      </c>
    </row>
    <row r="64" spans="2:3" x14ac:dyDescent="0.2">
      <c r="B64" s="1" t="s">
        <v>26</v>
      </c>
    </row>
    <row r="65" spans="2:2" x14ac:dyDescent="0.2">
      <c r="B65" s="1" t="s">
        <v>27</v>
      </c>
    </row>
    <row r="66" spans="2:2" x14ac:dyDescent="0.2">
      <c r="B66" s="1" t="s">
        <v>28</v>
      </c>
    </row>
    <row r="67" spans="2:2" x14ac:dyDescent="0.2">
      <c r="B67" s="1" t="s">
        <v>29</v>
      </c>
    </row>
    <row r="74" spans="2:2" x14ac:dyDescent="0.2">
      <c r="B74" s="1" t="s">
        <v>30</v>
      </c>
    </row>
    <row r="75" spans="2:2" x14ac:dyDescent="0.2">
      <c r="B75" s="1" t="s">
        <v>31</v>
      </c>
    </row>
    <row r="87" spans="2:2" x14ac:dyDescent="0.2">
      <c r="B87" s="1" t="s">
        <v>32</v>
      </c>
    </row>
    <row r="89" spans="2:2" x14ac:dyDescent="0.2">
      <c r="B89" s="1" t="s">
        <v>33</v>
      </c>
    </row>
    <row r="90" spans="2:2" x14ac:dyDescent="0.2">
      <c r="B90" s="1" t="s">
        <v>34</v>
      </c>
    </row>
    <row r="91" spans="2:2" x14ac:dyDescent="0.2">
      <c r="B91" s="1" t="s">
        <v>35</v>
      </c>
    </row>
    <row r="93" spans="2:2" x14ac:dyDescent="0.2">
      <c r="B93" s="1" t="s">
        <v>36</v>
      </c>
    </row>
    <row r="94" spans="2:2" x14ac:dyDescent="0.2">
      <c r="B94" s="1" t="s">
        <v>37</v>
      </c>
    </row>
    <row r="95" spans="2:2" x14ac:dyDescent="0.2">
      <c r="B95" s="1" t="s">
        <v>38</v>
      </c>
    </row>
    <row r="96" spans="2:2" x14ac:dyDescent="0.2">
      <c r="B96" s="1" t="s">
        <v>39</v>
      </c>
    </row>
    <row r="99" spans="2:4" x14ac:dyDescent="0.2">
      <c r="B99" s="1" t="s">
        <v>40</v>
      </c>
    </row>
    <row r="100" spans="2:4" x14ac:dyDescent="0.2">
      <c r="B100" s="1" t="s">
        <v>41</v>
      </c>
    </row>
    <row r="101" spans="2:4" x14ac:dyDescent="0.2">
      <c r="B101" s="1" t="s">
        <v>42</v>
      </c>
    </row>
    <row r="102" spans="2:4" x14ac:dyDescent="0.2">
      <c r="B102" s="1" t="s">
        <v>43</v>
      </c>
    </row>
    <row r="103" spans="2:4" x14ac:dyDescent="0.2">
      <c r="B103" s="1" t="s">
        <v>45</v>
      </c>
    </row>
    <row r="104" spans="2:4" x14ac:dyDescent="0.2">
      <c r="B104" s="1" t="s">
        <v>46</v>
      </c>
    </row>
    <row r="106" spans="2:4" x14ac:dyDescent="0.2">
      <c r="B106" s="4" t="s">
        <v>44</v>
      </c>
    </row>
    <row r="108" spans="2:4" x14ac:dyDescent="0.2">
      <c r="B108" s="1" t="s">
        <v>47</v>
      </c>
    </row>
    <row r="109" spans="2:4" x14ac:dyDescent="0.2">
      <c r="B109" s="1" t="s">
        <v>16</v>
      </c>
      <c r="C109" s="3">
        <v>45657</v>
      </c>
    </row>
    <row r="110" spans="2:4" x14ac:dyDescent="0.2">
      <c r="B110" s="1" t="s">
        <v>48</v>
      </c>
    </row>
    <row r="111" spans="2:4" x14ac:dyDescent="0.2">
      <c r="B111" s="1" t="s">
        <v>49</v>
      </c>
      <c r="C111" s="3">
        <v>45292</v>
      </c>
      <c r="D111" s="5">
        <v>2000</v>
      </c>
    </row>
    <row r="112" spans="2:4" x14ac:dyDescent="0.2">
      <c r="B112" s="1" t="s">
        <v>50</v>
      </c>
      <c r="C112" s="3">
        <v>45505</v>
      </c>
      <c r="D112" s="5">
        <v>55</v>
      </c>
    </row>
    <row r="113" spans="2:6" x14ac:dyDescent="0.2">
      <c r="B113" s="1" t="s">
        <v>51</v>
      </c>
      <c r="C113" s="3">
        <v>45566</v>
      </c>
      <c r="D113" s="5">
        <v>2300</v>
      </c>
    </row>
    <row r="114" spans="2:6" x14ac:dyDescent="0.2">
      <c r="B114" s="1" t="s">
        <v>52</v>
      </c>
      <c r="C114" s="3">
        <v>45566</v>
      </c>
      <c r="D114" s="5">
        <f>0.008*D113</f>
        <v>18.400000000000002</v>
      </c>
    </row>
    <row r="115" spans="2:6" x14ac:dyDescent="0.2">
      <c r="D115" s="5">
        <f>+D113-D114</f>
        <v>2281.6</v>
      </c>
    </row>
    <row r="117" spans="2:6" x14ac:dyDescent="0.2">
      <c r="B117" s="1" t="s">
        <v>62</v>
      </c>
      <c r="E117" s="5">
        <f>+F118</f>
        <v>55</v>
      </c>
    </row>
    <row r="118" spans="2:6" x14ac:dyDescent="0.2">
      <c r="C118" s="1" t="s">
        <v>61</v>
      </c>
      <c r="F118" s="5">
        <f>+D112</f>
        <v>55</v>
      </c>
    </row>
    <row r="120" spans="2:6" x14ac:dyDescent="0.2">
      <c r="B120" s="1" t="s">
        <v>53</v>
      </c>
    </row>
    <row r="121" spans="2:6" x14ac:dyDescent="0.2">
      <c r="B121" s="1" t="s">
        <v>63</v>
      </c>
      <c r="E121" s="5">
        <f>+D113-D111</f>
        <v>300</v>
      </c>
    </row>
    <row r="122" spans="2:6" x14ac:dyDescent="0.2">
      <c r="C122" s="1" t="s">
        <v>64</v>
      </c>
      <c r="F122" s="5">
        <f>+E121</f>
        <v>300</v>
      </c>
    </row>
    <row r="123" spans="2:6" x14ac:dyDescent="0.2">
      <c r="B123" s="1" t="s">
        <v>71</v>
      </c>
    </row>
    <row r="125" spans="2:6" x14ac:dyDescent="0.2">
      <c r="B125" s="1" t="s">
        <v>54</v>
      </c>
    </row>
    <row r="126" spans="2:6" x14ac:dyDescent="0.2">
      <c r="B126" s="1" t="s">
        <v>69</v>
      </c>
      <c r="E126" s="5">
        <f>+D115</f>
        <v>2281.6</v>
      </c>
    </row>
    <row r="127" spans="2:6" x14ac:dyDescent="0.2">
      <c r="B127" s="1" t="s">
        <v>68</v>
      </c>
      <c r="E127" s="5">
        <f>+D114</f>
        <v>18.400000000000002</v>
      </c>
    </row>
    <row r="128" spans="2:6" x14ac:dyDescent="0.2">
      <c r="C128" s="1" t="s">
        <v>67</v>
      </c>
      <c r="F128" s="5">
        <f>+D113</f>
        <v>2300</v>
      </c>
    </row>
    <row r="129" spans="2:7" x14ac:dyDescent="0.2">
      <c r="B129" s="1" t="s">
        <v>70</v>
      </c>
    </row>
    <row r="131" spans="2:7" x14ac:dyDescent="0.2">
      <c r="B131" s="1" t="s">
        <v>56</v>
      </c>
    </row>
    <row r="132" spans="2:7" x14ac:dyDescent="0.2">
      <c r="B132" s="1" t="s">
        <v>49</v>
      </c>
      <c r="C132" s="3">
        <v>45292</v>
      </c>
      <c r="D132" s="1">
        <v>1400</v>
      </c>
    </row>
    <row r="133" spans="2:7" x14ac:dyDescent="0.2">
      <c r="B133" s="1" t="s">
        <v>57</v>
      </c>
      <c r="C133" s="3">
        <v>45292</v>
      </c>
      <c r="D133" s="1">
        <v>300</v>
      </c>
      <c r="E133" s="1" t="s">
        <v>58</v>
      </c>
    </row>
    <row r="134" spans="2:7" x14ac:dyDescent="0.2">
      <c r="B134" s="1" t="s">
        <v>59</v>
      </c>
      <c r="C134" s="3">
        <v>45444</v>
      </c>
      <c r="D134" s="1">
        <v>1600</v>
      </c>
    </row>
    <row r="136" spans="2:7" x14ac:dyDescent="0.2">
      <c r="B136" s="1" t="s">
        <v>60</v>
      </c>
    </row>
    <row r="137" spans="2:7" x14ac:dyDescent="0.2">
      <c r="B137" s="1" t="s">
        <v>67</v>
      </c>
      <c r="E137" s="1">
        <f>+D134-D132</f>
        <v>200</v>
      </c>
    </row>
    <row r="138" spans="2:7" x14ac:dyDescent="0.2">
      <c r="C138" s="1" t="s">
        <v>66</v>
      </c>
      <c r="F138" s="1">
        <v>200</v>
      </c>
    </row>
    <row r="139" spans="2:7" x14ac:dyDescent="0.2">
      <c r="B139" s="1" t="s">
        <v>65</v>
      </c>
    </row>
    <row r="140" spans="2:7" ht="12.75" thickBot="1" x14ac:dyDescent="0.25">
      <c r="B140" s="1" t="s">
        <v>77</v>
      </c>
      <c r="E140" s="1">
        <f>+D134</f>
        <v>1600</v>
      </c>
    </row>
    <row r="141" spans="2:7" x14ac:dyDescent="0.2">
      <c r="B141" s="7" t="s">
        <v>79</v>
      </c>
      <c r="C141" s="8"/>
      <c r="D141" s="8"/>
      <c r="E141" s="8">
        <f>+F142</f>
        <v>100</v>
      </c>
      <c r="F141" s="9"/>
      <c r="G141" s="13" t="s">
        <v>81</v>
      </c>
    </row>
    <row r="142" spans="2:7" ht="12.75" thickBot="1" x14ac:dyDescent="0.25">
      <c r="B142" s="10"/>
      <c r="C142" s="11" t="s">
        <v>66</v>
      </c>
      <c r="D142" s="11"/>
      <c r="E142" s="11"/>
      <c r="F142" s="12">
        <f>+D133-F138</f>
        <v>100</v>
      </c>
    </row>
    <row r="143" spans="2:7" x14ac:dyDescent="0.2">
      <c r="C143" s="1" t="s">
        <v>78</v>
      </c>
      <c r="F143" s="1">
        <f>+D134</f>
        <v>1600</v>
      </c>
    </row>
    <row r="144" spans="2:7" x14ac:dyDescent="0.2">
      <c r="B144" s="1" t="s">
        <v>80</v>
      </c>
    </row>
    <row r="146" spans="2:4" x14ac:dyDescent="0.2">
      <c r="B146" s="1" t="s">
        <v>72</v>
      </c>
    </row>
    <row r="147" spans="2:4" x14ac:dyDescent="0.2">
      <c r="B147" s="1" t="s">
        <v>73</v>
      </c>
      <c r="C147" s="3">
        <v>45292</v>
      </c>
      <c r="D147" s="1">
        <v>3600</v>
      </c>
    </row>
    <row r="148" spans="2:4" x14ac:dyDescent="0.2">
      <c r="B148" s="1" t="s">
        <v>74</v>
      </c>
      <c r="C148" s="3">
        <v>45292</v>
      </c>
      <c r="D148" s="6">
        <v>0.05</v>
      </c>
    </row>
    <row r="149" spans="2:4" x14ac:dyDescent="0.2">
      <c r="B149" s="1" t="s">
        <v>59</v>
      </c>
      <c r="C149" s="3">
        <v>45382</v>
      </c>
      <c r="D149" s="1">
        <v>3900</v>
      </c>
    </row>
    <row r="150" spans="2:4" x14ac:dyDescent="0.2">
      <c r="B150" s="1" t="s">
        <v>52</v>
      </c>
      <c r="C150" s="3">
        <v>45382</v>
      </c>
      <c r="D150" s="1">
        <v>-40</v>
      </c>
    </row>
    <row r="151" spans="2:4" x14ac:dyDescent="0.2">
      <c r="B151" s="1" t="s">
        <v>75</v>
      </c>
      <c r="C151" s="3">
        <v>45624</v>
      </c>
      <c r="D151" s="1" t="s">
        <v>76</v>
      </c>
    </row>
    <row r="153" spans="2:4" x14ac:dyDescent="0.2">
      <c r="B153" s="1" t="s">
        <v>82</v>
      </c>
    </row>
    <row r="155" spans="2:4" x14ac:dyDescent="0.2">
      <c r="C155" s="1">
        <f>+YEARFRAC(C147,C150)*12</f>
        <v>3</v>
      </c>
    </row>
    <row r="156" spans="2:4" x14ac:dyDescent="0.2">
      <c r="C156" s="1">
        <f>+C155/12</f>
        <v>0.25</v>
      </c>
    </row>
    <row r="157" spans="2:4" x14ac:dyDescent="0.2">
      <c r="B157" s="1" t="s">
        <v>85</v>
      </c>
      <c r="C157" s="1">
        <f>+C156*D148*D147</f>
        <v>45</v>
      </c>
      <c r="D157" s="1" t="s">
        <v>86</v>
      </c>
    </row>
    <row r="159" spans="2:4" x14ac:dyDescent="0.2">
      <c r="B159" s="1" t="s">
        <v>83</v>
      </c>
      <c r="D159" s="1">
        <f>+D149+D150</f>
        <v>3860</v>
      </c>
    </row>
    <row r="160" spans="2:4" x14ac:dyDescent="0.2">
      <c r="B160" s="1" t="s">
        <v>84</v>
      </c>
      <c r="D160" s="1">
        <f>+D147+C157</f>
        <v>3645</v>
      </c>
    </row>
    <row r="161" spans="2:6" ht="12.75" thickBot="1" x14ac:dyDescent="0.25">
      <c r="B161" s="1" t="s">
        <v>87</v>
      </c>
      <c r="D161" s="14">
        <f>+D159-D160</f>
        <v>215</v>
      </c>
    </row>
    <row r="162" spans="2:6" ht="12.75" thickTop="1" x14ac:dyDescent="0.2"/>
    <row r="163" spans="2:6" x14ac:dyDescent="0.2">
      <c r="B163" s="1" t="s">
        <v>67</v>
      </c>
      <c r="E163" s="1">
        <f>+C157</f>
        <v>45</v>
      </c>
    </row>
    <row r="164" spans="2:6" x14ac:dyDescent="0.2">
      <c r="C164" s="1" t="s">
        <v>89</v>
      </c>
      <c r="F164" s="1">
        <f>+E163</f>
        <v>45</v>
      </c>
    </row>
    <row r="165" spans="2:6" x14ac:dyDescent="0.2">
      <c r="B165" s="1" t="s">
        <v>91</v>
      </c>
    </row>
    <row r="167" spans="2:6" x14ac:dyDescent="0.2">
      <c r="B167" s="1" t="s">
        <v>62</v>
      </c>
      <c r="E167" s="1">
        <f>+D159</f>
        <v>3860</v>
      </c>
    </row>
    <row r="168" spans="2:6" x14ac:dyDescent="0.2">
      <c r="C168" s="1" t="s">
        <v>88</v>
      </c>
      <c r="F168" s="1">
        <f>+D161</f>
        <v>215</v>
      </c>
    </row>
    <row r="169" spans="2:6" x14ac:dyDescent="0.2">
      <c r="C169" s="1" t="s">
        <v>78</v>
      </c>
      <c r="F169" s="1">
        <f>+D160</f>
        <v>3645</v>
      </c>
    </row>
    <row r="170" spans="2:6" x14ac:dyDescent="0.2">
      <c r="B170" s="1" t="s">
        <v>90</v>
      </c>
    </row>
    <row r="177" spans="2:2" x14ac:dyDescent="0.2">
      <c r="B177" s="1" t="s">
        <v>92</v>
      </c>
    </row>
    <row r="180" spans="2:2" x14ac:dyDescent="0.2">
      <c r="B180" s="1" t="s">
        <v>93</v>
      </c>
    </row>
    <row r="182" spans="2:2" x14ac:dyDescent="0.2">
      <c r="B182" s="1" t="s">
        <v>94</v>
      </c>
    </row>
    <row r="183" spans="2:2" x14ac:dyDescent="0.2">
      <c r="B183" s="15" t="s">
        <v>99</v>
      </c>
    </row>
    <row r="185" spans="2:2" x14ac:dyDescent="0.2">
      <c r="B185" s="1" t="s">
        <v>95</v>
      </c>
    </row>
    <row r="186" spans="2:2" x14ac:dyDescent="0.2">
      <c r="B186" s="15" t="s">
        <v>98</v>
      </c>
    </row>
    <row r="189" spans="2:2" x14ac:dyDescent="0.2">
      <c r="B189" s="1" t="s">
        <v>96</v>
      </c>
    </row>
    <row r="190" spans="2:2" x14ac:dyDescent="0.2">
      <c r="B190" s="15" t="s">
        <v>97</v>
      </c>
    </row>
    <row r="219" spans="2:6" x14ac:dyDescent="0.2">
      <c r="B219" s="1" t="s">
        <v>100</v>
      </c>
    </row>
    <row r="221" spans="2:6" x14ac:dyDescent="0.2">
      <c r="B221" s="1" t="s">
        <v>101</v>
      </c>
    </row>
    <row r="222" spans="2:6" x14ac:dyDescent="0.2">
      <c r="B222" s="1" t="s">
        <v>102</v>
      </c>
      <c r="F222" s="1">
        <v>40</v>
      </c>
    </row>
    <row r="224" spans="2:6" x14ac:dyDescent="0.2">
      <c r="B224" s="1" t="s">
        <v>103</v>
      </c>
    </row>
    <row r="225" spans="2:6" x14ac:dyDescent="0.2">
      <c r="B225" s="1" t="s">
        <v>104</v>
      </c>
      <c r="F225" s="1">
        <v>1000</v>
      </c>
    </row>
    <row r="227" spans="2:6" x14ac:dyDescent="0.2">
      <c r="B227" s="1" t="s">
        <v>105</v>
      </c>
    </row>
    <row r="228" spans="2:6" x14ac:dyDescent="0.2">
      <c r="C228" s="1">
        <v>1</v>
      </c>
      <c r="D228" s="1">
        <v>0.25</v>
      </c>
      <c r="E228" s="1" t="s">
        <v>106</v>
      </c>
    </row>
    <row r="229" spans="2:6" x14ac:dyDescent="0.2">
      <c r="C229" s="1">
        <v>2</v>
      </c>
      <c r="D229" s="1">
        <v>0.5</v>
      </c>
      <c r="E229" s="1" t="s">
        <v>107</v>
      </c>
    </row>
    <row r="231" spans="2:6" x14ac:dyDescent="0.2">
      <c r="B231" s="1" t="s">
        <v>109</v>
      </c>
      <c r="C231" s="6">
        <v>0.8</v>
      </c>
    </row>
    <row r="233" spans="2:6" x14ac:dyDescent="0.2">
      <c r="B233" s="1" t="s">
        <v>108</v>
      </c>
      <c r="C233" s="1">
        <f>+(1-C231)*F225</f>
        <v>199.99999999999994</v>
      </c>
      <c r="D233" s="1" t="s">
        <v>110</v>
      </c>
    </row>
    <row r="234" spans="2:6" x14ac:dyDescent="0.2">
      <c r="B234" s="1" t="s">
        <v>95</v>
      </c>
      <c r="C234" s="1">
        <f>+F225/D229</f>
        <v>2000</v>
      </c>
      <c r="D234" s="1" t="s">
        <v>111</v>
      </c>
    </row>
    <row r="235" spans="2:6" x14ac:dyDescent="0.2">
      <c r="B235" s="1" t="s">
        <v>112</v>
      </c>
      <c r="C235" s="1">
        <f>+C231*C234*(D228/D229)</f>
        <v>800</v>
      </c>
      <c r="D235" s="1" t="s">
        <v>113</v>
      </c>
    </row>
    <row r="236" spans="2:6" x14ac:dyDescent="0.2">
      <c r="B236" s="1" t="s">
        <v>114</v>
      </c>
      <c r="C236" s="1">
        <f>+C235*D228</f>
        <v>200</v>
      </c>
    </row>
    <row r="237" spans="2:6" x14ac:dyDescent="0.2">
      <c r="B237" s="1" t="s">
        <v>115</v>
      </c>
      <c r="C237" s="1">
        <f>+C235-C236</f>
        <v>600</v>
      </c>
    </row>
    <row r="239" spans="2:6" x14ac:dyDescent="0.2">
      <c r="B239" s="1" t="s">
        <v>116</v>
      </c>
      <c r="E239" s="1">
        <f>+F225</f>
        <v>1000</v>
      </c>
    </row>
    <row r="240" spans="2:6" x14ac:dyDescent="0.2">
      <c r="C240" s="1" t="s">
        <v>117</v>
      </c>
      <c r="F240" s="1">
        <f>+C233</f>
        <v>199.99999999999994</v>
      </c>
    </row>
    <row r="241" spans="2:6" x14ac:dyDescent="0.2">
      <c r="C241" s="1" t="s">
        <v>118</v>
      </c>
      <c r="F241" s="1">
        <f>+C236</f>
        <v>200</v>
      </c>
    </row>
    <row r="242" spans="2:6" x14ac:dyDescent="0.2">
      <c r="C242" s="1" t="s">
        <v>119</v>
      </c>
      <c r="F242" s="1">
        <f>+C237</f>
        <v>600</v>
      </c>
    </row>
    <row r="243" spans="2:6" x14ac:dyDescent="0.2">
      <c r="B243" s="1" t="s">
        <v>120</v>
      </c>
    </row>
    <row r="245" spans="2:6" x14ac:dyDescent="0.2">
      <c r="B245" s="1" t="s">
        <v>121</v>
      </c>
      <c r="E245" s="1">
        <f>+F222</f>
        <v>40</v>
      </c>
    </row>
    <row r="246" spans="2:6" x14ac:dyDescent="0.2">
      <c r="C246" s="1" t="s">
        <v>122</v>
      </c>
      <c r="F246" s="1">
        <f>+E245</f>
        <v>40</v>
      </c>
    </row>
    <row r="247" spans="2:6" x14ac:dyDescent="0.2">
      <c r="B247" s="1" t="s">
        <v>123</v>
      </c>
    </row>
    <row r="248" spans="2:6" x14ac:dyDescent="0.2">
      <c r="B248" s="1" t="s">
        <v>124</v>
      </c>
    </row>
  </sheetData>
  <hyperlinks>
    <hyperlink ref="A1" location="Main!A1" display="Main" xr:uid="{7958FD30-EA34-4D63-B92C-03CB66349B13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9681-8599-473A-BAC2-CC23A3D536C1}">
  <dimension ref="A1:G37"/>
  <sheetViews>
    <sheetView zoomScale="175" zoomScaleNormal="175" workbookViewId="0">
      <selection activeCell="D8" sqref="D8"/>
    </sheetView>
  </sheetViews>
  <sheetFormatPr defaultRowHeight="12" x14ac:dyDescent="0.2"/>
  <cols>
    <col min="1" max="16384" width="9.140625" style="1"/>
  </cols>
  <sheetData>
    <row r="1" spans="1:7" ht="15" x14ac:dyDescent="0.25">
      <c r="A1" s="2" t="s">
        <v>1</v>
      </c>
    </row>
    <row r="2" spans="1:7" x14ac:dyDescent="0.2">
      <c r="B2" s="1" t="s">
        <v>126</v>
      </c>
      <c r="C2" s="13" t="s">
        <v>148</v>
      </c>
    </row>
    <row r="3" spans="1:7" x14ac:dyDescent="0.2">
      <c r="C3" s="13" t="s">
        <v>149</v>
      </c>
    </row>
    <row r="4" spans="1:7" x14ac:dyDescent="0.2">
      <c r="B4" s="1" t="s">
        <v>127</v>
      </c>
      <c r="C4" s="5">
        <v>570</v>
      </c>
      <c r="D4" s="1" t="s">
        <v>129</v>
      </c>
    </row>
    <row r="5" spans="1:7" x14ac:dyDescent="0.2">
      <c r="B5" s="1" t="s">
        <v>128</v>
      </c>
      <c r="C5" s="5">
        <v>1</v>
      </c>
    </row>
    <row r="6" spans="1:7" x14ac:dyDescent="0.2">
      <c r="B6" s="1" t="s">
        <v>130</v>
      </c>
      <c r="C6" s="5">
        <v>1700</v>
      </c>
    </row>
    <row r="7" spans="1:7" x14ac:dyDescent="0.2">
      <c r="B7" s="1" t="s">
        <v>131</v>
      </c>
      <c r="C7" s="5">
        <v>22</v>
      </c>
    </row>
    <row r="8" spans="1:7" x14ac:dyDescent="0.2">
      <c r="B8" s="1" t="s">
        <v>40</v>
      </c>
      <c r="C8" s="5"/>
      <c r="G8" s="5"/>
    </row>
    <row r="9" spans="1:7" x14ac:dyDescent="0.2">
      <c r="B9" s="1" t="s">
        <v>59</v>
      </c>
      <c r="C9" s="5">
        <f>+C4*3.14</f>
        <v>1789.8000000000002</v>
      </c>
    </row>
    <row r="10" spans="1:7" x14ac:dyDescent="0.2">
      <c r="B10" s="1" t="s">
        <v>132</v>
      </c>
      <c r="C10" s="1">
        <v>5</v>
      </c>
    </row>
    <row r="11" spans="1:7" x14ac:dyDescent="0.2">
      <c r="G11" s="5"/>
    </row>
    <row r="12" spans="1:7" x14ac:dyDescent="0.2">
      <c r="B12" s="1" t="s">
        <v>133</v>
      </c>
    </row>
    <row r="14" spans="1:7" x14ac:dyDescent="0.2">
      <c r="B14" s="1" t="s">
        <v>134</v>
      </c>
    </row>
    <row r="16" spans="1:7" x14ac:dyDescent="0.2">
      <c r="B16" s="1" t="s">
        <v>51</v>
      </c>
      <c r="C16" s="3">
        <v>44926</v>
      </c>
      <c r="D16" s="1">
        <f>+C4*3.23</f>
        <v>1841.1</v>
      </c>
    </row>
    <row r="17" spans="2:6" x14ac:dyDescent="0.2">
      <c r="B17" s="1" t="s">
        <v>51</v>
      </c>
      <c r="C17" s="3">
        <v>45291</v>
      </c>
      <c r="D17" s="1">
        <f>+C4*3.14</f>
        <v>1789.8000000000002</v>
      </c>
    </row>
    <row r="18" spans="2:6" x14ac:dyDescent="0.2">
      <c r="B18" s="1" t="s">
        <v>143</v>
      </c>
      <c r="D18" s="1">
        <f>+D17-D16</f>
        <v>-51.299999999999727</v>
      </c>
    </row>
    <row r="20" spans="2:6" x14ac:dyDescent="0.2">
      <c r="B20" s="1" t="s">
        <v>67</v>
      </c>
      <c r="E20" s="5">
        <f>-D18</f>
        <v>51.299999999999727</v>
      </c>
    </row>
    <row r="21" spans="2:6" x14ac:dyDescent="0.2">
      <c r="C21" s="1" t="s">
        <v>55</v>
      </c>
      <c r="F21" s="5">
        <f>+E20</f>
        <v>51.299999999999727</v>
      </c>
    </row>
    <row r="22" spans="2:6" x14ac:dyDescent="0.2">
      <c r="B22" s="1" t="s">
        <v>144</v>
      </c>
    </row>
    <row r="24" spans="2:6" x14ac:dyDescent="0.2">
      <c r="B24" s="1" t="s">
        <v>136</v>
      </c>
    </row>
    <row r="25" spans="2:6" x14ac:dyDescent="0.2">
      <c r="B25" s="1" t="s">
        <v>139</v>
      </c>
      <c r="E25" s="5">
        <f>+C9-C10</f>
        <v>1784.8000000000002</v>
      </c>
    </row>
    <row r="26" spans="2:6" x14ac:dyDescent="0.2">
      <c r="B26" s="1" t="s">
        <v>137</v>
      </c>
      <c r="E26" s="1">
        <f>+C10</f>
        <v>5</v>
      </c>
    </row>
    <row r="27" spans="2:6" x14ac:dyDescent="0.2">
      <c r="C27" s="1" t="s">
        <v>78</v>
      </c>
      <c r="F27" s="5">
        <f>+C9</f>
        <v>1789.8000000000002</v>
      </c>
    </row>
    <row r="28" spans="2:6" x14ac:dyDescent="0.2">
      <c r="B28" s="1" t="s">
        <v>138</v>
      </c>
    </row>
    <row r="30" spans="2:6" x14ac:dyDescent="0.2">
      <c r="B30" s="1" t="s">
        <v>145</v>
      </c>
    </row>
    <row r="31" spans="2:6" x14ac:dyDescent="0.2">
      <c r="B31" s="1" t="s">
        <v>140</v>
      </c>
      <c r="C31" s="5">
        <f>+C6+C7</f>
        <v>1722</v>
      </c>
    </row>
    <row r="32" spans="2:6" x14ac:dyDescent="0.2">
      <c r="B32" s="1" t="s">
        <v>141</v>
      </c>
      <c r="C32" s="5">
        <f>+C9</f>
        <v>1789.8000000000002</v>
      </c>
    </row>
    <row r="33" spans="2:6" x14ac:dyDescent="0.2">
      <c r="B33" s="1" t="s">
        <v>135</v>
      </c>
      <c r="C33" s="5">
        <f>+C32-C31</f>
        <v>67.800000000000182</v>
      </c>
      <c r="D33" s="1" t="s">
        <v>146</v>
      </c>
    </row>
    <row r="35" spans="2:6" x14ac:dyDescent="0.2">
      <c r="B35" s="1" t="s">
        <v>142</v>
      </c>
      <c r="E35" s="5">
        <f>C33</f>
        <v>67.800000000000182</v>
      </c>
    </row>
    <row r="36" spans="2:6" x14ac:dyDescent="0.2">
      <c r="C36" s="1" t="s">
        <v>122</v>
      </c>
      <c r="F36" s="5">
        <f>C33</f>
        <v>67.800000000000182</v>
      </c>
    </row>
    <row r="37" spans="2:6" x14ac:dyDescent="0.2">
      <c r="B37" s="1" t="s">
        <v>147</v>
      </c>
    </row>
  </sheetData>
  <hyperlinks>
    <hyperlink ref="A1" location="Main!A1" display="Main" xr:uid="{14383B00-0B91-4C7D-BC2B-6E43F06F13C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18FD-46F0-4747-911B-1654E19675FC}">
  <dimension ref="A1:F89"/>
  <sheetViews>
    <sheetView zoomScale="190" zoomScaleNormal="190" workbookViewId="0">
      <selection activeCell="F11" sqref="F11"/>
    </sheetView>
  </sheetViews>
  <sheetFormatPr defaultRowHeight="12" x14ac:dyDescent="0.2"/>
  <cols>
    <col min="1" max="2" width="9.140625" style="1"/>
    <col min="3" max="3" width="9.5703125" style="1" bestFit="1" customWidth="1"/>
    <col min="4" max="16384" width="9.140625" style="1"/>
  </cols>
  <sheetData>
    <row r="1" spans="1:6" ht="15" x14ac:dyDescent="0.25">
      <c r="A1" s="2" t="s">
        <v>1</v>
      </c>
    </row>
    <row r="2" spans="1:6" x14ac:dyDescent="0.2">
      <c r="B2" s="1" t="s">
        <v>151</v>
      </c>
    </row>
    <row r="3" spans="1:6" x14ac:dyDescent="0.2">
      <c r="B3" s="1" t="s">
        <v>16</v>
      </c>
      <c r="C3" s="3">
        <v>43131</v>
      </c>
    </row>
    <row r="4" spans="1:6" x14ac:dyDescent="0.2">
      <c r="B4" s="1" t="s">
        <v>152</v>
      </c>
    </row>
    <row r="6" spans="1:6" x14ac:dyDescent="0.2">
      <c r="B6" s="1" t="s">
        <v>153</v>
      </c>
    </row>
    <row r="7" spans="1:6" x14ac:dyDescent="0.2">
      <c r="B7" s="1" t="s">
        <v>130</v>
      </c>
      <c r="C7" s="1">
        <v>25</v>
      </c>
      <c r="D7" s="3">
        <v>46447</v>
      </c>
    </row>
    <row r="8" spans="1:6" x14ac:dyDescent="0.2">
      <c r="B8" s="1" t="s">
        <v>154</v>
      </c>
      <c r="D8" s="3">
        <v>46752</v>
      </c>
    </row>
    <row r="9" spans="1:6" x14ac:dyDescent="0.2">
      <c r="B9" s="1" t="s">
        <v>155</v>
      </c>
    </row>
    <row r="11" spans="1:6" x14ac:dyDescent="0.2">
      <c r="B11" s="1" t="s">
        <v>205</v>
      </c>
    </row>
    <row r="12" spans="1:6" x14ac:dyDescent="0.2">
      <c r="B12" s="1" t="s">
        <v>206</v>
      </c>
    </row>
    <row r="14" spans="1:6" x14ac:dyDescent="0.2">
      <c r="B14" s="1" t="s">
        <v>156</v>
      </c>
      <c r="E14" s="1">
        <v>25</v>
      </c>
    </row>
    <row r="15" spans="1:6" x14ac:dyDescent="0.2">
      <c r="C15" s="1" t="s">
        <v>157</v>
      </c>
      <c r="F15" s="1">
        <f>+E14</f>
        <v>25</v>
      </c>
    </row>
    <row r="16" spans="1:6" x14ac:dyDescent="0.2">
      <c r="B16" s="1" t="s">
        <v>158</v>
      </c>
    </row>
    <row r="18" spans="2:5" x14ac:dyDescent="0.2">
      <c r="B18" s="1" t="s">
        <v>159</v>
      </c>
    </row>
    <row r="19" spans="2:5" x14ac:dyDescent="0.2">
      <c r="C19" s="1">
        <v>110</v>
      </c>
      <c r="D19" s="1" t="s">
        <v>160</v>
      </c>
    </row>
    <row r="20" spans="2:5" x14ac:dyDescent="0.2">
      <c r="B20" s="1" t="s">
        <v>161</v>
      </c>
      <c r="C20" s="1">
        <v>1</v>
      </c>
    </row>
    <row r="21" spans="2:5" x14ac:dyDescent="0.2">
      <c r="C21" s="1">
        <f>+C19*C20</f>
        <v>110</v>
      </c>
    </row>
    <row r="22" spans="2:5" x14ac:dyDescent="0.2">
      <c r="B22" s="1" t="s">
        <v>51</v>
      </c>
      <c r="C22" s="1">
        <v>3.56</v>
      </c>
      <c r="D22" s="1" t="s">
        <v>162</v>
      </c>
      <c r="E22" s="3">
        <v>46553</v>
      </c>
    </row>
    <row r="23" spans="2:5" x14ac:dyDescent="0.2">
      <c r="C23" s="5">
        <f>+C19*C22</f>
        <v>391.6</v>
      </c>
    </row>
    <row r="24" spans="2:5" x14ac:dyDescent="0.2">
      <c r="B24" s="1" t="s">
        <v>52</v>
      </c>
      <c r="C24" s="1">
        <v>1</v>
      </c>
    </row>
    <row r="25" spans="2:5" x14ac:dyDescent="0.2">
      <c r="B25" s="1" t="s">
        <v>73</v>
      </c>
      <c r="C25" s="1">
        <v>314</v>
      </c>
      <c r="D25" s="1" t="s">
        <v>163</v>
      </c>
    </row>
    <row r="26" spans="2:5" x14ac:dyDescent="0.2">
      <c r="B26" s="1" t="s">
        <v>166</v>
      </c>
    </row>
    <row r="27" spans="2:5" x14ac:dyDescent="0.2">
      <c r="B27" s="1" t="s">
        <v>164</v>
      </c>
      <c r="C27" s="5">
        <f>+C23-C24</f>
        <v>390.6</v>
      </c>
      <c r="D27" s="1" t="s">
        <v>165</v>
      </c>
    </row>
    <row r="30" spans="2:5" x14ac:dyDescent="0.2">
      <c r="B30" s="1" t="s">
        <v>167</v>
      </c>
    </row>
    <row r="31" spans="2:5" x14ac:dyDescent="0.2">
      <c r="B31" s="1" t="s">
        <v>73</v>
      </c>
      <c r="C31" s="1">
        <f>+C25</f>
        <v>314</v>
      </c>
    </row>
    <row r="32" spans="2:5" x14ac:dyDescent="0.2">
      <c r="B32" s="1" t="s">
        <v>51</v>
      </c>
      <c r="C32" s="5">
        <f>+C23</f>
        <v>391.6</v>
      </c>
    </row>
    <row r="33" spans="2:6" x14ac:dyDescent="0.2">
      <c r="C33" s="5">
        <f>+C32-C31</f>
        <v>77.600000000000023</v>
      </c>
    </row>
    <row r="35" spans="2:6" x14ac:dyDescent="0.2">
      <c r="B35" s="1" t="s">
        <v>67</v>
      </c>
      <c r="E35" s="5">
        <f>+C33</f>
        <v>77.600000000000023</v>
      </c>
    </row>
    <row r="36" spans="2:6" x14ac:dyDescent="0.2">
      <c r="C36" s="1" t="s">
        <v>117</v>
      </c>
      <c r="F36" s="5">
        <f>+E35</f>
        <v>77.600000000000023</v>
      </c>
    </row>
    <row r="37" spans="2:6" x14ac:dyDescent="0.2">
      <c r="B37" s="1" t="s">
        <v>168</v>
      </c>
    </row>
    <row r="39" spans="2:6" x14ac:dyDescent="0.2">
      <c r="B39" s="1" t="s">
        <v>169</v>
      </c>
    </row>
    <row r="40" spans="2:6" x14ac:dyDescent="0.2">
      <c r="B40" s="1" t="s">
        <v>139</v>
      </c>
      <c r="E40" s="5">
        <f>+C27</f>
        <v>390.6</v>
      </c>
    </row>
    <row r="41" spans="2:6" x14ac:dyDescent="0.2">
      <c r="B41" s="1" t="s">
        <v>170</v>
      </c>
      <c r="E41" s="1">
        <f>+C24</f>
        <v>1</v>
      </c>
    </row>
    <row r="42" spans="2:6" x14ac:dyDescent="0.2">
      <c r="C42" s="1" t="s">
        <v>78</v>
      </c>
      <c r="F42" s="5">
        <f>+C23</f>
        <v>391.6</v>
      </c>
    </row>
    <row r="43" spans="2:6" x14ac:dyDescent="0.2">
      <c r="B43" s="1" t="s">
        <v>171</v>
      </c>
    </row>
    <row r="46" spans="2:6" x14ac:dyDescent="0.2">
      <c r="B46" s="1" t="s">
        <v>172</v>
      </c>
    </row>
    <row r="47" spans="2:6" x14ac:dyDescent="0.2">
      <c r="B47" s="1" t="s">
        <v>173</v>
      </c>
      <c r="C47" s="1">
        <v>5000</v>
      </c>
    </row>
    <row r="48" spans="2:6" x14ac:dyDescent="0.2">
      <c r="B48" s="1" t="s">
        <v>128</v>
      </c>
      <c r="C48" s="18">
        <v>1</v>
      </c>
    </row>
    <row r="49" spans="2:4" x14ac:dyDescent="0.2">
      <c r="B49" s="1" t="s">
        <v>174</v>
      </c>
      <c r="C49" s="17">
        <v>5.5E-2</v>
      </c>
    </row>
    <row r="50" spans="2:4" x14ac:dyDescent="0.2">
      <c r="B50" s="1" t="s">
        <v>175</v>
      </c>
      <c r="C50" s="3">
        <v>45323</v>
      </c>
    </row>
    <row r="51" spans="2:4" x14ac:dyDescent="0.2">
      <c r="B51" s="1" t="s">
        <v>176</v>
      </c>
      <c r="C51" s="3">
        <v>47149</v>
      </c>
    </row>
    <row r="52" spans="2:4" x14ac:dyDescent="0.2">
      <c r="B52" s="1" t="s">
        <v>177</v>
      </c>
      <c r="C52" s="19">
        <v>1.05</v>
      </c>
    </row>
    <row r="53" spans="2:4" x14ac:dyDescent="0.2">
      <c r="B53" s="1" t="s">
        <v>74</v>
      </c>
      <c r="C53" s="17">
        <v>6.3799999999999996E-2</v>
      </c>
    </row>
    <row r="54" spans="2:4" x14ac:dyDescent="0.2">
      <c r="B54" s="1" t="s">
        <v>73</v>
      </c>
      <c r="C54" s="5">
        <v>5140.6009999999997</v>
      </c>
      <c r="D54" s="3">
        <v>46418</v>
      </c>
    </row>
    <row r="55" spans="2:4" x14ac:dyDescent="0.2">
      <c r="B55" s="1" t="s">
        <v>178</v>
      </c>
      <c r="C55" s="1">
        <f>+C47*C49</f>
        <v>275</v>
      </c>
      <c r="D55" s="1" t="s">
        <v>179</v>
      </c>
    </row>
    <row r="58" spans="2:4" x14ac:dyDescent="0.2">
      <c r="B58" s="1" t="s">
        <v>180</v>
      </c>
      <c r="C58" s="1">
        <v>2000</v>
      </c>
    </row>
    <row r="59" spans="2:4" x14ac:dyDescent="0.2">
      <c r="B59" s="1" t="s">
        <v>197</v>
      </c>
      <c r="C59" s="18">
        <v>1.02</v>
      </c>
    </row>
    <row r="60" spans="2:4" x14ac:dyDescent="0.2">
      <c r="B60" s="1" t="s">
        <v>181</v>
      </c>
      <c r="C60" s="3">
        <v>43131</v>
      </c>
    </row>
    <row r="61" spans="2:4" x14ac:dyDescent="0.2">
      <c r="B61" s="1" t="s">
        <v>182</v>
      </c>
    </row>
    <row r="62" spans="2:4" x14ac:dyDescent="0.2">
      <c r="B62" s="1" t="s">
        <v>183</v>
      </c>
    </row>
    <row r="65" spans="1:6" x14ac:dyDescent="0.2">
      <c r="B65" s="1" t="s">
        <v>82</v>
      </c>
    </row>
    <row r="67" spans="1:6" x14ac:dyDescent="0.2">
      <c r="B67" s="1" t="s">
        <v>198</v>
      </c>
      <c r="D67" s="1" t="s">
        <v>200</v>
      </c>
      <c r="E67" s="1" t="s">
        <v>201</v>
      </c>
      <c r="F67" s="1" t="s">
        <v>202</v>
      </c>
    </row>
    <row r="68" spans="1:6" x14ac:dyDescent="0.2">
      <c r="B68" s="1" t="s">
        <v>199</v>
      </c>
      <c r="C68" s="5">
        <f>+C54</f>
        <v>5140.6009999999997</v>
      </c>
      <c r="D68" s="5">
        <f>+C68*C53</f>
        <v>327.97034379999997</v>
      </c>
      <c r="E68" s="5">
        <f>-+C49*C47</f>
        <v>-275</v>
      </c>
      <c r="F68" s="5">
        <f>SUM(C68:E68)</f>
        <v>5193.5713437999993</v>
      </c>
    </row>
    <row r="69" spans="1:6" x14ac:dyDescent="0.2">
      <c r="C69" s="5"/>
      <c r="D69" s="5"/>
      <c r="E69" s="5"/>
      <c r="F69" s="5"/>
    </row>
    <row r="70" spans="1:6" x14ac:dyDescent="0.2">
      <c r="B70" s="1" t="s">
        <v>156</v>
      </c>
      <c r="C70" s="5"/>
      <c r="D70" s="5"/>
      <c r="E70" s="5">
        <f>SUM(D68:E68)</f>
        <v>52.970343799999966</v>
      </c>
      <c r="F70" s="5"/>
    </row>
    <row r="71" spans="1:6" x14ac:dyDescent="0.2">
      <c r="C71" s="5" t="s">
        <v>203</v>
      </c>
      <c r="D71" s="5"/>
      <c r="E71" s="5"/>
      <c r="F71" s="5">
        <f>+E70</f>
        <v>52.970343799999966</v>
      </c>
    </row>
    <row r="72" spans="1:6" x14ac:dyDescent="0.2">
      <c r="B72" s="1" t="s">
        <v>204</v>
      </c>
      <c r="C72" s="5"/>
      <c r="D72" s="5"/>
      <c r="E72" s="5"/>
      <c r="F72" s="5"/>
    </row>
    <row r="73" spans="1:6" x14ac:dyDescent="0.2">
      <c r="C73" s="5"/>
      <c r="D73" s="5"/>
      <c r="E73" s="5"/>
      <c r="F73" s="5"/>
    </row>
    <row r="74" spans="1:6" x14ac:dyDescent="0.2">
      <c r="C74" s="5"/>
      <c r="D74" s="5"/>
      <c r="E74" s="5"/>
      <c r="F74" s="5"/>
    </row>
    <row r="75" spans="1:6" s="22" customFormat="1" ht="15" x14ac:dyDescent="0.25">
      <c r="A75" s="20" t="s">
        <v>184</v>
      </c>
      <c r="B75" s="20" t="s">
        <v>185</v>
      </c>
      <c r="C75" s="21"/>
      <c r="D75" s="21"/>
    </row>
    <row r="76" spans="1:6" s="22" customFormat="1" ht="15" x14ac:dyDescent="0.25">
      <c r="C76" s="23" t="s">
        <v>186</v>
      </c>
      <c r="D76" s="21"/>
    </row>
    <row r="77" spans="1:6" s="22" customFormat="1" ht="15" x14ac:dyDescent="0.25">
      <c r="B77" s="24" t="s">
        <v>187</v>
      </c>
      <c r="C77" s="21">
        <f>+C58*C59</f>
        <v>2040</v>
      </c>
      <c r="D77" s="25" t="s">
        <v>188</v>
      </c>
    </row>
    <row r="78" spans="1:6" s="22" customFormat="1" ht="15" x14ac:dyDescent="0.25">
      <c r="B78" s="24" t="s">
        <v>189</v>
      </c>
      <c r="C78" s="21">
        <f>(C58/C47)*F68</f>
        <v>2077.4285375199997</v>
      </c>
      <c r="D78" s="25" t="s">
        <v>190</v>
      </c>
    </row>
    <row r="79" spans="1:6" s="22" customFormat="1" ht="15.75" thickBot="1" x14ac:dyDescent="0.3">
      <c r="B79" s="26" t="s">
        <v>207</v>
      </c>
      <c r="C79" s="27">
        <f>C78-C77</f>
        <v>37.428537519999736</v>
      </c>
      <c r="D79" s="25" t="s">
        <v>191</v>
      </c>
    </row>
    <row r="80" spans="1:6" s="22" customFormat="1" ht="15.75" thickTop="1" x14ac:dyDescent="0.25">
      <c r="C80" s="21"/>
      <c r="D80" s="21"/>
    </row>
    <row r="81" spans="2:4" s="22" customFormat="1" ht="14.25" customHeight="1" x14ac:dyDescent="0.25">
      <c r="B81" s="32" t="s">
        <v>208</v>
      </c>
      <c r="C81" s="33"/>
      <c r="D81" s="33"/>
    </row>
    <row r="82" spans="2:4" s="22" customFormat="1" ht="15" x14ac:dyDescent="0.25">
      <c r="B82" s="33"/>
      <c r="C82" s="33"/>
      <c r="D82" s="33"/>
    </row>
    <row r="83" spans="2:4" s="22" customFormat="1" ht="15" x14ac:dyDescent="0.25"/>
    <row r="84" spans="2:4" s="22" customFormat="1" ht="15" x14ac:dyDescent="0.25">
      <c r="B84" s="28" t="s">
        <v>192</v>
      </c>
      <c r="C84" s="28" t="s">
        <v>193</v>
      </c>
      <c r="D84" s="28" t="s">
        <v>194</v>
      </c>
    </row>
    <row r="85" spans="2:4" s="22" customFormat="1" ht="15" x14ac:dyDescent="0.25">
      <c r="C85" s="29" t="s">
        <v>186</v>
      </c>
      <c r="D85" s="29" t="s">
        <v>186</v>
      </c>
    </row>
    <row r="86" spans="2:4" s="22" customFormat="1" ht="15" x14ac:dyDescent="0.25">
      <c r="B86" s="22" t="s">
        <v>95</v>
      </c>
      <c r="C86" s="30">
        <f>C78</f>
        <v>2077.4285375199997</v>
      </c>
      <c r="D86" s="30"/>
    </row>
    <row r="87" spans="2:4" s="22" customFormat="1" ht="15" x14ac:dyDescent="0.25">
      <c r="B87" s="22" t="s">
        <v>195</v>
      </c>
      <c r="C87" s="30"/>
      <c r="D87" s="30">
        <f>C77</f>
        <v>2040</v>
      </c>
    </row>
    <row r="88" spans="2:4" s="22" customFormat="1" ht="15" x14ac:dyDescent="0.25">
      <c r="B88" s="22" t="s">
        <v>209</v>
      </c>
      <c r="C88" s="30"/>
      <c r="D88" s="30">
        <f>C79</f>
        <v>37.428537519999736</v>
      </c>
    </row>
    <row r="89" spans="2:4" s="22" customFormat="1" ht="15" x14ac:dyDescent="0.25">
      <c r="B89" s="31" t="s">
        <v>196</v>
      </c>
      <c r="C89" s="30"/>
      <c r="D89" s="30"/>
    </row>
  </sheetData>
  <mergeCells count="1">
    <mergeCell ref="B81:D82"/>
  </mergeCells>
  <hyperlinks>
    <hyperlink ref="A1" location="Main!A1" display="Main" xr:uid="{4E549D89-C5B7-4045-9B5F-C0746FDF403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1809-AE46-4B53-A458-7831AE2BEDB8}">
  <dimension ref="A1:H212"/>
  <sheetViews>
    <sheetView tabSelected="1" zoomScale="175" zoomScaleNormal="175" workbookViewId="0">
      <selection activeCell="D4" sqref="D4"/>
    </sheetView>
  </sheetViews>
  <sheetFormatPr defaultRowHeight="12" x14ac:dyDescent="0.2"/>
  <cols>
    <col min="1" max="2" width="9.140625" style="1"/>
    <col min="3" max="3" width="9.5703125" style="1" bestFit="1" customWidth="1"/>
    <col min="4" max="4" width="9.140625" style="1"/>
    <col min="5" max="5" width="9.5703125" style="1" bestFit="1" customWidth="1"/>
    <col min="6" max="16384" width="9.140625" style="1"/>
  </cols>
  <sheetData>
    <row r="1" spans="1:5" ht="15" x14ac:dyDescent="0.25">
      <c r="A1" s="2" t="s">
        <v>1</v>
      </c>
    </row>
    <row r="2" spans="1:5" x14ac:dyDescent="0.2">
      <c r="A2" s="1">
        <f>SUM(A3:A229)</f>
        <v>11</v>
      </c>
      <c r="B2" s="1" t="s">
        <v>210</v>
      </c>
      <c r="C2" s="38">
        <f>+A2/33</f>
        <v>0.33333333333333331</v>
      </c>
      <c r="D2" s="1" t="s">
        <v>331</v>
      </c>
    </row>
    <row r="3" spans="1:5" x14ac:dyDescent="0.2">
      <c r="B3" s="1">
        <f>33*2.4</f>
        <v>79.2</v>
      </c>
      <c r="D3" s="1" t="s">
        <v>332</v>
      </c>
    </row>
    <row r="4" spans="1:5" x14ac:dyDescent="0.2">
      <c r="B4" s="1" t="s">
        <v>16</v>
      </c>
      <c r="C4" s="3">
        <v>45291</v>
      </c>
    </row>
    <row r="7" spans="1:5" x14ac:dyDescent="0.2">
      <c r="B7" s="1" t="s">
        <v>172</v>
      </c>
    </row>
    <row r="8" spans="1:5" x14ac:dyDescent="0.2">
      <c r="B8" s="3">
        <v>44927</v>
      </c>
    </row>
    <row r="9" spans="1:5" x14ac:dyDescent="0.2">
      <c r="B9" s="1" t="s">
        <v>173</v>
      </c>
      <c r="C9" s="1">
        <v>2000</v>
      </c>
    </row>
    <row r="10" spans="1:5" x14ac:dyDescent="0.2">
      <c r="C10" s="34">
        <v>1</v>
      </c>
      <c r="D10" s="1" t="s">
        <v>107</v>
      </c>
    </row>
    <row r="11" spans="1:5" x14ac:dyDescent="0.2">
      <c r="B11" s="1" t="s">
        <v>211</v>
      </c>
      <c r="C11" s="6">
        <v>0.04</v>
      </c>
    </row>
    <row r="13" spans="1:5" x14ac:dyDescent="0.2">
      <c r="B13" s="1" t="s">
        <v>212</v>
      </c>
      <c r="C13" s="6">
        <v>0.08</v>
      </c>
      <c r="D13" s="1" t="s">
        <v>213</v>
      </c>
    </row>
    <row r="14" spans="1:5" x14ac:dyDescent="0.2">
      <c r="B14" s="1" t="s">
        <v>214</v>
      </c>
      <c r="C14" s="3">
        <v>46752</v>
      </c>
    </row>
    <row r="15" spans="1:5" x14ac:dyDescent="0.2">
      <c r="B15" s="1" t="s">
        <v>215</v>
      </c>
      <c r="C15" s="1">
        <v>100</v>
      </c>
      <c r="E15" s="5"/>
    </row>
    <row r="17" spans="1:6" x14ac:dyDescent="0.2">
      <c r="B17" s="1" t="s">
        <v>221</v>
      </c>
      <c r="C17" s="5">
        <f>+C9*C10</f>
        <v>2000</v>
      </c>
    </row>
    <row r="18" spans="1:6" x14ac:dyDescent="0.2">
      <c r="B18" s="1" t="s">
        <v>222</v>
      </c>
      <c r="C18" s="5">
        <f>+C9*(1-C11)</f>
        <v>1920</v>
      </c>
    </row>
    <row r="19" spans="1:6" x14ac:dyDescent="0.2">
      <c r="B19" s="1" t="s">
        <v>223</v>
      </c>
      <c r="C19" s="5">
        <f>+C15</f>
        <v>100</v>
      </c>
    </row>
    <row r="20" spans="1:6" x14ac:dyDescent="0.2">
      <c r="B20" s="1" t="s">
        <v>224</v>
      </c>
      <c r="C20" s="6">
        <v>0.06</v>
      </c>
    </row>
    <row r="21" spans="1:6" x14ac:dyDescent="0.2">
      <c r="B21" s="1" t="s">
        <v>74</v>
      </c>
      <c r="C21" s="17">
        <v>9.6699999999999994E-2</v>
      </c>
    </row>
    <row r="22" spans="1:6" x14ac:dyDescent="0.2">
      <c r="B22" s="1" t="s">
        <v>225</v>
      </c>
      <c r="C22" s="5" t="s">
        <v>226</v>
      </c>
    </row>
    <row r="23" spans="1:6" x14ac:dyDescent="0.2">
      <c r="B23" s="1" t="s">
        <v>220</v>
      </c>
      <c r="C23" s="5"/>
    </row>
    <row r="24" spans="1:6" x14ac:dyDescent="0.2">
      <c r="B24" s="1" t="s">
        <v>216</v>
      </c>
    </row>
    <row r="25" spans="1:6" x14ac:dyDescent="0.2">
      <c r="C25" s="1" t="s">
        <v>217</v>
      </c>
      <c r="F25" s="5">
        <f>+C18</f>
        <v>1920</v>
      </c>
    </row>
    <row r="26" spans="1:6" x14ac:dyDescent="0.2">
      <c r="B26" s="1" t="s">
        <v>218</v>
      </c>
      <c r="E26" s="1">
        <f>+C15</f>
        <v>100</v>
      </c>
    </row>
    <row r="28" spans="1:6" x14ac:dyDescent="0.2">
      <c r="A28" s="1">
        <v>1</v>
      </c>
      <c r="B28" s="1" t="s">
        <v>219</v>
      </c>
    </row>
    <row r="29" spans="1:6" x14ac:dyDescent="0.2">
      <c r="A29" s="1">
        <v>0</v>
      </c>
      <c r="B29" s="1" t="s">
        <v>321</v>
      </c>
    </row>
    <row r="31" spans="1:6" x14ac:dyDescent="0.2">
      <c r="B31" s="1" t="s">
        <v>16</v>
      </c>
      <c r="C31" s="1" t="s">
        <v>199</v>
      </c>
      <c r="D31" s="1" t="s">
        <v>227</v>
      </c>
      <c r="E31" s="1" t="s">
        <v>228</v>
      </c>
      <c r="F31" s="1" t="s">
        <v>202</v>
      </c>
    </row>
    <row r="32" spans="1:6" x14ac:dyDescent="0.2">
      <c r="A32" s="1">
        <v>1</v>
      </c>
      <c r="B32" s="3">
        <v>45291</v>
      </c>
      <c r="C32" s="5">
        <f>+C18-C19</f>
        <v>1820</v>
      </c>
      <c r="D32" s="5">
        <f>+C32*$C$21</f>
        <v>175.994</v>
      </c>
      <c r="E32" s="5">
        <f>-+$C$20*$C$17</f>
        <v>-120</v>
      </c>
      <c r="F32" s="5">
        <f>SUM(C32:E32)</f>
        <v>1875.9939999999999</v>
      </c>
    </row>
    <row r="33" spans="1:6" x14ac:dyDescent="0.2">
      <c r="B33" s="3">
        <v>45657</v>
      </c>
      <c r="C33" s="5">
        <f>+F32</f>
        <v>1875.9939999999999</v>
      </c>
      <c r="D33" s="5">
        <f t="shared" ref="D33:D36" si="0">+C33*$C$21</f>
        <v>181.40861979999997</v>
      </c>
      <c r="E33" s="5">
        <f t="shared" ref="E33:E36" si="1">-+$C$20*$C$17</f>
        <v>-120</v>
      </c>
      <c r="F33" s="5">
        <f t="shared" ref="F33:F36" si="2">SUM(C33:E33)</f>
        <v>1937.4026197999997</v>
      </c>
    </row>
    <row r="34" spans="1:6" x14ac:dyDescent="0.2">
      <c r="B34" s="3">
        <v>46022</v>
      </c>
      <c r="C34" s="5">
        <f t="shared" ref="C34:C36" si="3">+F33</f>
        <v>1937.4026197999997</v>
      </c>
      <c r="D34" s="5">
        <f t="shared" si="0"/>
        <v>187.34683333465995</v>
      </c>
      <c r="E34" s="5">
        <f t="shared" si="1"/>
        <v>-120</v>
      </c>
      <c r="F34" s="5">
        <f t="shared" si="2"/>
        <v>2004.7494531346597</v>
      </c>
    </row>
    <row r="35" spans="1:6" x14ac:dyDescent="0.2">
      <c r="B35" s="3">
        <v>46387</v>
      </c>
      <c r="C35" s="5">
        <f t="shared" si="3"/>
        <v>2004.7494531346597</v>
      </c>
      <c r="D35" s="5">
        <f t="shared" si="0"/>
        <v>193.85927211812157</v>
      </c>
      <c r="E35" s="5">
        <f t="shared" si="1"/>
        <v>-120</v>
      </c>
      <c r="F35" s="5">
        <f t="shared" si="2"/>
        <v>2078.6087252527814</v>
      </c>
    </row>
    <row r="36" spans="1:6" x14ac:dyDescent="0.2">
      <c r="B36" s="3">
        <v>46752</v>
      </c>
      <c r="C36" s="5">
        <f t="shared" si="3"/>
        <v>2078.6087252527814</v>
      </c>
      <c r="D36" s="5">
        <f t="shared" si="0"/>
        <v>201.00146373194394</v>
      </c>
      <c r="E36" s="5">
        <f t="shared" si="1"/>
        <v>-120</v>
      </c>
      <c r="F36" s="5">
        <f t="shared" si="2"/>
        <v>2159.6101889847255</v>
      </c>
    </row>
    <row r="38" spans="1:6" x14ac:dyDescent="0.2">
      <c r="B38" s="1" t="s">
        <v>229</v>
      </c>
      <c r="C38" s="5">
        <f>+F33</f>
        <v>1937.4026197999997</v>
      </c>
    </row>
    <row r="39" spans="1:6" x14ac:dyDescent="0.2">
      <c r="B39" s="1" t="s">
        <v>230</v>
      </c>
      <c r="C39" s="5">
        <f>+F32-F33</f>
        <v>-61.408619799999769</v>
      </c>
    </row>
    <row r="40" spans="1:6" x14ac:dyDescent="0.2">
      <c r="B40" s="1" t="s">
        <v>231</v>
      </c>
      <c r="C40" s="5">
        <f>SUM(C38:C39)</f>
        <v>1875.9939999999999</v>
      </c>
    </row>
    <row r="42" spans="1:6" x14ac:dyDescent="0.2">
      <c r="B42" s="1" t="s">
        <v>326</v>
      </c>
    </row>
    <row r="43" spans="1:6" s="36" customFormat="1" x14ac:dyDescent="0.2">
      <c r="B43" s="36" t="s">
        <v>156</v>
      </c>
      <c r="E43" s="37">
        <f>+D32</f>
        <v>175.994</v>
      </c>
    </row>
    <row r="44" spans="1:6" s="36" customFormat="1" x14ac:dyDescent="0.2">
      <c r="C44" s="36" t="s">
        <v>323</v>
      </c>
      <c r="E44" s="37"/>
      <c r="F44" s="37">
        <f>+E43</f>
        <v>175.994</v>
      </c>
    </row>
    <row r="45" spans="1:6" s="36" customFormat="1" x14ac:dyDescent="0.2">
      <c r="A45" s="36">
        <v>0</v>
      </c>
      <c r="B45" s="36" t="s">
        <v>204</v>
      </c>
      <c r="E45" s="37"/>
      <c r="F45" s="37"/>
    </row>
    <row r="46" spans="1:6" s="36" customFormat="1" x14ac:dyDescent="0.2">
      <c r="E46" s="37"/>
      <c r="F46" s="37"/>
    </row>
    <row r="47" spans="1:6" s="36" customFormat="1" x14ac:dyDescent="0.2">
      <c r="B47" s="36" t="s">
        <v>327</v>
      </c>
    </row>
    <row r="48" spans="1:6" s="36" customFormat="1" x14ac:dyDescent="0.2">
      <c r="B48" s="36" t="s">
        <v>232</v>
      </c>
    </row>
    <row r="49" spans="1:8" s="36" customFormat="1" x14ac:dyDescent="0.2">
      <c r="B49" s="36" t="s">
        <v>324</v>
      </c>
      <c r="E49" s="37">
        <f>-E32</f>
        <v>120</v>
      </c>
      <c r="F49" s="37"/>
    </row>
    <row r="50" spans="1:8" s="36" customFormat="1" x14ac:dyDescent="0.2">
      <c r="A50" s="36">
        <v>0</v>
      </c>
      <c r="C50" s="36" t="s">
        <v>117</v>
      </c>
      <c r="F50" s="37">
        <f>+E49</f>
        <v>120</v>
      </c>
      <c r="H50" s="37"/>
    </row>
    <row r="51" spans="1:8" s="36" customFormat="1" x14ac:dyDescent="0.2">
      <c r="B51" s="36" t="s">
        <v>325</v>
      </c>
      <c r="F51" s="37"/>
    </row>
    <row r="52" spans="1:8" s="36" customFormat="1" x14ac:dyDescent="0.2">
      <c r="F52" s="37"/>
    </row>
    <row r="53" spans="1:8" s="36" customFormat="1" x14ac:dyDescent="0.2">
      <c r="B53" s="36" t="s">
        <v>233</v>
      </c>
    </row>
    <row r="54" spans="1:8" s="36" customFormat="1" x14ac:dyDescent="0.2">
      <c r="A54" s="36">
        <v>1</v>
      </c>
      <c r="B54" s="36" t="s">
        <v>235</v>
      </c>
      <c r="E54" s="36">
        <f>+F55</f>
        <v>100</v>
      </c>
    </row>
    <row r="55" spans="1:8" s="36" customFormat="1" x14ac:dyDescent="0.2">
      <c r="C55" s="36" t="s">
        <v>234</v>
      </c>
      <c r="F55" s="36">
        <v>100</v>
      </c>
    </row>
    <row r="56" spans="1:8" x14ac:dyDescent="0.2">
      <c r="B56" s="1" t="s">
        <v>322</v>
      </c>
    </row>
    <row r="58" spans="1:8" x14ac:dyDescent="0.2">
      <c r="B58" s="1" t="s">
        <v>236</v>
      </c>
    </row>
    <row r="59" spans="1:8" x14ac:dyDescent="0.2">
      <c r="B59" s="3">
        <v>45108</v>
      </c>
      <c r="C59" s="1" t="s">
        <v>237</v>
      </c>
    </row>
    <row r="60" spans="1:8" x14ac:dyDescent="0.2">
      <c r="B60" s="1" t="s">
        <v>238</v>
      </c>
      <c r="C60" s="1">
        <v>560</v>
      </c>
    </row>
    <row r="61" spans="1:8" x14ac:dyDescent="0.2">
      <c r="B61" s="1" t="s">
        <v>239</v>
      </c>
      <c r="C61" s="17">
        <v>2.5000000000000001E-2</v>
      </c>
      <c r="D61" s="1" t="s">
        <v>247</v>
      </c>
    </row>
    <row r="62" spans="1:8" x14ac:dyDescent="0.2">
      <c r="B62" s="1" t="s">
        <v>240</v>
      </c>
      <c r="C62" s="3">
        <v>45473</v>
      </c>
      <c r="D62" s="1" t="s">
        <v>241</v>
      </c>
    </row>
    <row r="64" spans="1:8" x14ac:dyDescent="0.2">
      <c r="B64" s="3">
        <v>46203</v>
      </c>
      <c r="C64" s="1">
        <v>650</v>
      </c>
    </row>
    <row r="65" spans="2:6" x14ac:dyDescent="0.2">
      <c r="B65" s="1" t="s">
        <v>242</v>
      </c>
      <c r="C65" s="17">
        <v>7.4800000000000005E-2</v>
      </c>
    </row>
    <row r="66" spans="2:6" x14ac:dyDescent="0.2">
      <c r="B66" s="1" t="s">
        <v>243</v>
      </c>
      <c r="C66" s="1" t="s">
        <v>244</v>
      </c>
    </row>
    <row r="68" spans="2:6" x14ac:dyDescent="0.2">
      <c r="B68" s="1" t="s">
        <v>245</v>
      </c>
    </row>
    <row r="69" spans="2:6" x14ac:dyDescent="0.2">
      <c r="B69" s="1" t="s">
        <v>246</v>
      </c>
      <c r="E69" s="1">
        <f>+C60</f>
        <v>560</v>
      </c>
    </row>
    <row r="70" spans="2:6" x14ac:dyDescent="0.2">
      <c r="C70" s="1" t="s">
        <v>248</v>
      </c>
      <c r="F70" s="1">
        <f>+E69</f>
        <v>560</v>
      </c>
    </row>
    <row r="73" spans="2:6" x14ac:dyDescent="0.2">
      <c r="B73" s="1" t="s">
        <v>249</v>
      </c>
      <c r="C73" s="1" t="s">
        <v>199</v>
      </c>
      <c r="D73" s="1" t="s">
        <v>227</v>
      </c>
      <c r="E73" s="1" t="s">
        <v>250</v>
      </c>
      <c r="F73" s="1" t="s">
        <v>251</v>
      </c>
    </row>
    <row r="74" spans="2:6" x14ac:dyDescent="0.2">
      <c r="B74" s="3">
        <v>45291</v>
      </c>
      <c r="C74" s="5">
        <f>+C60</f>
        <v>560</v>
      </c>
      <c r="D74" s="5">
        <f>+C74*$C$65*6/12</f>
        <v>20.944000000000003</v>
      </c>
      <c r="E74" s="5">
        <f>-$C$61*$C$60*6/12</f>
        <v>-7</v>
      </c>
      <c r="F74" s="5">
        <f>SUM(C74:E74)</f>
        <v>573.94399999999996</v>
      </c>
    </row>
    <row r="75" spans="2:6" x14ac:dyDescent="0.2">
      <c r="B75" s="3">
        <v>45473</v>
      </c>
      <c r="C75" s="5">
        <f>+F74</f>
        <v>573.94399999999996</v>
      </c>
      <c r="D75" s="5">
        <f t="shared" ref="D75:D79" si="4">+C75*$C$65*6/12</f>
        <v>21.4655056</v>
      </c>
      <c r="E75" s="5">
        <f t="shared" ref="E75:E79" si="5">-$C$61*$C$60*6/12</f>
        <v>-7</v>
      </c>
      <c r="F75" s="5">
        <f t="shared" ref="F75:F79" si="6">SUM(C75:E75)</f>
        <v>588.40950559999999</v>
      </c>
    </row>
    <row r="76" spans="2:6" x14ac:dyDescent="0.2">
      <c r="B76" s="3">
        <v>45657</v>
      </c>
      <c r="C76" s="5">
        <f>+F75</f>
        <v>588.40950559999999</v>
      </c>
      <c r="D76" s="5">
        <f t="shared" si="4"/>
        <v>22.006515509440003</v>
      </c>
      <c r="E76" s="5">
        <f t="shared" si="5"/>
        <v>-7</v>
      </c>
      <c r="F76" s="5">
        <f t="shared" si="6"/>
        <v>603.41602110943995</v>
      </c>
    </row>
    <row r="77" spans="2:6" x14ac:dyDescent="0.2">
      <c r="B77" s="3">
        <v>45838</v>
      </c>
      <c r="C77" s="5">
        <f t="shared" ref="C77:C79" si="7">+F76</f>
        <v>603.41602110943995</v>
      </c>
      <c r="D77" s="5">
        <f t="shared" si="4"/>
        <v>22.567759189493056</v>
      </c>
      <c r="E77" s="5">
        <f t="shared" si="5"/>
        <v>-7</v>
      </c>
      <c r="F77" s="5">
        <f t="shared" si="6"/>
        <v>618.98378029893297</v>
      </c>
    </row>
    <row r="78" spans="2:6" x14ac:dyDescent="0.2">
      <c r="B78" s="3">
        <v>46022</v>
      </c>
      <c r="C78" s="5">
        <f>+F77</f>
        <v>618.98378029893297</v>
      </c>
      <c r="D78" s="5">
        <f t="shared" si="4"/>
        <v>23.149993383180099</v>
      </c>
      <c r="E78" s="5">
        <f t="shared" si="5"/>
        <v>-7</v>
      </c>
      <c r="F78" s="5">
        <f t="shared" si="6"/>
        <v>635.13377368211309</v>
      </c>
    </row>
    <row r="79" spans="2:6" x14ac:dyDescent="0.2">
      <c r="B79" s="3">
        <v>46203</v>
      </c>
      <c r="C79" s="5">
        <f t="shared" si="7"/>
        <v>635.13377368211309</v>
      </c>
      <c r="D79" s="5">
        <f t="shared" si="4"/>
        <v>23.754003135711031</v>
      </c>
      <c r="E79" s="5">
        <f t="shared" si="5"/>
        <v>-7</v>
      </c>
      <c r="F79" s="5">
        <f t="shared" si="6"/>
        <v>651.88777681782415</v>
      </c>
    </row>
    <row r="82" spans="1:6" x14ac:dyDescent="0.2">
      <c r="B82" s="1" t="s">
        <v>252</v>
      </c>
    </row>
    <row r="83" spans="1:6" x14ac:dyDescent="0.2">
      <c r="B83" s="1" t="s">
        <v>253</v>
      </c>
      <c r="E83" s="5">
        <f>+C74</f>
        <v>560</v>
      </c>
    </row>
    <row r="84" spans="1:6" x14ac:dyDescent="0.2">
      <c r="C84" s="1" t="s">
        <v>256</v>
      </c>
      <c r="F84" s="5">
        <f>+E83</f>
        <v>560</v>
      </c>
    </row>
    <row r="85" spans="1:6" x14ac:dyDescent="0.2">
      <c r="A85" s="1">
        <v>0</v>
      </c>
      <c r="B85" s="1" t="s">
        <v>257</v>
      </c>
    </row>
    <row r="87" spans="1:6" x14ac:dyDescent="0.2">
      <c r="B87" s="1" t="s">
        <v>254</v>
      </c>
    </row>
    <row r="89" spans="1:6" x14ac:dyDescent="0.2">
      <c r="B89" s="1" t="s">
        <v>255</v>
      </c>
      <c r="E89" s="5">
        <f>+D74</f>
        <v>20.944000000000003</v>
      </c>
    </row>
    <row r="90" spans="1:6" x14ac:dyDescent="0.2">
      <c r="C90" s="1" t="s">
        <v>234</v>
      </c>
      <c r="F90" s="5">
        <f>+E89</f>
        <v>20.944000000000003</v>
      </c>
    </row>
    <row r="91" spans="1:6" x14ac:dyDescent="0.2">
      <c r="A91" s="1">
        <v>0</v>
      </c>
      <c r="B91" s="1" t="s">
        <v>328</v>
      </c>
    </row>
    <row r="94" spans="1:6" x14ac:dyDescent="0.2">
      <c r="B94" s="4" t="s">
        <v>258</v>
      </c>
    </row>
    <row r="96" spans="1:6" x14ac:dyDescent="0.2">
      <c r="B96" s="3">
        <v>45274</v>
      </c>
    </row>
    <row r="97" spans="1:6" x14ac:dyDescent="0.2">
      <c r="B97" s="1" t="s">
        <v>259</v>
      </c>
    </row>
    <row r="98" spans="1:6" x14ac:dyDescent="0.2">
      <c r="C98" s="1" t="s">
        <v>260</v>
      </c>
      <c r="D98" s="1" t="s">
        <v>261</v>
      </c>
    </row>
    <row r="99" spans="1:6" x14ac:dyDescent="0.2">
      <c r="B99" s="1" t="s">
        <v>262</v>
      </c>
      <c r="C99" s="1">
        <v>200</v>
      </c>
      <c r="D99" s="1">
        <v>100</v>
      </c>
    </row>
    <row r="100" spans="1:6" x14ac:dyDescent="0.2">
      <c r="B100" s="1" t="s">
        <v>263</v>
      </c>
      <c r="C100" s="1">
        <v>4</v>
      </c>
      <c r="D100" s="1">
        <v>3.5</v>
      </c>
    </row>
    <row r="101" spans="1:6" x14ac:dyDescent="0.2">
      <c r="B101" s="1" t="s">
        <v>265</v>
      </c>
      <c r="C101" s="1">
        <f>+C99*C100</f>
        <v>800</v>
      </c>
      <c r="D101" s="1">
        <f>+D99*D100</f>
        <v>350</v>
      </c>
    </row>
    <row r="102" spans="1:6" x14ac:dyDescent="0.2">
      <c r="B102" s="1" t="s">
        <v>264</v>
      </c>
      <c r="C102" s="1">
        <v>8</v>
      </c>
      <c r="D102" s="1">
        <v>4</v>
      </c>
    </row>
    <row r="103" spans="1:6" x14ac:dyDescent="0.2">
      <c r="A103" s="1">
        <v>1</v>
      </c>
      <c r="B103" s="1" t="s">
        <v>266</v>
      </c>
      <c r="C103" s="1">
        <f>+C101+C102</f>
        <v>808</v>
      </c>
      <c r="D103" s="1">
        <f>+D101+D102</f>
        <v>354</v>
      </c>
    </row>
    <row r="104" spans="1:6" x14ac:dyDescent="0.2">
      <c r="B104" s="1" t="s">
        <v>267</v>
      </c>
      <c r="C104" s="1">
        <v>3.8</v>
      </c>
      <c r="D104" s="1">
        <f>+D100</f>
        <v>3.5</v>
      </c>
    </row>
    <row r="105" spans="1:6" x14ac:dyDescent="0.2">
      <c r="C105" s="1">
        <f>+C104*C99</f>
        <v>760</v>
      </c>
      <c r="D105" s="1">
        <f>+D103</f>
        <v>354</v>
      </c>
    </row>
    <row r="106" spans="1:6" x14ac:dyDescent="0.2">
      <c r="A106" s="1">
        <v>0.5</v>
      </c>
      <c r="B106" s="1" t="s">
        <v>268</v>
      </c>
      <c r="C106" s="1">
        <f>+C105-C103</f>
        <v>-48</v>
      </c>
      <c r="D106" s="1">
        <f>+D105-D103</f>
        <v>0</v>
      </c>
    </row>
    <row r="108" spans="1:6" x14ac:dyDescent="0.2">
      <c r="A108" s="1">
        <v>0.5</v>
      </c>
      <c r="B108" s="1" t="s">
        <v>40</v>
      </c>
    </row>
    <row r="109" spans="1:6" x14ac:dyDescent="0.2">
      <c r="B109" s="1" t="s">
        <v>270</v>
      </c>
      <c r="E109" s="1">
        <f>SUM(F110:F110)</f>
        <v>48</v>
      </c>
    </row>
    <row r="110" spans="1:6" x14ac:dyDescent="0.2">
      <c r="A110" s="1">
        <v>0.5</v>
      </c>
      <c r="C110" s="1" t="s">
        <v>269</v>
      </c>
      <c r="F110" s="1">
        <f>-C106</f>
        <v>48</v>
      </c>
    </row>
    <row r="111" spans="1:6" x14ac:dyDescent="0.2">
      <c r="B111" s="1" t="s">
        <v>271</v>
      </c>
    </row>
    <row r="114" spans="1:6" x14ac:dyDescent="0.2">
      <c r="B114" s="1" t="s">
        <v>153</v>
      </c>
    </row>
    <row r="115" spans="1:6" x14ac:dyDescent="0.2">
      <c r="B115" s="1" t="s">
        <v>272</v>
      </c>
    </row>
    <row r="116" spans="1:6" x14ac:dyDescent="0.2">
      <c r="A116" s="1">
        <v>1</v>
      </c>
      <c r="B116" s="1" t="s">
        <v>273</v>
      </c>
    </row>
    <row r="118" spans="1:6" x14ac:dyDescent="0.2">
      <c r="B118" s="1" t="s">
        <v>179</v>
      </c>
      <c r="E118" s="1">
        <v>50</v>
      </c>
    </row>
    <row r="119" spans="1:6" x14ac:dyDescent="0.2">
      <c r="C119" s="1" t="s">
        <v>117</v>
      </c>
      <c r="F119" s="1">
        <f>+E118</f>
        <v>50</v>
      </c>
    </row>
    <row r="120" spans="1:6" x14ac:dyDescent="0.2">
      <c r="A120" s="1">
        <v>0.5</v>
      </c>
      <c r="B120" s="1" t="s">
        <v>274</v>
      </c>
    </row>
    <row r="123" spans="1:6" x14ac:dyDescent="0.2">
      <c r="B123" s="1" t="s">
        <v>275</v>
      </c>
    </row>
    <row r="124" spans="1:6" x14ac:dyDescent="0.2">
      <c r="B124" s="1" t="s">
        <v>276</v>
      </c>
    </row>
    <row r="125" spans="1:6" x14ac:dyDescent="0.2">
      <c r="C125" s="1" t="s">
        <v>277</v>
      </c>
      <c r="D125" s="1" t="s">
        <v>278</v>
      </c>
    </row>
    <row r="126" spans="1:6" x14ac:dyDescent="0.2">
      <c r="B126" s="1" t="s">
        <v>279</v>
      </c>
      <c r="C126" s="1">
        <v>450</v>
      </c>
      <c r="D126" s="1">
        <v>300</v>
      </c>
    </row>
    <row r="127" spans="1:6" x14ac:dyDescent="0.2">
      <c r="B127" s="1" t="s">
        <v>280</v>
      </c>
      <c r="C127" s="1">
        <v>4.2</v>
      </c>
      <c r="D127" s="1">
        <v>2.8</v>
      </c>
    </row>
    <row r="128" spans="1:6" x14ac:dyDescent="0.2">
      <c r="B128" s="1" t="s">
        <v>281</v>
      </c>
      <c r="C128" s="1">
        <f>+C126*C127</f>
        <v>1890</v>
      </c>
      <c r="D128" s="1">
        <f>+D126*D127</f>
        <v>840</v>
      </c>
    </row>
    <row r="129" spans="2:6" x14ac:dyDescent="0.2">
      <c r="B129" s="1" t="s">
        <v>282</v>
      </c>
      <c r="C129" s="1">
        <v>27</v>
      </c>
      <c r="D129" s="1">
        <v>18</v>
      </c>
    </row>
    <row r="130" spans="2:6" x14ac:dyDescent="0.2">
      <c r="C130" s="1">
        <f>+C128+C129</f>
        <v>1917</v>
      </c>
      <c r="D130" s="1">
        <f>+D128+D129</f>
        <v>858</v>
      </c>
    </row>
    <row r="132" spans="2:6" x14ac:dyDescent="0.2">
      <c r="B132" s="1" t="s">
        <v>283</v>
      </c>
    </row>
    <row r="133" spans="2:6" x14ac:dyDescent="0.2">
      <c r="B133" s="3">
        <v>44954</v>
      </c>
      <c r="C133" s="1">
        <v>5</v>
      </c>
    </row>
    <row r="134" spans="2:6" x14ac:dyDescent="0.2">
      <c r="C134" s="1">
        <f>+C126*C133</f>
        <v>2250</v>
      </c>
    </row>
    <row r="135" spans="2:6" x14ac:dyDescent="0.2">
      <c r="B135" s="1" t="s">
        <v>52</v>
      </c>
      <c r="C135" s="1">
        <v>23</v>
      </c>
      <c r="E135" s="1" t="s">
        <v>284</v>
      </c>
    </row>
    <row r="138" spans="2:6" x14ac:dyDescent="0.2">
      <c r="B138" s="1" t="s">
        <v>285</v>
      </c>
    </row>
    <row r="139" spans="2:6" x14ac:dyDescent="0.2">
      <c r="B139" s="1" t="s">
        <v>286</v>
      </c>
    </row>
    <row r="141" spans="2:6" x14ac:dyDescent="0.2">
      <c r="B141" s="1" t="s">
        <v>287</v>
      </c>
    </row>
    <row r="142" spans="2:6" x14ac:dyDescent="0.2">
      <c r="B142" s="1" t="s">
        <v>288</v>
      </c>
      <c r="E142" s="1">
        <f>+C126*C127</f>
        <v>1890</v>
      </c>
    </row>
    <row r="143" spans="2:6" x14ac:dyDescent="0.2">
      <c r="B143" s="1" t="s">
        <v>137</v>
      </c>
      <c r="E143" s="1">
        <f>+C129</f>
        <v>27</v>
      </c>
    </row>
    <row r="144" spans="2:6" x14ac:dyDescent="0.2">
      <c r="C144" s="1" t="s">
        <v>117</v>
      </c>
      <c r="F144" s="1">
        <f>SUM(E142:E143)</f>
        <v>1917</v>
      </c>
    </row>
    <row r="145" spans="1:6" x14ac:dyDescent="0.2">
      <c r="B145" s="1" t="s">
        <v>289</v>
      </c>
    </row>
    <row r="147" spans="1:6" x14ac:dyDescent="0.2">
      <c r="B147" s="1" t="s">
        <v>290</v>
      </c>
    </row>
    <row r="148" spans="1:6" x14ac:dyDescent="0.2">
      <c r="B148" s="1" t="s">
        <v>288</v>
      </c>
      <c r="E148" s="1">
        <f>+C134-E142</f>
        <v>360</v>
      </c>
    </row>
    <row r="149" spans="1:6" x14ac:dyDescent="0.2">
      <c r="C149" s="1" t="s">
        <v>291</v>
      </c>
      <c r="F149" s="1">
        <f>+E148</f>
        <v>360</v>
      </c>
    </row>
    <row r="151" spans="1:6" x14ac:dyDescent="0.2">
      <c r="B151" s="1" t="s">
        <v>292</v>
      </c>
    </row>
    <row r="152" spans="1:6" x14ac:dyDescent="0.2">
      <c r="B152" s="1" t="s">
        <v>330</v>
      </c>
      <c r="E152" s="1">
        <f>+C135</f>
        <v>23</v>
      </c>
    </row>
    <row r="153" spans="1:6" x14ac:dyDescent="0.2">
      <c r="A153" s="1">
        <v>1</v>
      </c>
      <c r="C153" s="1" t="s">
        <v>293</v>
      </c>
      <c r="F153" s="1">
        <f>+E142+E148</f>
        <v>2250</v>
      </c>
    </row>
    <row r="154" spans="1:6" x14ac:dyDescent="0.2">
      <c r="B154" s="1" t="s">
        <v>329</v>
      </c>
      <c r="E154" s="1">
        <f>+F153-E152</f>
        <v>2227</v>
      </c>
    </row>
    <row r="155" spans="1:6" x14ac:dyDescent="0.2">
      <c r="B155" s="1" t="s">
        <v>294</v>
      </c>
    </row>
    <row r="157" spans="1:6" x14ac:dyDescent="0.2">
      <c r="B157" s="1" t="s">
        <v>278</v>
      </c>
    </row>
    <row r="158" spans="1:6" x14ac:dyDescent="0.2">
      <c r="B158" s="1" t="s">
        <v>51</v>
      </c>
      <c r="C158" s="3">
        <v>44926</v>
      </c>
      <c r="D158" s="1">
        <v>3.9</v>
      </c>
    </row>
    <row r="159" spans="1:6" x14ac:dyDescent="0.2">
      <c r="A159" s="1">
        <v>1</v>
      </c>
      <c r="B159" s="1" t="s">
        <v>51</v>
      </c>
      <c r="C159" s="3">
        <v>45291</v>
      </c>
      <c r="D159" s="1">
        <v>0.1</v>
      </c>
    </row>
    <row r="160" spans="1:6" x14ac:dyDescent="0.2">
      <c r="D160" s="1">
        <f>+D159-D158</f>
        <v>-3.8</v>
      </c>
    </row>
    <row r="161" spans="1:6" x14ac:dyDescent="0.2">
      <c r="D161" s="1">
        <f>+D160*D126</f>
        <v>-1140</v>
      </c>
    </row>
    <row r="163" spans="1:6" x14ac:dyDescent="0.2">
      <c r="B163" s="1" t="s">
        <v>295</v>
      </c>
      <c r="E163" s="1">
        <f>-D161</f>
        <v>1140</v>
      </c>
    </row>
    <row r="164" spans="1:6" x14ac:dyDescent="0.2">
      <c r="A164" s="1">
        <v>0.5</v>
      </c>
      <c r="C164" s="1" t="s">
        <v>296</v>
      </c>
      <c r="F164" s="1">
        <f>+E163</f>
        <v>1140</v>
      </c>
    </row>
    <row r="165" spans="1:6" x14ac:dyDescent="0.2">
      <c r="B165" s="1" t="s">
        <v>297</v>
      </c>
    </row>
    <row r="170" spans="1:6" x14ac:dyDescent="0.2">
      <c r="B170" s="1" t="s">
        <v>298</v>
      </c>
    </row>
    <row r="171" spans="1:6" x14ac:dyDescent="0.2">
      <c r="B171" s="1" t="s">
        <v>127</v>
      </c>
      <c r="C171" s="1">
        <v>3000</v>
      </c>
    </row>
    <row r="172" spans="1:6" x14ac:dyDescent="0.2">
      <c r="B172" s="1" t="s">
        <v>128</v>
      </c>
      <c r="C172" s="34">
        <v>1</v>
      </c>
    </row>
    <row r="173" spans="1:6" x14ac:dyDescent="0.2">
      <c r="B173" s="1" t="s">
        <v>174</v>
      </c>
      <c r="C173" s="6">
        <v>0.08</v>
      </c>
    </row>
    <row r="174" spans="1:6" x14ac:dyDescent="0.2">
      <c r="B174" s="1" t="s">
        <v>175</v>
      </c>
      <c r="C174" s="3">
        <v>43831</v>
      </c>
    </row>
    <row r="175" spans="1:6" x14ac:dyDescent="0.2">
      <c r="B175" s="1" t="s">
        <v>211</v>
      </c>
      <c r="C175" s="6">
        <v>0.2</v>
      </c>
    </row>
    <row r="176" spans="1:6" x14ac:dyDescent="0.2">
      <c r="B176" s="1" t="s">
        <v>239</v>
      </c>
      <c r="C176" s="6">
        <v>0.04</v>
      </c>
      <c r="D176" s="1" t="s">
        <v>299</v>
      </c>
    </row>
    <row r="177" spans="2:8" x14ac:dyDescent="0.2">
      <c r="B177" s="1" t="s">
        <v>242</v>
      </c>
      <c r="C177" s="17">
        <v>6.8000000000000005E-2</v>
      </c>
      <c r="D177" s="1" t="s">
        <v>300</v>
      </c>
    </row>
    <row r="178" spans="2:8" x14ac:dyDescent="0.2">
      <c r="B178" s="1" t="s">
        <v>301</v>
      </c>
      <c r="C178" s="5">
        <v>210</v>
      </c>
      <c r="D178" s="3">
        <v>44926</v>
      </c>
    </row>
    <row r="179" spans="2:8" x14ac:dyDescent="0.2">
      <c r="B179" s="1" t="s">
        <v>73</v>
      </c>
      <c r="C179" s="5">
        <v>2707.4679999999998</v>
      </c>
      <c r="D179" s="3">
        <v>44926</v>
      </c>
    </row>
    <row r="180" spans="2:8" x14ac:dyDescent="0.2">
      <c r="B180" s="1" t="s">
        <v>302</v>
      </c>
      <c r="C180" s="6">
        <v>0.9</v>
      </c>
    </row>
    <row r="181" spans="2:8" x14ac:dyDescent="0.2">
      <c r="B181" s="1" t="s">
        <v>303</v>
      </c>
      <c r="C181" s="6">
        <v>1</v>
      </c>
    </row>
    <row r="184" spans="2:8" x14ac:dyDescent="0.2">
      <c r="B184" s="1" t="s">
        <v>304</v>
      </c>
      <c r="C184" s="1">
        <f>+C171*(1-C175)</f>
        <v>2400</v>
      </c>
    </row>
    <row r="185" spans="2:8" x14ac:dyDescent="0.2">
      <c r="B185" s="1" t="s">
        <v>305</v>
      </c>
      <c r="C185" s="1">
        <v>3</v>
      </c>
    </row>
    <row r="187" spans="2:8" x14ac:dyDescent="0.2">
      <c r="B187" s="1" t="s">
        <v>306</v>
      </c>
    </row>
    <row r="188" spans="2:8" x14ac:dyDescent="0.2">
      <c r="B188" s="1" t="s">
        <v>307</v>
      </c>
    </row>
    <row r="190" spans="2:8" x14ac:dyDescent="0.2">
      <c r="B190" s="1" t="s">
        <v>309</v>
      </c>
      <c r="D190" s="1" t="s">
        <v>308</v>
      </c>
      <c r="E190" s="1" t="s">
        <v>310</v>
      </c>
      <c r="F190" s="1" t="s">
        <v>311</v>
      </c>
      <c r="G190" s="1" t="s">
        <v>312</v>
      </c>
      <c r="H190" s="1" t="s">
        <v>313</v>
      </c>
    </row>
    <row r="191" spans="2:8" x14ac:dyDescent="0.2">
      <c r="B191" s="1">
        <v>0.5</v>
      </c>
      <c r="C191" s="3">
        <v>44377</v>
      </c>
      <c r="E191" s="35">
        <f t="shared" ref="E191:E193" si="8">+(1+$C$177)^B191</f>
        <v>1.0334408546211051</v>
      </c>
      <c r="F191" s="5">
        <f t="shared" ref="F191:F192" si="9">+D191/E191</f>
        <v>0</v>
      </c>
    </row>
    <row r="192" spans="2:8" x14ac:dyDescent="0.2">
      <c r="B192" s="1">
        <v>1</v>
      </c>
      <c r="C192" s="3">
        <v>44561</v>
      </c>
      <c r="E192" s="35">
        <f t="shared" si="8"/>
        <v>1.0680000000000001</v>
      </c>
      <c r="F192" s="5">
        <f t="shared" si="9"/>
        <v>0</v>
      </c>
    </row>
    <row r="193" spans="1:8" x14ac:dyDescent="0.2">
      <c r="B193" s="1">
        <v>1.5</v>
      </c>
      <c r="C193" s="3">
        <v>44742</v>
      </c>
      <c r="E193" s="35">
        <f t="shared" si="8"/>
        <v>1.1037148327353403</v>
      </c>
      <c r="F193" s="5">
        <f>+D193/E193</f>
        <v>0</v>
      </c>
    </row>
    <row r="194" spans="1:8" x14ac:dyDescent="0.2">
      <c r="B194" s="1">
        <v>2</v>
      </c>
      <c r="C194" s="3">
        <v>44926</v>
      </c>
      <c r="E194" s="35">
        <f>+(1+$C$177)^B194</f>
        <v>1.1406240000000001</v>
      </c>
      <c r="F194" s="5">
        <f>+D194/E194</f>
        <v>0</v>
      </c>
    </row>
    <row r="195" spans="1:8" x14ac:dyDescent="0.2">
      <c r="B195" s="1">
        <v>0</v>
      </c>
      <c r="C195" s="3">
        <v>45107</v>
      </c>
      <c r="E195" s="35">
        <f>+(1+$C$177)^B195</f>
        <v>1</v>
      </c>
      <c r="F195" s="5">
        <f t="shared" ref="F195:F197" si="10">+D195/E195</f>
        <v>0</v>
      </c>
    </row>
    <row r="196" spans="1:8" x14ac:dyDescent="0.2">
      <c r="B196" s="1">
        <v>0.5</v>
      </c>
      <c r="C196" s="3">
        <v>45291</v>
      </c>
      <c r="D196" s="5">
        <v>0</v>
      </c>
      <c r="E196" s="35">
        <f>+(1+$C$177)^B196</f>
        <v>1.0334408546211051</v>
      </c>
      <c r="F196" s="5">
        <f>+D196/E196</f>
        <v>0</v>
      </c>
      <c r="H196" s="1">
        <f>+F196*G196</f>
        <v>0</v>
      </c>
    </row>
    <row r="197" spans="1:8" x14ac:dyDescent="0.2">
      <c r="B197" s="1">
        <v>1</v>
      </c>
      <c r="C197" s="3">
        <v>45473</v>
      </c>
      <c r="D197" s="1">
        <f>+C171*C173*6/12</f>
        <v>120</v>
      </c>
      <c r="E197" s="35">
        <f>+(1+$C$177)^B197</f>
        <v>1.0680000000000001</v>
      </c>
      <c r="F197" s="5">
        <f t="shared" si="10"/>
        <v>112.35955056179775</v>
      </c>
      <c r="H197" s="1">
        <f t="shared" ref="H196:H199" si="11">+F197*G197</f>
        <v>0</v>
      </c>
    </row>
    <row r="198" spans="1:8" x14ac:dyDescent="0.2">
      <c r="B198" s="1">
        <v>2</v>
      </c>
      <c r="C198" s="3">
        <v>45657</v>
      </c>
      <c r="D198" s="1">
        <f>+C171*C173*6/12</f>
        <v>120</v>
      </c>
      <c r="E198" s="35">
        <f>+(1+$C$177)^B198</f>
        <v>1.1406240000000001</v>
      </c>
      <c r="F198" s="5">
        <f>+D198/E198</f>
        <v>105.20557168707654</v>
      </c>
      <c r="H198" s="1">
        <f t="shared" si="11"/>
        <v>0</v>
      </c>
    </row>
    <row r="199" spans="1:8" x14ac:dyDescent="0.2">
      <c r="B199" s="1">
        <v>2</v>
      </c>
      <c r="C199" s="3">
        <v>45657</v>
      </c>
      <c r="D199" s="1">
        <f>+C171*2/3</f>
        <v>2000</v>
      </c>
      <c r="E199" s="35">
        <f>+(1+$C$177)^B199</f>
        <v>1.1406240000000001</v>
      </c>
      <c r="F199" s="5">
        <f>+D199/E199</f>
        <v>1753.4261947846089</v>
      </c>
      <c r="H199" s="1">
        <f t="shared" si="11"/>
        <v>0</v>
      </c>
    </row>
    <row r="200" spans="1:8" x14ac:dyDescent="0.2">
      <c r="F200" s="5">
        <f>SUM(F191:F199)</f>
        <v>1970.9913170334833</v>
      </c>
      <c r="G200" s="1">
        <v>0.9</v>
      </c>
      <c r="H200" s="1">
        <f>+F200*G200</f>
        <v>1773.8921853301349</v>
      </c>
    </row>
    <row r="201" spans="1:8" x14ac:dyDescent="0.2">
      <c r="B201" s="1" t="s">
        <v>314</v>
      </c>
      <c r="D201" s="5">
        <f>+C178</f>
        <v>210</v>
      </c>
    </row>
    <row r="202" spans="1:8" x14ac:dyDescent="0.2">
      <c r="B202" s="1" t="s">
        <v>315</v>
      </c>
      <c r="D202" s="5">
        <f>+H200</f>
        <v>1773.8921853301349</v>
      </c>
    </row>
    <row r="203" spans="1:8" x14ac:dyDescent="0.2">
      <c r="D203" s="5">
        <f>+D201-D202</f>
        <v>-1563.8921853301349</v>
      </c>
    </row>
    <row r="204" spans="1:8" x14ac:dyDescent="0.2">
      <c r="D204" s="5"/>
      <c r="E204" s="5"/>
      <c r="F204" s="5"/>
    </row>
    <row r="205" spans="1:8" x14ac:dyDescent="0.2">
      <c r="B205" s="1" t="s">
        <v>317</v>
      </c>
      <c r="D205" s="5"/>
      <c r="E205" s="5">
        <f>-D203</f>
        <v>1563.8921853301349</v>
      </c>
      <c r="F205" s="5"/>
    </row>
    <row r="206" spans="1:8" x14ac:dyDescent="0.2">
      <c r="A206" s="1">
        <v>0.5</v>
      </c>
      <c r="C206" s="1" t="s">
        <v>318</v>
      </c>
      <c r="D206" s="5"/>
      <c r="E206" s="5"/>
      <c r="F206" s="5">
        <f>+E205</f>
        <v>1563.8921853301349</v>
      </c>
    </row>
    <row r="207" spans="1:8" x14ac:dyDescent="0.2">
      <c r="E207" s="5"/>
      <c r="F207" s="5"/>
    </row>
    <row r="208" spans="1:8" x14ac:dyDescent="0.2">
      <c r="A208" s="1">
        <v>1</v>
      </c>
      <c r="B208" s="1" t="s">
        <v>316</v>
      </c>
      <c r="E208" s="5"/>
      <c r="F208" s="5"/>
    </row>
    <row r="209" spans="2:6" x14ac:dyDescent="0.2">
      <c r="B209" s="1" t="s">
        <v>255</v>
      </c>
      <c r="E209" s="5">
        <f>(C171+D203)*C177</f>
        <v>97.655331397550839</v>
      </c>
      <c r="F209" s="5"/>
    </row>
    <row r="210" spans="2:6" x14ac:dyDescent="0.2">
      <c r="C210" s="1" t="s">
        <v>319</v>
      </c>
      <c r="E210" s="5"/>
      <c r="F210" s="5">
        <f>+E209</f>
        <v>97.655331397550839</v>
      </c>
    </row>
    <row r="212" spans="2:6" x14ac:dyDescent="0.2">
      <c r="B212" s="1" t="s">
        <v>320</v>
      </c>
    </row>
  </sheetData>
  <hyperlinks>
    <hyperlink ref="A1" location="Main!A1" display="Main" xr:uid="{0A8E4467-49D4-496A-A2C5-B09E04BA40E6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Module 14</vt:lpstr>
      <vt:lpstr>WSE14.1</vt:lpstr>
      <vt:lpstr>WSE14.2</vt:lpstr>
      <vt:lpstr>WSE14.3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cp:lastPrinted>2023-05-13T11:09:52Z</cp:lastPrinted>
  <dcterms:created xsi:type="dcterms:W3CDTF">2023-05-10T12:32:51Z</dcterms:created>
  <dcterms:modified xsi:type="dcterms:W3CDTF">2023-05-13T12:42:51Z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2023-05-10T12:32:52Z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3d45fb8c-c3ac-413b-abb8-cde1ddee5822</vt:lpwstr>
  </property>
  <property fmtid="{D5CDD505-2E9C-101B-9397-08002B2CF9AE}" pid="8" name="MSIP_Label_ea60d57e-af5b-4752-ac57-3e4f28ca11dc_ContentBits">
    <vt:lpwstr>0</vt:lpwstr>
  </property>
</Properties>
</file>