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159" documentId="8_{A7061520-38C6-4548-A697-98A98EC967F4}" xr6:coauthVersionLast="47" xr6:coauthVersionMax="47" xr10:uidLastSave="{D09E97AB-F77A-4120-880E-EBCC3C056867}"/>
  <bookViews>
    <workbookView xWindow="6855" yWindow="6705" windowWidth="21600" windowHeight="11385" firstSheet="3" activeTab="7" xr2:uid="{5DE79D18-A7DC-45EE-96BD-1AC3843D2D9E}"/>
  </bookViews>
  <sheets>
    <sheet name="Main" sheetId="1" r:id="rId1"/>
    <sheet name="Module 18" sheetId="2" r:id="rId2"/>
    <sheet name="WSE18.1" sheetId="3" r:id="rId3"/>
    <sheet name="WSE18.2" sheetId="4" r:id="rId4"/>
    <sheet name="WSE18.3" sheetId="5" r:id="rId5"/>
    <sheet name="WSE18.4" sheetId="6" r:id="rId6"/>
    <sheet name="WSE18.6" sheetId="7" r:id="rId7"/>
    <sheet name="WSE18.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7" l="1"/>
  <c r="D78" i="7"/>
  <c r="D77" i="7"/>
  <c r="D74" i="7"/>
  <c r="D72" i="7"/>
  <c r="C72" i="7"/>
  <c r="C68" i="7"/>
  <c r="D68" i="7"/>
  <c r="D67" i="7"/>
  <c r="D66" i="7"/>
  <c r="C66" i="7"/>
  <c r="C65" i="7"/>
  <c r="F59" i="7"/>
  <c r="F58" i="7"/>
  <c r="E43" i="7"/>
  <c r="E36" i="7"/>
  <c r="F42" i="6"/>
  <c r="F43" i="7"/>
  <c r="G42" i="6"/>
  <c r="F43" i="6" l="1"/>
  <c r="G43" i="6"/>
  <c r="F44" i="6"/>
  <c r="G44" i="6"/>
  <c r="G45" i="6"/>
  <c r="G46" i="6"/>
  <c r="G47" i="6"/>
  <c r="E42" i="7"/>
  <c r="F54" i="7" s="1"/>
  <c r="E38" i="7"/>
  <c r="E37" i="7"/>
  <c r="E44" i="7"/>
  <c r="E35" i="7"/>
  <c r="E52" i="7" s="1"/>
  <c r="D8" i="7"/>
  <c r="C8" i="7"/>
  <c r="E32" i="6"/>
  <c r="E37" i="6"/>
  <c r="E36" i="6"/>
  <c r="E35" i="6"/>
  <c r="E31" i="6"/>
  <c r="E30" i="6"/>
  <c r="C7" i="6"/>
  <c r="C6" i="6"/>
  <c r="D6" i="6"/>
  <c r="E72" i="5"/>
  <c r="E70" i="5"/>
  <c r="E67" i="5"/>
  <c r="D67" i="5"/>
  <c r="E61" i="5"/>
  <c r="D61" i="5"/>
  <c r="E50" i="5"/>
  <c r="F56" i="5" s="1"/>
  <c r="E65" i="5" s="1"/>
  <c r="E44" i="5"/>
  <c r="E64" i="5" s="1"/>
  <c r="D42" i="5"/>
  <c r="E45" i="5" s="1"/>
  <c r="D30" i="5"/>
  <c r="D29" i="5"/>
  <c r="E23" i="5"/>
  <c r="F24" i="5" s="1"/>
  <c r="F46" i="5"/>
  <c r="D64" i="5" s="1"/>
  <c r="F38" i="7"/>
  <c r="F36" i="7"/>
  <c r="G61" i="7"/>
  <c r="F44" i="7"/>
  <c r="G59" i="7"/>
  <c r="G58" i="7"/>
  <c r="F35" i="7"/>
  <c r="G60" i="7"/>
  <c r="F42" i="7"/>
  <c r="F37" i="7"/>
  <c r="F36" i="6"/>
  <c r="F30" i="6"/>
  <c r="F50" i="5"/>
  <c r="F37" i="6"/>
  <c r="F32" i="6"/>
  <c r="F35" i="6"/>
  <c r="F51" i="5"/>
  <c r="E11" i="4"/>
  <c r="F31" i="6"/>
  <c r="C11" i="7" l="1"/>
  <c r="C10" i="7"/>
  <c r="D11" i="7"/>
  <c r="D10" i="7"/>
  <c r="E45" i="7"/>
  <c r="E39" i="7"/>
  <c r="C69" i="7" s="1"/>
  <c r="C70" i="7" s="1"/>
  <c r="E38" i="6"/>
  <c r="E33" i="6"/>
  <c r="F45" i="6" s="1"/>
  <c r="C8" i="6"/>
  <c r="D7" i="6"/>
  <c r="E6" i="6"/>
  <c r="D62" i="5"/>
  <c r="E51" i="5"/>
  <c r="E55" i="5" s="1"/>
  <c r="D65" i="5" s="1"/>
  <c r="D31" i="5"/>
  <c r="E33" i="5" s="1"/>
  <c r="D7" i="4"/>
  <c r="D8" i="4" s="1"/>
  <c r="C7" i="4"/>
  <c r="C8" i="4" s="1"/>
  <c r="E8" i="4" s="1"/>
  <c r="D6" i="4"/>
  <c r="D11" i="4" s="1"/>
  <c r="C6" i="4"/>
  <c r="E6" i="4" s="1"/>
  <c r="D4" i="4"/>
  <c r="C4" i="4"/>
  <c r="E39" i="3"/>
  <c r="E40" i="3"/>
  <c r="E6" i="3"/>
  <c r="E7" i="3"/>
  <c r="E5" i="3"/>
  <c r="E33" i="3"/>
  <c r="E32" i="3"/>
  <c r="E24" i="3"/>
  <c r="F25" i="3" s="1"/>
  <c r="C20" i="3"/>
  <c r="F12" i="3"/>
  <c r="E11" i="3"/>
  <c r="E10" i="3"/>
  <c r="D8" i="3"/>
  <c r="D243" i="2"/>
  <c r="E248" i="2"/>
  <c r="D248" i="2"/>
  <c r="E247" i="2"/>
  <c r="D247" i="2"/>
  <c r="E246" i="2"/>
  <c r="E245" i="2"/>
  <c r="D244" i="2"/>
  <c r="E244" i="2"/>
  <c r="E243" i="2"/>
  <c r="E250" i="2"/>
  <c r="D250" i="2"/>
  <c r="E249" i="2"/>
  <c r="D249" i="2"/>
  <c r="D251" i="2" s="1"/>
  <c r="E255" i="2" s="1"/>
  <c r="E242" i="2"/>
  <c r="D242" i="2"/>
  <c r="F236" i="2"/>
  <c r="E234" i="2"/>
  <c r="D232" i="2"/>
  <c r="F235" i="2" s="1"/>
  <c r="F229" i="2"/>
  <c r="E228" i="2"/>
  <c r="E224" i="2"/>
  <c r="F225" i="2" s="1"/>
  <c r="D170" i="2"/>
  <c r="C170" i="2"/>
  <c r="D164" i="2"/>
  <c r="C164" i="2"/>
  <c r="D150" i="2"/>
  <c r="D151" i="2" s="1"/>
  <c r="F157" i="2" s="1"/>
  <c r="D168" i="2" s="1"/>
  <c r="C148" i="2"/>
  <c r="C150" i="2" s="1"/>
  <c r="C151" i="2" s="1"/>
  <c r="E155" i="2" s="1"/>
  <c r="C168" i="2" s="1"/>
  <c r="D135" i="2"/>
  <c r="D134" i="2"/>
  <c r="E129" i="2"/>
  <c r="F130" i="2" s="1"/>
  <c r="E124" i="2"/>
  <c r="F125" i="2" s="1"/>
  <c r="D113" i="2"/>
  <c r="C113" i="2"/>
  <c r="E70" i="2"/>
  <c r="E68" i="2"/>
  <c r="E67" i="2"/>
  <c r="E66" i="2"/>
  <c r="E65" i="2"/>
  <c r="E64" i="2"/>
  <c r="E63" i="2"/>
  <c r="E62" i="2"/>
  <c r="D69" i="2"/>
  <c r="D71" i="2" s="1"/>
  <c r="C69" i="2"/>
  <c r="C71" i="2" s="1"/>
  <c r="E47" i="7" l="1"/>
  <c r="D69" i="7"/>
  <c r="D70" i="7" s="1"/>
  <c r="D12" i="7"/>
  <c r="D19" i="7" s="1"/>
  <c r="E20" i="7" s="1"/>
  <c r="E10" i="7"/>
  <c r="E11" i="7"/>
  <c r="E14" i="7" s="1"/>
  <c r="F46" i="6"/>
  <c r="F47" i="6" s="1"/>
  <c r="E48" i="7"/>
  <c r="D8" i="6"/>
  <c r="E8" i="6" s="1"/>
  <c r="E7" i="6"/>
  <c r="E52" i="5"/>
  <c r="E54" i="5" s="1"/>
  <c r="F34" i="5"/>
  <c r="E7" i="4"/>
  <c r="E34" i="3"/>
  <c r="E251" i="2"/>
  <c r="F256" i="2" s="1"/>
  <c r="C165" i="2"/>
  <c r="C169" i="2" s="1"/>
  <c r="C171" i="2" s="1"/>
  <c r="D153" i="2"/>
  <c r="F156" i="2" s="1"/>
  <c r="D136" i="2"/>
  <c r="E69" i="2"/>
  <c r="E71" i="2" s="1"/>
  <c r="E49" i="7" l="1"/>
  <c r="E53" i="7" s="1"/>
  <c r="F60" i="7" s="1"/>
  <c r="E12" i="7"/>
  <c r="F61" i="7"/>
  <c r="E63" i="5"/>
  <c r="E66" i="5" s="1"/>
  <c r="E68" i="5" s="1"/>
  <c r="E35" i="3"/>
  <c r="E41" i="3" s="1"/>
  <c r="E42" i="3" s="1"/>
  <c r="E36" i="3"/>
  <c r="E253" i="2"/>
  <c r="F257" i="2" s="1"/>
  <c r="F139" i="2"/>
  <c r="D167" i="2" s="1"/>
  <c r="D169" i="2" s="1"/>
  <c r="E138" i="2"/>
  <c r="E177" i="2"/>
  <c r="D66" i="5" l="1"/>
  <c r="D68" i="5" s="1"/>
  <c r="F73" i="5" s="1"/>
  <c r="D171" i="2"/>
  <c r="D175" i="2" s="1"/>
  <c r="F179" i="2"/>
  <c r="F178" i="2" l="1"/>
</calcChain>
</file>

<file path=xl/sharedStrings.xml><?xml version="1.0" encoding="utf-8"?>
<sst xmlns="http://schemas.openxmlformats.org/spreadsheetml/2006/main" count="317" uniqueCount="210">
  <si>
    <t>Main</t>
  </si>
  <si>
    <t>Module 18 - Employee Benefits</t>
  </si>
  <si>
    <t>Module 18</t>
  </si>
  <si>
    <t>DC and DB pension schemes</t>
  </si>
  <si>
    <t>Short term EE benefit - settled entirely within 12m of the end of the annual reporting period in which the EE renders service</t>
  </si>
  <si>
    <t>wages, salary, NIC, paid leave, Profit sharig and bonues, non-monetary benefits</t>
  </si>
  <si>
    <t>Post employment benefits</t>
  </si>
  <si>
    <t>pension are most common form of post employment benefit</t>
  </si>
  <si>
    <t>salary - paid to EE</t>
  </si>
  <si>
    <t>PAYE and NIC - paid to HMRC</t>
  </si>
  <si>
    <t>EE contrib and ER pension cost goes straight to pension plan</t>
  </si>
  <si>
    <t>depends what type of pension plan is operated by the company</t>
  </si>
  <si>
    <t>defined contribution</t>
  </si>
  <si>
    <t>defined benefit</t>
  </si>
  <si>
    <t>staff cost can be capitalised into an asset - development of IA for example</t>
  </si>
  <si>
    <t>in this case, then pension contribution is capitalised also</t>
  </si>
  <si>
    <t>DB</t>
  </si>
  <si>
    <t>actuary advises on contribution amounts</t>
  </si>
  <si>
    <t>if there are insufficient funds, contributions will be increased.  If there is a surplus of funds, they will be decreased</t>
  </si>
  <si>
    <t>the obligatoin to ensure the plan has sufficient funds (and the risk that it does not) lie with the employer</t>
  </si>
  <si>
    <t>Overveiw fo accounting treatment</t>
  </si>
  <si>
    <t>DB pension recognised as net asset or net liability</t>
  </si>
  <si>
    <t>not appropriate to recognise contributions as an expense as they may vary significantly from year to year</t>
  </si>
  <si>
    <t>surplus or deficit is computed by the FV of pension assets less PV of future pension obligations</t>
  </si>
  <si>
    <t>assets large than PV of future obligations then there is a pension surplus, if obligation larger than assets, pension deficit</t>
  </si>
  <si>
    <t>actuary produces estimate at each reporting date</t>
  </si>
  <si>
    <t>the pension assets are measured at FV  -market price or best estimate</t>
  </si>
  <si>
    <t>the pension obligation is computed by an actuary.</t>
  </si>
  <si>
    <t>pension liablity will be given in questions.  Do not have to do actuarial computations</t>
  </si>
  <si>
    <t>Step 1:  actuary advises net pension or surplus</t>
  </si>
  <si>
    <t>Step 2:  Accountatn recognises the change in surplus or deficit</t>
  </si>
  <si>
    <t>Asset</t>
  </si>
  <si>
    <t>obligation</t>
  </si>
  <si>
    <t>net deficit</t>
  </si>
  <si>
    <t>Asset - liab</t>
  </si>
  <si>
    <t>Closing balance</t>
  </si>
  <si>
    <t>remeasurement</t>
  </si>
  <si>
    <t>Finance income/cost</t>
  </si>
  <si>
    <t>settlement</t>
  </si>
  <si>
    <t>past service cost</t>
  </si>
  <si>
    <t>current service cost</t>
  </si>
  <si>
    <t>Benefit payments</t>
  </si>
  <si>
    <t>Contributions</t>
  </si>
  <si>
    <t>Opening balance</t>
  </si>
  <si>
    <t>Activity 2</t>
  </si>
  <si>
    <t>Activity 1</t>
  </si>
  <si>
    <t>Net pension asset</t>
  </si>
  <si>
    <t>Obligation (actuarial value)</t>
  </si>
  <si>
    <t>Assets (market value)</t>
  </si>
  <si>
    <t>DR</t>
  </si>
  <si>
    <t>service cost</t>
  </si>
  <si>
    <t>pensionable salaries</t>
  </si>
  <si>
    <t>Contributions paid</t>
  </si>
  <si>
    <t>Payments</t>
  </si>
  <si>
    <t>Step 1:  Contributions</t>
  </si>
  <si>
    <t>dr - SFP pension asset</t>
  </si>
  <si>
    <t>cr - bank</t>
  </si>
  <si>
    <t>being contributions paid on 01/01/2023</t>
  </si>
  <si>
    <t>Step 2: Benfits payment to pensioners</t>
  </si>
  <si>
    <t>dr  - pension liability</t>
  </si>
  <si>
    <t>cr - pension asset</t>
  </si>
  <si>
    <t>being benefit payments to pensions throughout the year</t>
  </si>
  <si>
    <t>Step 3:  Service cost</t>
  </si>
  <si>
    <t>cr - pension obligatoin</t>
  </si>
  <si>
    <t>being current service cost</t>
  </si>
  <si>
    <t>Step 4:  Interest</t>
  </si>
  <si>
    <t>Interest is calculated on the balance brought forward, adjusted for contributions,
benefit payments, past service costs and settlements (but not current service costs).</t>
  </si>
  <si>
    <t>Contributions at the start of the year</t>
  </si>
  <si>
    <t>Benefit payments evenly throughout the years</t>
  </si>
  <si>
    <t>Adjusted balance</t>
  </si>
  <si>
    <t>Final icome on asset/costs on obligation (5.5%)</t>
  </si>
  <si>
    <t>net finance income</t>
  </si>
  <si>
    <t>cr - SPL finance income</t>
  </si>
  <si>
    <t>cr - Pensionl liability</t>
  </si>
  <si>
    <t>dr - pension asset</t>
  </si>
  <si>
    <t>being net finance income on pension balance</t>
  </si>
  <si>
    <t>Remeasurement</t>
  </si>
  <si>
    <t>FV</t>
  </si>
  <si>
    <t>PV of pension obligation</t>
  </si>
  <si>
    <t>Current service cost</t>
  </si>
  <si>
    <t>Interest</t>
  </si>
  <si>
    <t>Remeasurement gain and actuarial loss</t>
  </si>
  <si>
    <t>An increase to the fair value of pension assets is a remeasurement gain. An
increase to the present value of the pension obligation is an actuarial loss.</t>
  </si>
  <si>
    <t>Net gain</t>
  </si>
  <si>
    <t>cr - Pension obligaoitn</t>
  </si>
  <si>
    <t>being remeasurement gain on pension assets and actuarial loss on pension obligation</t>
  </si>
  <si>
    <t>dr - staff costs</t>
  </si>
  <si>
    <t>&lt;&lt;&lt;can't quite square this</t>
  </si>
  <si>
    <t>adj opening balance</t>
  </si>
  <si>
    <t>cr - RE</t>
  </si>
  <si>
    <t>Past service cost and settlements</t>
  </si>
  <si>
    <t>Past service cost</t>
  </si>
  <si>
    <t>cost estimated at</t>
  </si>
  <si>
    <t>additional conribution</t>
  </si>
  <si>
    <t>total obligation reduced</t>
  </si>
  <si>
    <t>transferred to the DC plan</t>
  </si>
  <si>
    <t>dr - SPL staff costs</t>
  </si>
  <si>
    <t>cr - Pension account (obligation)</t>
  </si>
  <si>
    <t>being past service cost</t>
  </si>
  <si>
    <t>dr - pension accounts (assets)</t>
  </si>
  <si>
    <t>being additional contribution paid on 31 December 2023</t>
  </si>
  <si>
    <t>Gain on settlement</t>
  </si>
  <si>
    <t>dr - Pension obligatioin</t>
  </si>
  <si>
    <t>being gain on settlement</t>
  </si>
  <si>
    <t>cr - Pension asset</t>
  </si>
  <si>
    <t>Requirement 2</t>
  </si>
  <si>
    <t>FV of pension assets</t>
  </si>
  <si>
    <t>benefit payments</t>
  </si>
  <si>
    <t>interest</t>
  </si>
  <si>
    <t>remesurement gain and actuarial losss</t>
  </si>
  <si>
    <t>net gian</t>
  </si>
  <si>
    <t>cr -  SPL staff cost</t>
  </si>
  <si>
    <t>cr - Pension obligation</t>
  </si>
  <si>
    <t>De Vries Ltd</t>
  </si>
  <si>
    <t>YE</t>
  </si>
  <si>
    <t>Wages and salaries</t>
  </si>
  <si>
    <t>NIC</t>
  </si>
  <si>
    <t>ER NIC</t>
  </si>
  <si>
    <t>EE NIC</t>
  </si>
  <si>
    <t>cr - accrued expense</t>
  </si>
  <si>
    <t xml:space="preserve">dr - HMRC </t>
  </si>
  <si>
    <t>being accrued staff cost for june</t>
  </si>
  <si>
    <t>Profit sharing scheme</t>
  </si>
  <si>
    <t>% of PBT</t>
  </si>
  <si>
    <t>PBT</t>
  </si>
  <si>
    <t>adj. % of PBT</t>
  </si>
  <si>
    <t>accrual at YE</t>
  </si>
  <si>
    <t>dr - staff cost</t>
  </si>
  <si>
    <t>cr - accrued expenses</t>
  </si>
  <si>
    <t>being profit share accrual at year end</t>
  </si>
  <si>
    <t>Total employment  cost</t>
  </si>
  <si>
    <t>Total employment cost</t>
  </si>
  <si>
    <t xml:space="preserve">EE NIC </t>
  </si>
  <si>
    <t>Profit sharing scheme including NIC</t>
  </si>
  <si>
    <t>Total liability</t>
  </si>
  <si>
    <t>3m</t>
  </si>
  <si>
    <t>EE</t>
  </si>
  <si>
    <t>ER</t>
  </si>
  <si>
    <t>pension liability is only one month as DC scheme</t>
  </si>
  <si>
    <t>accreud pension liab</t>
  </si>
  <si>
    <t>Webster Ltd</t>
  </si>
  <si>
    <t>DB pension scheme</t>
  </si>
  <si>
    <t>assets</t>
  </si>
  <si>
    <t>conributions paid</t>
  </si>
  <si>
    <t xml:space="preserve">benefits </t>
  </si>
  <si>
    <t>Dr</t>
  </si>
  <si>
    <t>payment to other firms plan</t>
  </si>
  <si>
    <t>obligation reduced</t>
  </si>
  <si>
    <t>cr - staff cost</t>
  </si>
  <si>
    <t>dr - RE</t>
  </si>
  <si>
    <t>being loss on settlement</t>
  </si>
  <si>
    <t>Finance cost</t>
  </si>
  <si>
    <t>finance cost on obligation</t>
  </si>
  <si>
    <t>finance income on assets</t>
  </si>
  <si>
    <t>net finance cost</t>
  </si>
  <si>
    <t>dr - SPL - finance costs</t>
  </si>
  <si>
    <t>dr - pension account (assets)</t>
  </si>
  <si>
    <t>cr - pension accounts (obligation)</t>
  </si>
  <si>
    <t>being interest on assets and oblligations</t>
  </si>
  <si>
    <t>Transfer</t>
  </si>
  <si>
    <t>net loss</t>
  </si>
  <si>
    <t>being remeasurement and actuarial loss</t>
  </si>
  <si>
    <t>Stamp Ltd</t>
  </si>
  <si>
    <t>pensionable salary</t>
  </si>
  <si>
    <t>Plan B</t>
  </si>
  <si>
    <t>pa</t>
  </si>
  <si>
    <t>benefits</t>
  </si>
  <si>
    <t>transfer payment</t>
  </si>
  <si>
    <t>reduction in obligatoin</t>
  </si>
  <si>
    <t>Step 4: interest</t>
  </si>
  <si>
    <t>Defined contribution expense</t>
  </si>
  <si>
    <t>less: interest not earned due to benefits paid</t>
  </si>
  <si>
    <t>Less: interest not earned due to transfer</t>
  </si>
  <si>
    <t>Finance income</t>
  </si>
  <si>
    <t>finance cost</t>
  </si>
  <si>
    <t>Less: interest not suffered due to benefits paid</t>
  </si>
  <si>
    <t>Less: interest not suffered due to transfer</t>
  </si>
  <si>
    <t>defined benefit pension expense</t>
  </si>
  <si>
    <t>current service cost from 1/7/23 - 31/12/23</t>
  </si>
  <si>
    <t>Loss on transfer</t>
  </si>
  <si>
    <t>Defined benefit pension expense</t>
  </si>
  <si>
    <t>Plan A</t>
  </si>
  <si>
    <t>Abacus Beads plc</t>
  </si>
  <si>
    <t>Defined contribution pension scheme</t>
  </si>
  <si>
    <t>Pensionable salaries</t>
  </si>
  <si>
    <t>11m</t>
  </si>
  <si>
    <t>1m</t>
  </si>
  <si>
    <t>cr - pension accrual</t>
  </si>
  <si>
    <t>being 1m accrued DC pension cost</t>
  </si>
  <si>
    <t>open</t>
  </si>
  <si>
    <t>close</t>
  </si>
  <si>
    <t>dr - net finance cost</t>
  </si>
  <si>
    <t xml:space="preserve">Add: interest earned due to contributions </t>
  </si>
  <si>
    <t xml:space="preserve">Less: interest not earned due to transfer </t>
  </si>
  <si>
    <t xml:space="preserve">Less: interest not earned fue to settlements </t>
  </si>
  <si>
    <t>Finance income on assets</t>
  </si>
  <si>
    <t>Net finance costs</t>
  </si>
  <si>
    <t>current service cost from 1/1/23 - 30/06/23</t>
  </si>
  <si>
    <t>ER - Defined contribution pesnion cost for the ER</t>
  </si>
  <si>
    <t>Defined benefit pension liability - 1 months</t>
  </si>
  <si>
    <t>current service cosT</t>
  </si>
  <si>
    <t>contributions</t>
  </si>
  <si>
    <t>Finance cost on obligatoin</t>
  </si>
  <si>
    <t>Service cose</t>
  </si>
  <si>
    <t>Intersest</t>
  </si>
  <si>
    <t>Remesaurement gain and actuarial los</t>
  </si>
  <si>
    <t>remesaurement of defined benefit pension plan</t>
  </si>
  <si>
    <t>gain</t>
  </si>
  <si>
    <t>net pension obligation</t>
  </si>
  <si>
    <t>net pension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</si>
</sst>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1" fillId="0" borderId="1" xfId="0" applyFont="1" applyBorder="1"/>
    <xf numFmtId="10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/>
    <xf numFmtId="0" fontId="1" fillId="2" borderId="0" xfId="0" applyFont="1" applyFill="1"/>
    <xf numFmtId="3" fontId="1" fillId="2" borderId="0" xfId="0" applyNumberFormat="1" applyFont="1" applyFill="1"/>
    <xf numFmtId="3" fontId="1" fillId="0" borderId="2" xfId="0" applyNumberFormat="1" applyFont="1" applyBorder="1"/>
    <xf numFmtId="0" fontId="1" fillId="0" borderId="0" xfId="0" applyFont="1" applyFill="1"/>
    <xf numFmtId="3" fontId="1" fillId="0" borderId="0" xfId="0" applyNumberFormat="1" applyFont="1" applyFill="1"/>
    <xf numFmtId="3" fontId="1" fillId="0" borderId="0" xfId="0" applyNumberFormat="1" applyFont="1" applyBorder="1"/>
    <xf numFmtId="3" fontId="1" fillId="2" borderId="1" xfId="0" applyNumberFormat="1" applyFont="1" applyFill="1" applyBorder="1"/>
    <xf numFmtId="3" fontId="1" fillId="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590085</xdr:colOff>
      <xdr:row>54</xdr:row>
      <xdr:rowOff>73862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A2E49C-34C8-EB41-AE68-1A019D84F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7686261"/>
          <a:ext cx="3677478" cy="52112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</xdr:rowOff>
    </xdr:from>
    <xdr:to>
      <xdr:col>6</xdr:col>
      <xdr:colOff>590085</xdr:colOff>
      <xdr:row>106</xdr:row>
      <xdr:rowOff>68685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2371C6-D709-C1CB-0FCB-D0D0FBB9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6" y="11151578"/>
          <a:ext cx="3648806" cy="5300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7</xdr:col>
      <xdr:colOff>5635</xdr:colOff>
      <xdr:row>212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B5E693-2D5D-D97B-E409-C740DFC41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913" y="28061479"/>
          <a:ext cx="3699679" cy="37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8'!A1" display="Module 18" xr:uid="{22FEAAA5-258D-406B-A6EF-76BE50A64445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258"/>
  <sheetViews>
    <sheetView topLeftCell="A66" zoomScale="175" zoomScaleNormal="175" workbookViewId="0">
      <selection activeCell="D104" sqref="D104"/>
    </sheetView>
  </sheetViews>
  <sheetFormatPr defaultRowHeight="12" x14ac:dyDescent="0.2"/>
  <cols>
    <col min="1" max="3" width="9.140625" style="1"/>
    <col min="4" max="4" width="9.42578125" style="1" bestFit="1" customWidth="1"/>
    <col min="5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5" spans="1:2" x14ac:dyDescent="0.2">
      <c r="B5" s="1" t="s">
        <v>3</v>
      </c>
    </row>
    <row r="7" spans="1:2" x14ac:dyDescent="0.2">
      <c r="B7" s="1" t="s">
        <v>4</v>
      </c>
    </row>
    <row r="9" spans="1:2" x14ac:dyDescent="0.2">
      <c r="B9" s="1" t="s">
        <v>5</v>
      </c>
    </row>
    <row r="12" spans="1:2" x14ac:dyDescent="0.2">
      <c r="B12" s="1" t="s">
        <v>6</v>
      </c>
    </row>
    <row r="13" spans="1:2" x14ac:dyDescent="0.2">
      <c r="B13" s="1" t="s">
        <v>7</v>
      </c>
    </row>
    <row r="15" spans="1:2" x14ac:dyDescent="0.2">
      <c r="B15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11</v>
      </c>
    </row>
    <row r="20" spans="2:2" x14ac:dyDescent="0.2">
      <c r="B20" s="1" t="s">
        <v>12</v>
      </c>
    </row>
    <row r="21" spans="2:2" x14ac:dyDescent="0.2">
      <c r="B21" s="1" t="s">
        <v>13</v>
      </c>
    </row>
    <row r="24" spans="2:2" x14ac:dyDescent="0.2">
      <c r="B24" s="1" t="s">
        <v>14</v>
      </c>
    </row>
    <row r="25" spans="2:2" x14ac:dyDescent="0.2">
      <c r="B25" s="1" t="s">
        <v>15</v>
      </c>
    </row>
    <row r="29" spans="2:2" x14ac:dyDescent="0.2">
      <c r="B29" s="1" t="s">
        <v>16</v>
      </c>
    </row>
    <row r="30" spans="2:2" x14ac:dyDescent="0.2">
      <c r="B30" s="1" t="s">
        <v>17</v>
      </c>
    </row>
    <row r="31" spans="2:2" x14ac:dyDescent="0.2">
      <c r="B31" s="1" t="s">
        <v>18</v>
      </c>
    </row>
    <row r="33" spans="2:2" x14ac:dyDescent="0.2">
      <c r="B33" s="1" t="s">
        <v>19</v>
      </c>
    </row>
    <row r="35" spans="2:2" x14ac:dyDescent="0.2">
      <c r="B35" s="1" t="s">
        <v>20</v>
      </c>
    </row>
    <row r="37" spans="2:2" x14ac:dyDescent="0.2">
      <c r="B37" s="1" t="s">
        <v>21</v>
      </c>
    </row>
    <row r="38" spans="2:2" x14ac:dyDescent="0.2">
      <c r="B38" s="1" t="s">
        <v>22</v>
      </c>
    </row>
    <row r="41" spans="2:2" x14ac:dyDescent="0.2">
      <c r="B41" s="1" t="s">
        <v>23</v>
      </c>
    </row>
    <row r="43" spans="2:2" x14ac:dyDescent="0.2">
      <c r="B43" s="1" t="s">
        <v>24</v>
      </c>
    </row>
    <row r="45" spans="2:2" x14ac:dyDescent="0.2">
      <c r="B45" s="1" t="s">
        <v>25</v>
      </c>
    </row>
    <row r="47" spans="2:2" x14ac:dyDescent="0.2">
      <c r="B47" s="1" t="s">
        <v>26</v>
      </c>
    </row>
    <row r="48" spans="2:2" x14ac:dyDescent="0.2">
      <c r="B48" s="1" t="s">
        <v>27</v>
      </c>
    </row>
    <row r="50" spans="2:6" x14ac:dyDescent="0.2">
      <c r="B50" s="1" t="s">
        <v>28</v>
      </c>
    </row>
    <row r="58" spans="2:6" x14ac:dyDescent="0.2">
      <c r="B58" s="1" t="s">
        <v>29</v>
      </c>
    </row>
    <row r="59" spans="2:6" x14ac:dyDescent="0.2">
      <c r="B59" s="1" t="s">
        <v>30</v>
      </c>
    </row>
    <row r="61" spans="2:6" x14ac:dyDescent="0.2">
      <c r="C61" s="1" t="s">
        <v>31</v>
      </c>
      <c r="D61" s="1" t="s">
        <v>32</v>
      </c>
      <c r="E61" s="1" t="s">
        <v>33</v>
      </c>
      <c r="F61" s="1" t="s">
        <v>34</v>
      </c>
    </row>
    <row r="62" spans="2:6" x14ac:dyDescent="0.2">
      <c r="B62" s="1" t="s">
        <v>43</v>
      </c>
      <c r="C62" s="3">
        <v>26517</v>
      </c>
      <c r="D62" s="3">
        <v>28129</v>
      </c>
      <c r="E62" s="3">
        <f t="shared" ref="E62:E68" si="0">+C62-D62</f>
        <v>-1612</v>
      </c>
    </row>
    <row r="63" spans="2:6" x14ac:dyDescent="0.2">
      <c r="B63" s="1" t="s">
        <v>42</v>
      </c>
      <c r="C63" s="3">
        <v>100</v>
      </c>
      <c r="D63" s="3">
        <v>0</v>
      </c>
      <c r="E63" s="3">
        <f t="shared" si="0"/>
        <v>100</v>
      </c>
    </row>
    <row r="64" spans="2:6" x14ac:dyDescent="0.2">
      <c r="B64" s="1" t="s">
        <v>41</v>
      </c>
      <c r="C64" s="3">
        <v>-126</v>
      </c>
      <c r="D64" s="3">
        <v>-126</v>
      </c>
      <c r="E64" s="3">
        <f t="shared" si="0"/>
        <v>0</v>
      </c>
    </row>
    <row r="65" spans="2:5" x14ac:dyDescent="0.2">
      <c r="B65" s="1" t="s">
        <v>40</v>
      </c>
      <c r="C65" s="3">
        <v>0</v>
      </c>
      <c r="D65" s="3">
        <v>109</v>
      </c>
      <c r="E65" s="3">
        <f t="shared" si="0"/>
        <v>-109</v>
      </c>
    </row>
    <row r="66" spans="2:5" x14ac:dyDescent="0.2">
      <c r="B66" s="1" t="s">
        <v>39</v>
      </c>
      <c r="C66" s="3">
        <v>0</v>
      </c>
      <c r="D66" s="3">
        <v>34</v>
      </c>
      <c r="E66" s="3">
        <f t="shared" si="0"/>
        <v>-34</v>
      </c>
    </row>
    <row r="67" spans="2:5" x14ac:dyDescent="0.2">
      <c r="B67" s="1" t="s">
        <v>38</v>
      </c>
      <c r="C67" s="3">
        <v>-540</v>
      </c>
      <c r="D67" s="3">
        <v>-670</v>
      </c>
      <c r="E67" s="3">
        <f t="shared" si="0"/>
        <v>130</v>
      </c>
    </row>
    <row r="68" spans="2:5" x14ac:dyDescent="0.2">
      <c r="B68" s="1" t="s">
        <v>37</v>
      </c>
      <c r="C68" s="3">
        <v>1060</v>
      </c>
      <c r="D68" s="3">
        <v>1120</v>
      </c>
      <c r="E68" s="3">
        <f t="shared" si="0"/>
        <v>-60</v>
      </c>
    </row>
    <row r="69" spans="2:5" x14ac:dyDescent="0.2">
      <c r="C69" s="3">
        <f>SUM(C62:C68)</f>
        <v>27011</v>
      </c>
      <c r="D69" s="3">
        <f>SUM(D62:D68)</f>
        <v>28596</v>
      </c>
      <c r="E69" s="3">
        <f>SUM(E62:E68)</f>
        <v>-1585</v>
      </c>
    </row>
    <row r="70" spans="2:5" x14ac:dyDescent="0.2">
      <c r="B70" s="1" t="s">
        <v>36</v>
      </c>
      <c r="C70" s="3">
        <v>-43</v>
      </c>
      <c r="D70" s="3">
        <v>-74</v>
      </c>
      <c r="E70" s="3">
        <f>+C70-D70</f>
        <v>31</v>
      </c>
    </row>
    <row r="71" spans="2:5" x14ac:dyDescent="0.2">
      <c r="B71" s="1" t="s">
        <v>35</v>
      </c>
      <c r="C71" s="3">
        <f>SUM(C69:C70)</f>
        <v>26968</v>
      </c>
      <c r="D71" s="3">
        <f>SUM(D69:D70)</f>
        <v>28522</v>
      </c>
      <c r="E71" s="3">
        <f>SUM(E69:E70)</f>
        <v>-1554</v>
      </c>
    </row>
    <row r="109" spans="2:4" x14ac:dyDescent="0.2">
      <c r="B109" s="1" t="s">
        <v>45</v>
      </c>
    </row>
    <row r="110" spans="2:4" x14ac:dyDescent="0.2">
      <c r="C110" s="1">
        <v>2023</v>
      </c>
      <c r="D110" s="1">
        <v>2022</v>
      </c>
    </row>
    <row r="111" spans="2:4" x14ac:dyDescent="0.2">
      <c r="B111" s="1" t="s">
        <v>48</v>
      </c>
      <c r="C111" s="1">
        <v>430</v>
      </c>
      <c r="D111" s="1">
        <v>300</v>
      </c>
    </row>
    <row r="112" spans="2:4" x14ac:dyDescent="0.2">
      <c r="B112" s="1" t="s">
        <v>47</v>
      </c>
      <c r="C112" s="1">
        <v>355</v>
      </c>
      <c r="D112" s="1">
        <v>250</v>
      </c>
    </row>
    <row r="113" spans="2:6" ht="12.75" thickBot="1" x14ac:dyDescent="0.25">
      <c r="B113" s="1" t="s">
        <v>46</v>
      </c>
      <c r="C113" s="4">
        <f>+C111-C112</f>
        <v>75</v>
      </c>
      <c r="D113" s="4">
        <f>+D111-D112</f>
        <v>50</v>
      </c>
    </row>
    <row r="114" spans="2:6" ht="12.75" thickTop="1" x14ac:dyDescent="0.2"/>
    <row r="115" spans="2:6" x14ac:dyDescent="0.2">
      <c r="B115" s="1" t="s">
        <v>49</v>
      </c>
      <c r="C115" s="5">
        <v>5.5E-2</v>
      </c>
    </row>
    <row r="116" spans="2:6" x14ac:dyDescent="0.2">
      <c r="B116" s="1" t="s">
        <v>50</v>
      </c>
      <c r="C116" s="6">
        <v>0.15</v>
      </c>
    </row>
    <row r="117" spans="2:6" x14ac:dyDescent="0.2">
      <c r="B117" s="1" t="s">
        <v>51</v>
      </c>
      <c r="C117" s="3">
        <v>153.30000000000001</v>
      </c>
    </row>
    <row r="118" spans="2:6" x14ac:dyDescent="0.2">
      <c r="B118" s="7" t="s">
        <v>52</v>
      </c>
      <c r="C118" s="1">
        <v>20</v>
      </c>
      <c r="D118" s="8">
        <v>44927</v>
      </c>
    </row>
    <row r="119" spans="2:6" x14ac:dyDescent="0.2">
      <c r="B119" s="1" t="s">
        <v>53</v>
      </c>
      <c r="C119" s="1">
        <v>5</v>
      </c>
      <c r="D119" s="8">
        <v>45291</v>
      </c>
    </row>
    <row r="122" spans="2:6" x14ac:dyDescent="0.2">
      <c r="B122" s="1" t="s">
        <v>54</v>
      </c>
    </row>
    <row r="124" spans="2:6" x14ac:dyDescent="0.2">
      <c r="B124" s="1" t="s">
        <v>55</v>
      </c>
      <c r="E124" s="1">
        <f>+C118</f>
        <v>20</v>
      </c>
    </row>
    <row r="125" spans="2:6" x14ac:dyDescent="0.2">
      <c r="C125" s="1" t="s">
        <v>56</v>
      </c>
      <c r="F125" s="1">
        <f>+E124</f>
        <v>20</v>
      </c>
    </row>
    <row r="126" spans="2:6" x14ac:dyDescent="0.2">
      <c r="B126" s="1" t="s">
        <v>57</v>
      </c>
    </row>
    <row r="128" spans="2:6" x14ac:dyDescent="0.2">
      <c r="B128" s="1" t="s">
        <v>58</v>
      </c>
    </row>
    <row r="129" spans="2:6" x14ac:dyDescent="0.2">
      <c r="B129" s="1" t="s">
        <v>59</v>
      </c>
      <c r="E129" s="1">
        <f>+C119</f>
        <v>5</v>
      </c>
    </row>
    <row r="130" spans="2:6" x14ac:dyDescent="0.2">
      <c r="C130" s="1" t="s">
        <v>60</v>
      </c>
      <c r="F130" s="1">
        <f>+E129</f>
        <v>5</v>
      </c>
    </row>
    <row r="131" spans="2:6" x14ac:dyDescent="0.2">
      <c r="B131" s="1" t="s">
        <v>61</v>
      </c>
    </row>
    <row r="133" spans="2:6" x14ac:dyDescent="0.2">
      <c r="B133" s="1" t="s">
        <v>62</v>
      </c>
    </row>
    <row r="134" spans="2:6" x14ac:dyDescent="0.2">
      <c r="B134" s="1" t="s">
        <v>40</v>
      </c>
      <c r="D134" s="6">
        <f>+C116</f>
        <v>0.15</v>
      </c>
    </row>
    <row r="135" spans="2:6" x14ac:dyDescent="0.2">
      <c r="D135" s="3">
        <f>++C117</f>
        <v>153.30000000000001</v>
      </c>
    </row>
    <row r="136" spans="2:6" ht="12.75" thickBot="1" x14ac:dyDescent="0.25">
      <c r="D136" s="9">
        <f>+D134*D135</f>
        <v>22.995000000000001</v>
      </c>
    </row>
    <row r="137" spans="2:6" ht="12.75" thickTop="1" x14ac:dyDescent="0.2"/>
    <row r="138" spans="2:6" x14ac:dyDescent="0.2">
      <c r="B138" s="1" t="s">
        <v>86</v>
      </c>
      <c r="E138" s="3">
        <f>+D136</f>
        <v>22.995000000000001</v>
      </c>
    </row>
    <row r="139" spans="2:6" x14ac:dyDescent="0.2">
      <c r="C139" s="1" t="s">
        <v>63</v>
      </c>
      <c r="F139" s="3">
        <f>+D136</f>
        <v>22.995000000000001</v>
      </c>
    </row>
    <row r="140" spans="2:6" x14ac:dyDescent="0.2">
      <c r="B140" s="1" t="s">
        <v>64</v>
      </c>
    </row>
    <row r="143" spans="2:6" x14ac:dyDescent="0.2">
      <c r="B143" s="1" t="s">
        <v>65</v>
      </c>
    </row>
    <row r="144" spans="2:6" x14ac:dyDescent="0.2">
      <c r="B144" s="10" t="s">
        <v>66</v>
      </c>
    </row>
    <row r="146" spans="2:6" x14ac:dyDescent="0.2">
      <c r="C146" s="1" t="s">
        <v>48</v>
      </c>
      <c r="D146" s="1" t="s">
        <v>47</v>
      </c>
    </row>
    <row r="147" spans="2:6" x14ac:dyDescent="0.2">
      <c r="B147" s="1" t="s">
        <v>43</v>
      </c>
      <c r="C147" s="3">
        <v>300</v>
      </c>
      <c r="D147" s="3">
        <v>250</v>
      </c>
    </row>
    <row r="148" spans="2:6" x14ac:dyDescent="0.2">
      <c r="B148" s="1" t="s">
        <v>67</v>
      </c>
      <c r="C148" s="3">
        <f>+C118</f>
        <v>20</v>
      </c>
      <c r="D148" s="3"/>
    </row>
    <row r="149" spans="2:6" x14ac:dyDescent="0.2">
      <c r="B149" s="11" t="s">
        <v>68</v>
      </c>
      <c r="C149" s="12">
        <v>-2.5</v>
      </c>
      <c r="D149" s="12">
        <v>-2.5</v>
      </c>
      <c r="E149" s="11" t="s">
        <v>87</v>
      </c>
    </row>
    <row r="150" spans="2:6" x14ac:dyDescent="0.2">
      <c r="B150" s="1" t="s">
        <v>69</v>
      </c>
      <c r="C150" s="3">
        <f>SUM(C147:C149)</f>
        <v>317.5</v>
      </c>
      <c r="D150" s="3">
        <f>SUM(D147:D149)</f>
        <v>247.5</v>
      </c>
    </row>
    <row r="151" spans="2:6" ht="12.75" thickBot="1" x14ac:dyDescent="0.25">
      <c r="B151" s="1" t="s">
        <v>70</v>
      </c>
      <c r="C151" s="9">
        <f>+$C$115*C150</f>
        <v>17.462499999999999</v>
      </c>
      <c r="D151" s="9">
        <f>+$C$115*D150</f>
        <v>13.612500000000001</v>
      </c>
    </row>
    <row r="152" spans="2:6" ht="12.75" thickTop="1" x14ac:dyDescent="0.2"/>
    <row r="153" spans="2:6" x14ac:dyDescent="0.2">
      <c r="B153" s="1" t="s">
        <v>71</v>
      </c>
      <c r="D153" s="3">
        <f>+C151-D151</f>
        <v>3.8499999999999979</v>
      </c>
    </row>
    <row r="154" spans="2:6" x14ac:dyDescent="0.2">
      <c r="D154" s="3"/>
    </row>
    <row r="155" spans="2:6" x14ac:dyDescent="0.2">
      <c r="B155" s="1" t="s">
        <v>74</v>
      </c>
      <c r="E155" s="3">
        <f>+C151</f>
        <v>17.462499999999999</v>
      </c>
    </row>
    <row r="156" spans="2:6" x14ac:dyDescent="0.2">
      <c r="C156" s="1" t="s">
        <v>72</v>
      </c>
      <c r="F156" s="3">
        <f>+D153</f>
        <v>3.8499999999999979</v>
      </c>
    </row>
    <row r="157" spans="2:6" x14ac:dyDescent="0.2">
      <c r="C157" s="1" t="s">
        <v>73</v>
      </c>
      <c r="F157" s="3">
        <f>+D151</f>
        <v>13.612500000000001</v>
      </c>
    </row>
    <row r="158" spans="2:6" x14ac:dyDescent="0.2">
      <c r="B158" s="1" t="s">
        <v>75</v>
      </c>
    </row>
    <row r="162" spans="2:4" x14ac:dyDescent="0.2">
      <c r="B162" s="1" t="s">
        <v>76</v>
      </c>
    </row>
    <row r="163" spans="2:4" x14ac:dyDescent="0.2">
      <c r="C163" s="1" t="s">
        <v>77</v>
      </c>
      <c r="D163" s="1" t="s">
        <v>78</v>
      </c>
    </row>
    <row r="164" spans="2:4" x14ac:dyDescent="0.2">
      <c r="B164" s="1" t="s">
        <v>43</v>
      </c>
      <c r="C164" s="3">
        <f>+C147</f>
        <v>300</v>
      </c>
      <c r="D164" s="3">
        <f>+D147</f>
        <v>250</v>
      </c>
    </row>
    <row r="165" spans="2:4" x14ac:dyDescent="0.2">
      <c r="B165" s="1" t="s">
        <v>42</v>
      </c>
      <c r="C165" s="3">
        <f>+C148</f>
        <v>20</v>
      </c>
    </row>
    <row r="166" spans="2:4" x14ac:dyDescent="0.2">
      <c r="B166" s="1" t="s">
        <v>41</v>
      </c>
      <c r="C166" s="3">
        <v>-5</v>
      </c>
      <c r="D166" s="3">
        <v>-5</v>
      </c>
    </row>
    <row r="167" spans="2:4" x14ac:dyDescent="0.2">
      <c r="B167" s="1" t="s">
        <v>79</v>
      </c>
      <c r="D167" s="3">
        <f>+F139</f>
        <v>22.995000000000001</v>
      </c>
    </row>
    <row r="168" spans="2:4" x14ac:dyDescent="0.2">
      <c r="B168" s="1" t="s">
        <v>80</v>
      </c>
      <c r="C168" s="13">
        <f>+E155</f>
        <v>17.462499999999999</v>
      </c>
      <c r="D168" s="13">
        <f>+F157</f>
        <v>13.612500000000001</v>
      </c>
    </row>
    <row r="169" spans="2:4" x14ac:dyDescent="0.2">
      <c r="B169" s="1" t="s">
        <v>88</v>
      </c>
      <c r="C169" s="3">
        <f>SUM(C164:C168)</f>
        <v>332.46249999999998</v>
      </c>
      <c r="D169" s="3">
        <f>SUM(D164:D168)</f>
        <v>281.60750000000002</v>
      </c>
    </row>
    <row r="170" spans="2:4" x14ac:dyDescent="0.2">
      <c r="B170" s="1" t="s">
        <v>35</v>
      </c>
      <c r="C170" s="3">
        <f>+C111</f>
        <v>430</v>
      </c>
      <c r="D170" s="3">
        <f>+C112</f>
        <v>355</v>
      </c>
    </row>
    <row r="171" spans="2:4" x14ac:dyDescent="0.2">
      <c r="B171" s="1" t="s">
        <v>81</v>
      </c>
      <c r="C171" s="3">
        <f>+C170-C169</f>
        <v>97.537500000000023</v>
      </c>
      <c r="D171" s="3">
        <f>+D170-D169</f>
        <v>73.392499999999984</v>
      </c>
    </row>
    <row r="173" spans="2:4" x14ac:dyDescent="0.2">
      <c r="B173" s="10" t="s">
        <v>82</v>
      </c>
    </row>
    <row r="175" spans="2:4" x14ac:dyDescent="0.2">
      <c r="B175" s="1" t="s">
        <v>83</v>
      </c>
      <c r="D175" s="3">
        <f>+C171-D171</f>
        <v>24.145000000000039</v>
      </c>
    </row>
    <row r="177" spans="2:6" x14ac:dyDescent="0.2">
      <c r="B177" s="1" t="s">
        <v>74</v>
      </c>
      <c r="E177" s="3">
        <f>+C171</f>
        <v>97.537500000000023</v>
      </c>
    </row>
    <row r="178" spans="2:6" x14ac:dyDescent="0.2">
      <c r="C178" s="1" t="s">
        <v>84</v>
      </c>
      <c r="F178" s="3">
        <f>+D171</f>
        <v>73.392499999999984</v>
      </c>
    </row>
    <row r="179" spans="2:6" x14ac:dyDescent="0.2">
      <c r="C179" s="1" t="s">
        <v>89</v>
      </c>
      <c r="F179" s="3">
        <f>+D175</f>
        <v>24.145000000000039</v>
      </c>
    </row>
    <row r="180" spans="2:6" x14ac:dyDescent="0.2">
      <c r="B180" s="1" t="s">
        <v>85</v>
      </c>
    </row>
    <row r="183" spans="2:6" x14ac:dyDescent="0.2">
      <c r="B183" s="1" t="s">
        <v>90</v>
      </c>
    </row>
    <row r="185" spans="2:6" x14ac:dyDescent="0.2">
      <c r="B185" s="1" t="s">
        <v>91</v>
      </c>
    </row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16" spans="2:5" x14ac:dyDescent="0.2">
      <c r="B216" s="1" t="s">
        <v>44</v>
      </c>
    </row>
    <row r="218" spans="2:5" x14ac:dyDescent="0.2">
      <c r="B218" s="1" t="s">
        <v>92</v>
      </c>
      <c r="D218" s="3">
        <v>12</v>
      </c>
    </row>
    <row r="219" spans="2:5" x14ac:dyDescent="0.2">
      <c r="B219" s="1" t="s">
        <v>93</v>
      </c>
      <c r="D219" s="3">
        <v>10</v>
      </c>
    </row>
    <row r="220" spans="2:5" x14ac:dyDescent="0.2">
      <c r="B220" s="1" t="s">
        <v>94</v>
      </c>
      <c r="D220" s="3">
        <v>6</v>
      </c>
    </row>
    <row r="221" spans="2:5" x14ac:dyDescent="0.2">
      <c r="B221" s="1" t="s">
        <v>95</v>
      </c>
      <c r="D221" s="3">
        <v>4.5</v>
      </c>
    </row>
    <row r="224" spans="2:5" x14ac:dyDescent="0.2">
      <c r="B224" s="1" t="s">
        <v>96</v>
      </c>
      <c r="E224" s="3">
        <f>+D218</f>
        <v>12</v>
      </c>
    </row>
    <row r="225" spans="2:6" x14ac:dyDescent="0.2">
      <c r="C225" s="1" t="s">
        <v>97</v>
      </c>
      <c r="F225" s="3">
        <f>+E224</f>
        <v>12</v>
      </c>
    </row>
    <row r="226" spans="2:6" x14ac:dyDescent="0.2">
      <c r="B226" s="1" t="s">
        <v>98</v>
      </c>
    </row>
    <row r="228" spans="2:6" x14ac:dyDescent="0.2">
      <c r="B228" s="1" t="s">
        <v>99</v>
      </c>
      <c r="E228" s="3">
        <f>+D219</f>
        <v>10</v>
      </c>
    </row>
    <row r="229" spans="2:6" x14ac:dyDescent="0.2">
      <c r="C229" s="1" t="s">
        <v>56</v>
      </c>
      <c r="F229" s="3">
        <f>+D219</f>
        <v>10</v>
      </c>
    </row>
    <row r="230" spans="2:6" x14ac:dyDescent="0.2">
      <c r="B230" s="1" t="s">
        <v>100</v>
      </c>
    </row>
    <row r="232" spans="2:6" x14ac:dyDescent="0.2">
      <c r="B232" s="1" t="s">
        <v>101</v>
      </c>
      <c r="D232" s="3">
        <f>+D220-D221</f>
        <v>1.5</v>
      </c>
    </row>
    <row r="234" spans="2:6" x14ac:dyDescent="0.2">
      <c r="B234" s="1" t="s">
        <v>102</v>
      </c>
      <c r="E234" s="3">
        <f>+D220</f>
        <v>6</v>
      </c>
    </row>
    <row r="235" spans="2:6" x14ac:dyDescent="0.2">
      <c r="C235" s="1" t="s">
        <v>111</v>
      </c>
      <c r="F235" s="3">
        <f>+D232</f>
        <v>1.5</v>
      </c>
    </row>
    <row r="236" spans="2:6" x14ac:dyDescent="0.2">
      <c r="C236" s="1" t="s">
        <v>104</v>
      </c>
      <c r="F236" s="3">
        <f>+D221</f>
        <v>4.5</v>
      </c>
    </row>
    <row r="237" spans="2:6" x14ac:dyDescent="0.2">
      <c r="B237" s="1" t="s">
        <v>103</v>
      </c>
    </row>
    <row r="240" spans="2:6" x14ac:dyDescent="0.2">
      <c r="B240" s="1" t="s">
        <v>105</v>
      </c>
    </row>
    <row r="241" spans="2:6" x14ac:dyDescent="0.2">
      <c r="D241" s="1" t="s">
        <v>106</v>
      </c>
      <c r="E241" s="1" t="s">
        <v>78</v>
      </c>
    </row>
    <row r="242" spans="2:6" x14ac:dyDescent="0.2">
      <c r="B242" s="1" t="s">
        <v>43</v>
      </c>
      <c r="D242" s="3">
        <f>+C147</f>
        <v>300</v>
      </c>
      <c r="E242" s="3">
        <f>+D147</f>
        <v>250</v>
      </c>
    </row>
    <row r="243" spans="2:6" x14ac:dyDescent="0.2">
      <c r="B243" s="1" t="s">
        <v>42</v>
      </c>
      <c r="D243" s="3">
        <f>+C165+E228</f>
        <v>30</v>
      </c>
      <c r="E243" s="3">
        <f>+D165</f>
        <v>0</v>
      </c>
    </row>
    <row r="244" spans="2:6" x14ac:dyDescent="0.2">
      <c r="B244" s="1" t="s">
        <v>107</v>
      </c>
      <c r="D244" s="3">
        <f>+C166</f>
        <v>-5</v>
      </c>
      <c r="E244" s="3">
        <f>+D166</f>
        <v>-5</v>
      </c>
    </row>
    <row r="245" spans="2:6" x14ac:dyDescent="0.2">
      <c r="B245" s="1" t="s">
        <v>40</v>
      </c>
      <c r="D245" s="3"/>
      <c r="E245" s="3">
        <f>+D167</f>
        <v>22.995000000000001</v>
      </c>
    </row>
    <row r="246" spans="2:6" x14ac:dyDescent="0.2">
      <c r="B246" s="1" t="s">
        <v>39</v>
      </c>
      <c r="D246" s="3"/>
      <c r="E246" s="3">
        <f>+F225</f>
        <v>12</v>
      </c>
    </row>
    <row r="247" spans="2:6" x14ac:dyDescent="0.2">
      <c r="B247" s="1" t="s">
        <v>38</v>
      </c>
      <c r="D247" s="3">
        <f>-F236</f>
        <v>-4.5</v>
      </c>
      <c r="E247" s="3">
        <f>-+E234</f>
        <v>-6</v>
      </c>
    </row>
    <row r="248" spans="2:6" x14ac:dyDescent="0.2">
      <c r="B248" s="1" t="s">
        <v>108</v>
      </c>
      <c r="D248" s="13">
        <f>+C168</f>
        <v>17.462499999999999</v>
      </c>
      <c r="E248" s="13">
        <f>+D168</f>
        <v>13.612500000000001</v>
      </c>
    </row>
    <row r="249" spans="2:6" x14ac:dyDescent="0.2">
      <c r="D249" s="3">
        <f>SUM(D242:D248)</f>
        <v>337.96249999999998</v>
      </c>
      <c r="E249" s="3">
        <f>SUM(E242:E248)</f>
        <v>287.60750000000002</v>
      </c>
    </row>
    <row r="250" spans="2:6" x14ac:dyDescent="0.2">
      <c r="B250" s="1" t="s">
        <v>35</v>
      </c>
      <c r="D250" s="3">
        <f>+C170</f>
        <v>430</v>
      </c>
      <c r="E250" s="3">
        <f>+D170</f>
        <v>355</v>
      </c>
    </row>
    <row r="251" spans="2:6" ht="12.75" thickBot="1" x14ac:dyDescent="0.25">
      <c r="B251" s="1" t="s">
        <v>109</v>
      </c>
      <c r="D251" s="9">
        <f>+D250-D249</f>
        <v>92.037500000000023</v>
      </c>
      <c r="E251" s="9">
        <f>+E250-E249</f>
        <v>67.392499999999984</v>
      </c>
    </row>
    <row r="252" spans="2:6" ht="12.75" thickTop="1" x14ac:dyDescent="0.2"/>
    <row r="253" spans="2:6" x14ac:dyDescent="0.2">
      <c r="B253" s="1" t="s">
        <v>110</v>
      </c>
      <c r="E253" s="1">
        <f>+D251-E251</f>
        <v>24.645000000000039</v>
      </c>
    </row>
    <row r="255" spans="2:6" x14ac:dyDescent="0.2">
      <c r="B255" s="1" t="s">
        <v>74</v>
      </c>
      <c r="E255" s="3">
        <f>+D251</f>
        <v>92.037500000000023</v>
      </c>
    </row>
    <row r="256" spans="2:6" x14ac:dyDescent="0.2">
      <c r="C256" s="1" t="s">
        <v>112</v>
      </c>
      <c r="F256" s="3">
        <f>+E251</f>
        <v>67.392499999999984</v>
      </c>
    </row>
    <row r="257" spans="2:6" x14ac:dyDescent="0.2">
      <c r="C257" s="1" t="s">
        <v>89</v>
      </c>
      <c r="F257" s="3">
        <f>+E253</f>
        <v>24.645000000000039</v>
      </c>
    </row>
    <row r="258" spans="2:6" x14ac:dyDescent="0.2">
      <c r="B258" s="1" t="s">
        <v>85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3154-4C5B-420C-8647-B279D06C70F9}">
  <dimension ref="A1:F43"/>
  <sheetViews>
    <sheetView topLeftCell="A29" zoomScale="175" zoomScaleNormal="175" workbookViewId="0">
      <selection activeCell="B46" sqref="B46:F55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113</v>
      </c>
    </row>
    <row r="3" spans="1:6" x14ac:dyDescent="0.2">
      <c r="B3" s="1" t="s">
        <v>114</v>
      </c>
      <c r="C3" s="8">
        <v>45107</v>
      </c>
    </row>
    <row r="5" spans="1:6" x14ac:dyDescent="0.2">
      <c r="B5" s="1" t="s">
        <v>115</v>
      </c>
      <c r="D5" s="3">
        <v>2100</v>
      </c>
      <c r="E5" s="3">
        <f>+D5/12</f>
        <v>175</v>
      </c>
    </row>
    <row r="6" spans="1:6" x14ac:dyDescent="0.2">
      <c r="B6" s="1" t="s">
        <v>117</v>
      </c>
      <c r="D6" s="3">
        <v>260</v>
      </c>
      <c r="E6" s="3">
        <f t="shared" ref="E6:E7" si="0">+D6/12</f>
        <v>21.666666666666668</v>
      </c>
    </row>
    <row r="7" spans="1:6" x14ac:dyDescent="0.2">
      <c r="B7" s="1" t="s">
        <v>118</v>
      </c>
      <c r="D7" s="3">
        <v>470</v>
      </c>
      <c r="E7" s="3">
        <f t="shared" si="0"/>
        <v>39.166666666666664</v>
      </c>
    </row>
    <row r="8" spans="1:6" x14ac:dyDescent="0.2">
      <c r="D8" s="3">
        <f>SUM(D5:D7)</f>
        <v>2830</v>
      </c>
      <c r="E8" s="3"/>
    </row>
    <row r="10" spans="1:6" x14ac:dyDescent="0.2">
      <c r="B10" s="1" t="s">
        <v>86</v>
      </c>
      <c r="E10" s="3">
        <f>(+D5)/12</f>
        <v>175</v>
      </c>
      <c r="F10" s="3"/>
    </row>
    <row r="11" spans="1:6" x14ac:dyDescent="0.2">
      <c r="B11" s="1" t="s">
        <v>120</v>
      </c>
      <c r="E11" s="3">
        <f>(+D6+D7)/12</f>
        <v>60.833333333333336</v>
      </c>
      <c r="F11" s="3"/>
    </row>
    <row r="12" spans="1:6" x14ac:dyDescent="0.2">
      <c r="C12" s="1" t="s">
        <v>119</v>
      </c>
      <c r="E12" s="3"/>
      <c r="F12" s="3">
        <f>(+D5)/12</f>
        <v>175</v>
      </c>
    </row>
    <row r="13" spans="1:6" x14ac:dyDescent="0.2">
      <c r="B13" s="1" t="s">
        <v>121</v>
      </c>
    </row>
    <row r="15" spans="1:6" x14ac:dyDescent="0.2">
      <c r="B15" s="1" t="s">
        <v>122</v>
      </c>
    </row>
    <row r="16" spans="1:6" x14ac:dyDescent="0.2">
      <c r="B16" s="1" t="s">
        <v>116</v>
      </c>
      <c r="C16" s="5">
        <v>0.13800000000000001</v>
      </c>
    </row>
    <row r="17" spans="2:6" x14ac:dyDescent="0.2">
      <c r="B17" s="1" t="s">
        <v>123</v>
      </c>
      <c r="C17" s="6">
        <v>0.04</v>
      </c>
    </row>
    <row r="18" spans="2:6" x14ac:dyDescent="0.2">
      <c r="B18" s="1" t="s">
        <v>124</v>
      </c>
      <c r="C18" s="1">
        <v>7800</v>
      </c>
    </row>
    <row r="19" spans="2:6" x14ac:dyDescent="0.2">
      <c r="B19" s="1" t="s">
        <v>125</v>
      </c>
      <c r="C19" s="5">
        <v>3.5000000000000003E-2</v>
      </c>
    </row>
    <row r="20" spans="2:6" x14ac:dyDescent="0.2">
      <c r="C20" s="1">
        <f>+C18*C19</f>
        <v>273</v>
      </c>
    </row>
    <row r="23" spans="2:6" x14ac:dyDescent="0.2">
      <c r="B23" s="1" t="s">
        <v>126</v>
      </c>
    </row>
    <row r="24" spans="2:6" x14ac:dyDescent="0.2">
      <c r="B24" s="1" t="s">
        <v>127</v>
      </c>
      <c r="E24" s="1">
        <f>+C20</f>
        <v>273</v>
      </c>
    </row>
    <row r="25" spans="2:6" x14ac:dyDescent="0.2">
      <c r="C25" s="1" t="s">
        <v>128</v>
      </c>
      <c r="F25" s="1">
        <f>+E24</f>
        <v>273</v>
      </c>
    </row>
    <row r="26" spans="2:6" x14ac:dyDescent="0.2">
      <c r="B26" s="1" t="s">
        <v>129</v>
      </c>
    </row>
    <row r="28" spans="2:6" x14ac:dyDescent="0.2">
      <c r="F28" s="1">
        <v>12</v>
      </c>
    </row>
    <row r="31" spans="2:6" x14ac:dyDescent="0.2">
      <c r="B31" s="1" t="s">
        <v>130</v>
      </c>
    </row>
    <row r="32" spans="2:6" x14ac:dyDescent="0.2">
      <c r="B32" s="1" t="s">
        <v>115</v>
      </c>
      <c r="E32" s="3">
        <f>+D5</f>
        <v>2100</v>
      </c>
    </row>
    <row r="33" spans="2:5" x14ac:dyDescent="0.2">
      <c r="B33" s="1" t="s">
        <v>117</v>
      </c>
      <c r="E33" s="3">
        <f>+D6</f>
        <v>260</v>
      </c>
    </row>
    <row r="34" spans="2:5" x14ac:dyDescent="0.2">
      <c r="B34" s="1" t="s">
        <v>122</v>
      </c>
      <c r="E34" s="3">
        <f>+E24</f>
        <v>273</v>
      </c>
    </row>
    <row r="35" spans="2:5" x14ac:dyDescent="0.2">
      <c r="B35" s="1" t="s">
        <v>118</v>
      </c>
      <c r="E35" s="3">
        <f>+C16*E34</f>
        <v>37.674000000000007</v>
      </c>
    </row>
    <row r="36" spans="2:5" ht="12.75" thickBot="1" x14ac:dyDescent="0.25">
      <c r="B36" s="1" t="s">
        <v>131</v>
      </c>
      <c r="E36" s="9">
        <f>SUM(E32:E35)</f>
        <v>2670.674</v>
      </c>
    </row>
    <row r="37" spans="2:5" ht="12.75" thickTop="1" x14ac:dyDescent="0.2"/>
    <row r="39" spans="2:5" x14ac:dyDescent="0.2">
      <c r="B39" s="1" t="s">
        <v>132</v>
      </c>
      <c r="E39" s="3">
        <f>+E7</f>
        <v>39.166666666666664</v>
      </c>
    </row>
    <row r="40" spans="2:5" x14ac:dyDescent="0.2">
      <c r="B40" s="1" t="s">
        <v>117</v>
      </c>
      <c r="E40" s="3">
        <f>+E6</f>
        <v>21.666666666666668</v>
      </c>
    </row>
    <row r="41" spans="2:5" x14ac:dyDescent="0.2">
      <c r="B41" s="1" t="s">
        <v>133</v>
      </c>
      <c r="E41" s="3">
        <f>SUM(E34:E35)</f>
        <v>310.67399999999998</v>
      </c>
    </row>
    <row r="42" spans="2:5" ht="12.75" thickBot="1" x14ac:dyDescent="0.25">
      <c r="B42" s="1" t="s">
        <v>134</v>
      </c>
      <c r="E42" s="9">
        <f>SUM(E39:E41)</f>
        <v>371.50733333333329</v>
      </c>
    </row>
    <row r="43" spans="2:5" ht="12.75" thickTop="1" x14ac:dyDescent="0.2"/>
  </sheetData>
  <hyperlinks>
    <hyperlink ref="A1" location="Main!A1" display="Main" xr:uid="{E14B5DD8-4CE3-4FC8-AC1D-74D7AA8A82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8492-2535-4B3C-AEFE-A1769C434787}">
  <dimension ref="A1:E12"/>
  <sheetViews>
    <sheetView zoomScale="145" zoomScaleNormal="145" workbookViewId="0">
      <selection activeCell="A11" sqref="A3:XFD11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3" spans="1:5" x14ac:dyDescent="0.2">
      <c r="C3" s="1" t="s">
        <v>135</v>
      </c>
      <c r="D3" s="1">
        <v>93</v>
      </c>
    </row>
    <row r="4" spans="1:5" x14ac:dyDescent="0.2">
      <c r="C4" s="1">
        <f>3/12</f>
        <v>0.25</v>
      </c>
      <c r="D4" s="1">
        <f>9/12</f>
        <v>0.75</v>
      </c>
    </row>
    <row r="5" spans="1:5" x14ac:dyDescent="0.2">
      <c r="C5" s="1">
        <v>12000</v>
      </c>
      <c r="D5" s="1">
        <v>30000</v>
      </c>
    </row>
    <row r="6" spans="1:5" x14ac:dyDescent="0.2">
      <c r="B6" s="1" t="s">
        <v>136</v>
      </c>
      <c r="C6" s="1">
        <f>0.03*C5</f>
        <v>360</v>
      </c>
      <c r="D6" s="1">
        <f>0.03*D5</f>
        <v>900</v>
      </c>
      <c r="E6" s="1">
        <f>SUM(C6:D6)</f>
        <v>1260</v>
      </c>
    </row>
    <row r="7" spans="1:5" x14ac:dyDescent="0.2">
      <c r="B7" s="1" t="s">
        <v>137</v>
      </c>
      <c r="C7" s="1">
        <f>0.12*C5</f>
        <v>1440</v>
      </c>
      <c r="D7" s="1">
        <f>0.12*D5</f>
        <v>3600</v>
      </c>
      <c r="E7" s="1">
        <f>SUM(C7:D7)</f>
        <v>5040</v>
      </c>
    </row>
    <row r="8" spans="1:5" x14ac:dyDescent="0.2">
      <c r="C8" s="1">
        <f>SUM(C6:C7)</f>
        <v>1800</v>
      </c>
      <c r="D8" s="1">
        <f>SUM(D6:D7)</f>
        <v>4500</v>
      </c>
      <c r="E8" s="1">
        <f>SUM(C8:D8)</f>
        <v>6300</v>
      </c>
    </row>
    <row r="10" spans="1:5" x14ac:dyDescent="0.2">
      <c r="B10" s="1" t="s">
        <v>138</v>
      </c>
    </row>
    <row r="11" spans="1:5" ht="12.75" thickBot="1" x14ac:dyDescent="0.25">
      <c r="B11" s="1" t="s">
        <v>139</v>
      </c>
      <c r="D11" s="4">
        <f>+SUM(D6:D7)/9</f>
        <v>500</v>
      </c>
      <c r="E11" s="1" t="str">
        <f ca="1">_xlfn.FORMULATEXT(D11)</f>
        <v>=+SUM(D6:D7)/9</v>
      </c>
    </row>
    <row r="12" spans="1:5" ht="12.75" thickTop="1" x14ac:dyDescent="0.2"/>
  </sheetData>
  <hyperlinks>
    <hyperlink ref="A1" location="Main!A1" display="Main" xr:uid="{5377D28A-FF71-43F9-852C-9B455B0D17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5188-9915-432F-8096-599C677392D7}">
  <dimension ref="A1:F74"/>
  <sheetViews>
    <sheetView topLeftCell="A55" zoomScale="160" zoomScaleNormal="160" workbookViewId="0">
      <selection activeCell="B60" sqref="A60:XFD7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140</v>
      </c>
    </row>
    <row r="4" spans="1:5" x14ac:dyDescent="0.2">
      <c r="B4" s="1" t="s">
        <v>141</v>
      </c>
    </row>
    <row r="6" spans="1:5" x14ac:dyDescent="0.2">
      <c r="C6" s="1" t="s">
        <v>142</v>
      </c>
      <c r="D6" s="1" t="s">
        <v>32</v>
      </c>
    </row>
    <row r="7" spans="1:5" x14ac:dyDescent="0.2">
      <c r="B7" s="8">
        <v>45291</v>
      </c>
      <c r="C7" s="1">
        <v>15500</v>
      </c>
      <c r="D7" s="1">
        <v>16800</v>
      </c>
    </row>
    <row r="8" spans="1:5" x14ac:dyDescent="0.2">
      <c r="B8" s="8">
        <v>45291</v>
      </c>
      <c r="C8" s="1">
        <v>16700</v>
      </c>
      <c r="D8" s="1">
        <v>18800</v>
      </c>
    </row>
    <row r="11" spans="1:5" x14ac:dyDescent="0.2">
      <c r="B11" s="1" t="s">
        <v>143</v>
      </c>
      <c r="C11" s="1">
        <v>1000</v>
      </c>
      <c r="D11" s="8">
        <v>44927</v>
      </c>
      <c r="E11" s="1" t="s">
        <v>127</v>
      </c>
    </row>
    <row r="12" spans="1:5" x14ac:dyDescent="0.2">
      <c r="B12" s="1" t="s">
        <v>144</v>
      </c>
      <c r="C12" s="1">
        <v>0</v>
      </c>
    </row>
    <row r="13" spans="1:5" x14ac:dyDescent="0.2">
      <c r="B13" s="1" t="s">
        <v>51</v>
      </c>
      <c r="C13" s="1">
        <v>8700</v>
      </c>
    </row>
    <row r="14" spans="1:5" x14ac:dyDescent="0.2">
      <c r="B14" s="1" t="s">
        <v>50</v>
      </c>
      <c r="C14" s="6">
        <v>0.17</v>
      </c>
    </row>
    <row r="15" spans="1:5" x14ac:dyDescent="0.2">
      <c r="B15" s="1" t="s">
        <v>145</v>
      </c>
      <c r="C15" s="6">
        <v>0.06</v>
      </c>
    </row>
    <row r="16" spans="1:5" x14ac:dyDescent="0.2">
      <c r="B16" s="1" t="s">
        <v>146</v>
      </c>
      <c r="C16" s="1">
        <v>700</v>
      </c>
    </row>
    <row r="17" spans="2:6" x14ac:dyDescent="0.2">
      <c r="B17" s="1" t="s">
        <v>147</v>
      </c>
      <c r="C17" s="1">
        <v>670</v>
      </c>
    </row>
    <row r="21" spans="2:6" x14ac:dyDescent="0.2">
      <c r="B21" s="1" t="s">
        <v>54</v>
      </c>
    </row>
    <row r="23" spans="2:6" x14ac:dyDescent="0.2">
      <c r="B23" s="1" t="s">
        <v>55</v>
      </c>
      <c r="E23" s="1">
        <f>+C11</f>
        <v>1000</v>
      </c>
    </row>
    <row r="24" spans="2:6" x14ac:dyDescent="0.2">
      <c r="C24" s="1" t="s">
        <v>148</v>
      </c>
      <c r="F24" s="1">
        <f>+E23</f>
        <v>1000</v>
      </c>
    </row>
    <row r="25" spans="2:6" x14ac:dyDescent="0.2">
      <c r="B25" s="1" t="s">
        <v>57</v>
      </c>
    </row>
    <row r="28" spans="2:6" x14ac:dyDescent="0.2">
      <c r="B28" s="1" t="s">
        <v>62</v>
      </c>
    </row>
    <row r="29" spans="2:6" x14ac:dyDescent="0.2">
      <c r="B29" s="1" t="s">
        <v>40</v>
      </c>
      <c r="D29" s="6">
        <f>+C13</f>
        <v>8700</v>
      </c>
    </row>
    <row r="30" spans="2:6" x14ac:dyDescent="0.2">
      <c r="D30" s="6">
        <f>+C14</f>
        <v>0.17</v>
      </c>
    </row>
    <row r="31" spans="2:6" ht="12.75" thickBot="1" x14ac:dyDescent="0.25">
      <c r="D31" s="9">
        <f>+D29*D30</f>
        <v>1479</v>
      </c>
    </row>
    <row r="32" spans="2:6" ht="12.75" thickTop="1" x14ac:dyDescent="0.2"/>
    <row r="33" spans="2:6" x14ac:dyDescent="0.2">
      <c r="B33" s="1" t="s">
        <v>86</v>
      </c>
      <c r="E33" s="3">
        <f>+D31</f>
        <v>1479</v>
      </c>
    </row>
    <row r="34" spans="2:6" x14ac:dyDescent="0.2">
      <c r="C34" s="1" t="s">
        <v>63</v>
      </c>
      <c r="F34" s="3">
        <f>+D31</f>
        <v>1479</v>
      </c>
    </row>
    <row r="35" spans="2:6" x14ac:dyDescent="0.2">
      <c r="B35" s="1" t="s">
        <v>64</v>
      </c>
    </row>
    <row r="37" spans="2:6" x14ac:dyDescent="0.2">
      <c r="B37" s="1" t="s">
        <v>91</v>
      </c>
    </row>
    <row r="39" spans="2:6" x14ac:dyDescent="0.2">
      <c r="B39" s="1" t="s">
        <v>94</v>
      </c>
      <c r="D39" s="3">
        <v>670</v>
      </c>
    </row>
    <row r="40" spans="2:6" x14ac:dyDescent="0.2">
      <c r="B40" s="1" t="s">
        <v>95</v>
      </c>
      <c r="D40" s="3">
        <v>700</v>
      </c>
    </row>
    <row r="42" spans="2:6" x14ac:dyDescent="0.2">
      <c r="B42" s="1" t="s">
        <v>101</v>
      </c>
      <c r="D42" s="3">
        <f>+D40-D39</f>
        <v>30</v>
      </c>
    </row>
    <row r="44" spans="2:6" x14ac:dyDescent="0.2">
      <c r="B44" s="1" t="s">
        <v>102</v>
      </c>
      <c r="E44" s="3">
        <f>+D39</f>
        <v>670</v>
      </c>
    </row>
    <row r="45" spans="2:6" x14ac:dyDescent="0.2">
      <c r="B45" s="1" t="s">
        <v>96</v>
      </c>
      <c r="E45" s="3">
        <f>+D42</f>
        <v>30</v>
      </c>
    </row>
    <row r="46" spans="2:6" x14ac:dyDescent="0.2">
      <c r="C46" s="1" t="s">
        <v>104</v>
      </c>
      <c r="F46" s="3">
        <f>+D40</f>
        <v>700</v>
      </c>
    </row>
    <row r="47" spans="2:6" x14ac:dyDescent="0.2">
      <c r="B47" s="1" t="s">
        <v>150</v>
      </c>
    </row>
    <row r="49" spans="2:6" x14ac:dyDescent="0.2">
      <c r="B49" s="1" t="s">
        <v>151</v>
      </c>
    </row>
    <row r="50" spans="2:6" x14ac:dyDescent="0.2">
      <c r="B50" s="1" t="s">
        <v>152</v>
      </c>
      <c r="E50" s="1">
        <f>+C15*D7</f>
        <v>1008</v>
      </c>
      <c r="F50" s="1" t="str">
        <f ca="1">_xlfn.FORMULATEXT(E50)</f>
        <v>=+C15*D7</v>
      </c>
    </row>
    <row r="51" spans="2:6" x14ac:dyDescent="0.2">
      <c r="B51" s="1" t="s">
        <v>153</v>
      </c>
      <c r="E51" s="1">
        <f>+(C7+E23)*C15</f>
        <v>990</v>
      </c>
      <c r="F51" s="1" t="str">
        <f ca="1">_xlfn.FORMULATEXT(E51)</f>
        <v>=+(C7+E23)*C15</v>
      </c>
    </row>
    <row r="52" spans="2:6" ht="12.75" thickBot="1" x14ac:dyDescent="0.25">
      <c r="B52" s="1" t="s">
        <v>154</v>
      </c>
      <c r="E52" s="4">
        <f>+E50-E51</f>
        <v>18</v>
      </c>
    </row>
    <row r="53" spans="2:6" ht="12.75" thickTop="1" x14ac:dyDescent="0.2"/>
    <row r="54" spans="2:6" x14ac:dyDescent="0.2">
      <c r="B54" s="1" t="s">
        <v>155</v>
      </c>
      <c r="E54" s="1">
        <f>+E52</f>
        <v>18</v>
      </c>
    </row>
    <row r="55" spans="2:6" x14ac:dyDescent="0.2">
      <c r="B55" s="1" t="s">
        <v>156</v>
      </c>
      <c r="E55" s="1">
        <f>+E51</f>
        <v>990</v>
      </c>
    </row>
    <row r="56" spans="2:6" x14ac:dyDescent="0.2">
      <c r="C56" s="1" t="s">
        <v>157</v>
      </c>
      <c r="F56" s="1">
        <f>+E50</f>
        <v>1008</v>
      </c>
    </row>
    <row r="57" spans="2:6" x14ac:dyDescent="0.2">
      <c r="B57" s="1" t="s">
        <v>158</v>
      </c>
    </row>
    <row r="60" spans="2:6" x14ac:dyDescent="0.2">
      <c r="D60" s="1" t="s">
        <v>106</v>
      </c>
      <c r="E60" s="1" t="s">
        <v>78</v>
      </c>
    </row>
    <row r="61" spans="2:6" x14ac:dyDescent="0.2">
      <c r="B61" s="1" t="s">
        <v>43</v>
      </c>
      <c r="D61" s="3">
        <f>+C7</f>
        <v>15500</v>
      </c>
      <c r="E61" s="3">
        <f>+D7</f>
        <v>16800</v>
      </c>
    </row>
    <row r="62" spans="2:6" x14ac:dyDescent="0.2">
      <c r="B62" s="1" t="s">
        <v>42</v>
      </c>
      <c r="D62" s="3">
        <f>+E23</f>
        <v>1000</v>
      </c>
      <c r="E62" s="3">
        <v>0</v>
      </c>
    </row>
    <row r="63" spans="2:6" x14ac:dyDescent="0.2">
      <c r="B63" s="1" t="s">
        <v>40</v>
      </c>
      <c r="D63" s="3"/>
      <c r="E63" s="3">
        <f>+F34</f>
        <v>1479</v>
      </c>
    </row>
    <row r="64" spans="2:6" x14ac:dyDescent="0.2">
      <c r="B64" s="1" t="s">
        <v>159</v>
      </c>
      <c r="D64" s="3">
        <f>-F46</f>
        <v>-700</v>
      </c>
      <c r="E64" s="3">
        <f>-+E44</f>
        <v>-670</v>
      </c>
    </row>
    <row r="65" spans="2:6" x14ac:dyDescent="0.2">
      <c r="B65" s="1" t="s">
        <v>108</v>
      </c>
      <c r="D65" s="13">
        <f>+E55</f>
        <v>990</v>
      </c>
      <c r="E65" s="13">
        <f>+F56</f>
        <v>1008</v>
      </c>
    </row>
    <row r="66" spans="2:6" x14ac:dyDescent="0.2">
      <c r="D66" s="3">
        <f>SUM(D61:D65)</f>
        <v>16790</v>
      </c>
      <c r="E66" s="3">
        <f>SUM(E61:E65)</f>
        <v>18617</v>
      </c>
    </row>
    <row r="67" spans="2:6" x14ac:dyDescent="0.2">
      <c r="B67" s="1" t="s">
        <v>35</v>
      </c>
      <c r="D67" s="3">
        <f>+C8</f>
        <v>16700</v>
      </c>
      <c r="E67" s="3">
        <f>+D8</f>
        <v>18800</v>
      </c>
    </row>
    <row r="68" spans="2:6" ht="12.75" thickBot="1" x14ac:dyDescent="0.25">
      <c r="B68" s="1" t="s">
        <v>109</v>
      </c>
      <c r="D68" s="9">
        <f>+D66-D67</f>
        <v>90</v>
      </c>
      <c r="E68" s="9">
        <f>+E66-E67</f>
        <v>-183</v>
      </c>
    </row>
    <row r="69" spans="2:6" ht="12.75" thickTop="1" x14ac:dyDescent="0.2"/>
    <row r="70" spans="2:6" x14ac:dyDescent="0.2">
      <c r="B70" s="1" t="s">
        <v>160</v>
      </c>
      <c r="E70" s="3">
        <f>+D68-E68</f>
        <v>273</v>
      </c>
    </row>
    <row r="72" spans="2:6" x14ac:dyDescent="0.2">
      <c r="B72" s="1" t="s">
        <v>149</v>
      </c>
      <c r="E72" s="3">
        <f>+E70</f>
        <v>273</v>
      </c>
    </row>
    <row r="73" spans="2:6" x14ac:dyDescent="0.2">
      <c r="C73" s="1" t="s">
        <v>112</v>
      </c>
      <c r="F73" s="3">
        <f>+E72</f>
        <v>273</v>
      </c>
    </row>
    <row r="74" spans="2:6" x14ac:dyDescent="0.2">
      <c r="B74" s="1" t="s">
        <v>161</v>
      </c>
    </row>
  </sheetData>
  <hyperlinks>
    <hyperlink ref="A1" location="Main!A1" display="Main" xr:uid="{D6313C47-3372-4BEC-AF15-DE6CE5A2AFC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B26-68DF-4E2A-B6F8-1BBA50F3D069}">
  <dimension ref="A1:G54"/>
  <sheetViews>
    <sheetView zoomScale="145" zoomScaleNormal="145" workbookViewId="0">
      <selection activeCell="A85" sqref="A70:XFD85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162</v>
      </c>
    </row>
    <row r="3" spans="1:5" x14ac:dyDescent="0.2">
      <c r="E3" s="14"/>
    </row>
    <row r="4" spans="1:5" x14ac:dyDescent="0.2">
      <c r="B4" s="1" t="s">
        <v>181</v>
      </c>
      <c r="E4" s="14"/>
    </row>
    <row r="5" spans="1:5" x14ac:dyDescent="0.2">
      <c r="B5" s="1" t="s">
        <v>163</v>
      </c>
      <c r="C5" s="1">
        <v>5600</v>
      </c>
      <c r="D5" s="1">
        <v>2025</v>
      </c>
      <c r="E5" s="14"/>
    </row>
    <row r="6" spans="1:5" x14ac:dyDescent="0.2">
      <c r="B6" s="1" t="s">
        <v>136</v>
      </c>
      <c r="C6" s="3">
        <f>0.05*C5</f>
        <v>280</v>
      </c>
      <c r="D6" s="3">
        <f>0.05*D5</f>
        <v>101.25</v>
      </c>
      <c r="E6" s="15">
        <f>SUM(C6:D6)</f>
        <v>381.25</v>
      </c>
    </row>
    <row r="7" spans="1:5" ht="12.75" thickBot="1" x14ac:dyDescent="0.25">
      <c r="B7" s="1" t="s">
        <v>137</v>
      </c>
      <c r="C7" s="3">
        <f>0.06*C5</f>
        <v>336</v>
      </c>
      <c r="D7" s="3">
        <f>0.06*D5</f>
        <v>121.5</v>
      </c>
      <c r="E7" s="18">
        <f>SUM(C7:D7)</f>
        <v>457.5</v>
      </c>
    </row>
    <row r="8" spans="1:5" ht="12.75" thickTop="1" x14ac:dyDescent="0.2">
      <c r="C8" s="3">
        <f>SUM(C6:C7)</f>
        <v>616</v>
      </c>
      <c r="D8" s="3">
        <f>SUM(D6:D7)</f>
        <v>222.75</v>
      </c>
      <c r="E8" s="15">
        <f>SUM(C8:D8)</f>
        <v>838.75</v>
      </c>
    </row>
    <row r="9" spans="1:5" x14ac:dyDescent="0.2">
      <c r="E9" s="14"/>
    </row>
    <row r="10" spans="1:5" x14ac:dyDescent="0.2">
      <c r="B10" s="1" t="s">
        <v>170</v>
      </c>
      <c r="E10" s="14"/>
    </row>
    <row r="13" spans="1:5" x14ac:dyDescent="0.2">
      <c r="B13" s="1" t="s">
        <v>164</v>
      </c>
    </row>
    <row r="14" spans="1:5" x14ac:dyDescent="0.2">
      <c r="B14" s="1" t="s">
        <v>16</v>
      </c>
    </row>
    <row r="16" spans="1:5" x14ac:dyDescent="0.2">
      <c r="C16" s="1" t="s">
        <v>142</v>
      </c>
      <c r="D16" s="1" t="s">
        <v>32</v>
      </c>
    </row>
    <row r="17" spans="2:6" x14ac:dyDescent="0.2">
      <c r="B17" s="8">
        <v>45291</v>
      </c>
      <c r="C17" s="1">
        <v>25000</v>
      </c>
      <c r="D17" s="1">
        <v>15200</v>
      </c>
    </row>
    <row r="18" spans="2:6" x14ac:dyDescent="0.2">
      <c r="B18" s="8">
        <v>45291</v>
      </c>
      <c r="C18" s="1">
        <v>16700</v>
      </c>
      <c r="D18" s="1">
        <v>18800</v>
      </c>
    </row>
    <row r="21" spans="2:6" x14ac:dyDescent="0.2">
      <c r="B21" s="1" t="s">
        <v>49</v>
      </c>
      <c r="C21" s="5">
        <v>6.2E-2</v>
      </c>
      <c r="D21" s="1" t="s">
        <v>165</v>
      </c>
    </row>
    <row r="22" spans="2:6" x14ac:dyDescent="0.2">
      <c r="B22" s="1" t="s">
        <v>50</v>
      </c>
      <c r="C22" s="3">
        <v>0.1</v>
      </c>
      <c r="D22" s="3"/>
      <c r="E22" s="3"/>
      <c r="F22" s="3"/>
    </row>
    <row r="23" spans="2:6" x14ac:dyDescent="0.2">
      <c r="B23" s="1" t="s">
        <v>51</v>
      </c>
      <c r="C23" s="3">
        <v>11000</v>
      </c>
      <c r="D23" s="3"/>
      <c r="E23" s="3"/>
      <c r="F23" s="3"/>
    </row>
    <row r="24" spans="2:6" x14ac:dyDescent="0.2">
      <c r="B24" s="1" t="s">
        <v>166</v>
      </c>
      <c r="C24" s="3">
        <v>1000</v>
      </c>
      <c r="D24" s="3"/>
      <c r="E24" s="3"/>
      <c r="F24" s="3"/>
    </row>
    <row r="25" spans="2:6" x14ac:dyDescent="0.2">
      <c r="B25" s="1" t="s">
        <v>167</v>
      </c>
      <c r="C25" s="3">
        <v>9200</v>
      </c>
      <c r="D25" s="3"/>
      <c r="E25" s="3"/>
      <c r="F25" s="3"/>
    </row>
    <row r="26" spans="2:6" x14ac:dyDescent="0.2">
      <c r="B26" s="1" t="s">
        <v>168</v>
      </c>
      <c r="C26" s="3">
        <v>8900</v>
      </c>
      <c r="D26" s="3"/>
      <c r="E26" s="3"/>
      <c r="F26" s="3"/>
    </row>
    <row r="27" spans="2:6" x14ac:dyDescent="0.2">
      <c r="C27" s="3"/>
      <c r="D27" s="3"/>
      <c r="E27" s="3"/>
      <c r="F27" s="3"/>
    </row>
    <row r="28" spans="2:6" x14ac:dyDescent="0.2">
      <c r="B28" s="1" t="s">
        <v>169</v>
      </c>
      <c r="C28" s="3"/>
      <c r="D28" s="3"/>
      <c r="E28" s="3"/>
      <c r="F28" s="3"/>
    </row>
    <row r="29" spans="2:6" x14ac:dyDescent="0.2">
      <c r="B29" s="1" t="s">
        <v>173</v>
      </c>
      <c r="C29" s="3"/>
      <c r="D29" s="3"/>
      <c r="E29" s="3"/>
      <c r="F29" s="3"/>
    </row>
    <row r="30" spans="2:6" x14ac:dyDescent="0.2">
      <c r="B30" s="1" t="s">
        <v>153</v>
      </c>
      <c r="C30" s="3"/>
      <c r="D30" s="3"/>
      <c r="E30" s="3">
        <f>+C17*C21</f>
        <v>1550</v>
      </c>
      <c r="F30" s="3" t="str">
        <f ca="1">_xlfn.FORMULATEXT(E30)</f>
        <v>=+C17*C21</v>
      </c>
    </row>
    <row r="31" spans="2:6" x14ac:dyDescent="0.2">
      <c r="B31" s="1" t="s">
        <v>171</v>
      </c>
      <c r="C31" s="3"/>
      <c r="D31" s="3"/>
      <c r="E31" s="3">
        <f>+C24*6/12*C21</f>
        <v>31</v>
      </c>
      <c r="F31" s="3" t="str">
        <f ca="1">_xlfn.FORMULATEXT(E31)</f>
        <v>=+C24*6/12*C21</v>
      </c>
    </row>
    <row r="32" spans="2:6" x14ac:dyDescent="0.2">
      <c r="B32" s="1" t="s">
        <v>172</v>
      </c>
      <c r="C32" s="3"/>
      <c r="D32" s="3"/>
      <c r="E32" s="3">
        <f>+C25*6/12*C21</f>
        <v>285.2</v>
      </c>
      <c r="F32" s="3" t="str">
        <f ca="1">_xlfn.FORMULATEXT(E32)</f>
        <v>=+C25*6/12*C21</v>
      </c>
    </row>
    <row r="33" spans="2:7" ht="12.75" thickBot="1" x14ac:dyDescent="0.25">
      <c r="C33" s="3"/>
      <c r="D33" s="3"/>
      <c r="E33" s="17">
        <f>+E30-E31-E32</f>
        <v>1233.8</v>
      </c>
      <c r="F33" s="3"/>
    </row>
    <row r="34" spans="2:7" ht="12.75" thickTop="1" x14ac:dyDescent="0.2">
      <c r="B34" s="1" t="s">
        <v>174</v>
      </c>
      <c r="C34" s="3"/>
      <c r="D34" s="3"/>
      <c r="E34" s="3"/>
      <c r="F34" s="3"/>
    </row>
    <row r="35" spans="2:7" x14ac:dyDescent="0.2">
      <c r="B35" s="1" t="s">
        <v>152</v>
      </c>
      <c r="C35" s="3"/>
      <c r="D35" s="3"/>
      <c r="E35" s="3">
        <f>+D17*C21</f>
        <v>942.4</v>
      </c>
      <c r="F35" s="3" t="str">
        <f ca="1">_xlfn.FORMULATEXT(E35)</f>
        <v>=+D17*C21</v>
      </c>
    </row>
    <row r="36" spans="2:7" x14ac:dyDescent="0.2">
      <c r="B36" s="1" t="s">
        <v>175</v>
      </c>
      <c r="C36" s="3"/>
      <c r="D36" s="3"/>
      <c r="E36" s="3">
        <f>+C24*6/12*C21</f>
        <v>31</v>
      </c>
      <c r="F36" s="3" t="str">
        <f ca="1">_xlfn.FORMULATEXT(E36)</f>
        <v>=+C24*6/12*C21</v>
      </c>
    </row>
    <row r="37" spans="2:7" x14ac:dyDescent="0.2">
      <c r="B37" s="1" t="s">
        <v>176</v>
      </c>
      <c r="C37" s="3"/>
      <c r="D37" s="3"/>
      <c r="E37" s="3">
        <f>+C26*6/12*C21</f>
        <v>275.89999999999998</v>
      </c>
      <c r="F37" s="3" t="str">
        <f ca="1">_xlfn.FORMULATEXT(E37)</f>
        <v>=+C26*6/12*C21</v>
      </c>
    </row>
    <row r="38" spans="2:7" ht="12.75" thickBot="1" x14ac:dyDescent="0.25">
      <c r="B38" s="1" t="s">
        <v>71</v>
      </c>
      <c r="C38" s="3"/>
      <c r="D38" s="3"/>
      <c r="E38" s="9">
        <f>+E35-E36-E37</f>
        <v>635.5</v>
      </c>
      <c r="F38" s="3"/>
    </row>
    <row r="39" spans="2:7" ht="12.75" thickTop="1" x14ac:dyDescent="0.2">
      <c r="C39" s="3"/>
      <c r="D39" s="3"/>
      <c r="E39" s="3"/>
      <c r="F39" s="3"/>
    </row>
    <row r="40" spans="2:7" x14ac:dyDescent="0.2">
      <c r="C40" s="3"/>
      <c r="D40" s="3"/>
      <c r="E40" s="3"/>
      <c r="F40" s="3"/>
    </row>
    <row r="41" spans="2:7" x14ac:dyDescent="0.2">
      <c r="B41" s="1" t="s">
        <v>177</v>
      </c>
      <c r="C41" s="3"/>
      <c r="D41" s="3"/>
      <c r="E41" s="3"/>
      <c r="F41" s="3"/>
    </row>
    <row r="42" spans="2:7" x14ac:dyDescent="0.2">
      <c r="B42" s="1" t="s">
        <v>197</v>
      </c>
      <c r="C42" s="3"/>
      <c r="D42" s="3"/>
      <c r="E42" s="3"/>
      <c r="F42" s="15">
        <f>5500*0.1</f>
        <v>550</v>
      </c>
      <c r="G42" s="1" t="str">
        <f t="shared" ref="G42:G47" ca="1" si="0">_xlfn.FORMULATEXT(F42)</f>
        <v>=5500*0.1</v>
      </c>
    </row>
    <row r="43" spans="2:7" x14ac:dyDescent="0.2">
      <c r="B43" s="1" t="s">
        <v>178</v>
      </c>
      <c r="C43" s="3"/>
      <c r="D43" s="3"/>
      <c r="E43" s="3"/>
      <c r="F43" s="15">
        <f>(5500-2025)*0.1</f>
        <v>347.5</v>
      </c>
      <c r="G43" s="1" t="str">
        <f t="shared" ca="1" si="0"/>
        <v>=(5500-2025)*0.1</v>
      </c>
    </row>
    <row r="44" spans="2:7" x14ac:dyDescent="0.2">
      <c r="B44" s="1" t="s">
        <v>179</v>
      </c>
      <c r="C44" s="3"/>
      <c r="D44" s="3"/>
      <c r="E44" s="3"/>
      <c r="F44" s="15">
        <f>+C25-C26</f>
        <v>300</v>
      </c>
      <c r="G44" s="1" t="str">
        <f t="shared" ca="1" si="0"/>
        <v>=+C25-C26</v>
      </c>
    </row>
    <row r="45" spans="2:7" x14ac:dyDescent="0.2">
      <c r="B45" s="1" t="s">
        <v>173</v>
      </c>
      <c r="C45" s="3"/>
      <c r="D45" s="3"/>
      <c r="E45" s="3"/>
      <c r="F45" s="3">
        <f>-E33</f>
        <v>-1233.8</v>
      </c>
      <c r="G45" s="1" t="str">
        <f t="shared" ca="1" si="0"/>
        <v>=-E33</v>
      </c>
    </row>
    <row r="46" spans="2:7" x14ac:dyDescent="0.2">
      <c r="B46" s="1" t="s">
        <v>151</v>
      </c>
      <c r="C46" s="3"/>
      <c r="D46" s="3"/>
      <c r="E46" s="3"/>
      <c r="F46" s="3">
        <f>+E38</f>
        <v>635.5</v>
      </c>
      <c r="G46" s="1" t="str">
        <f t="shared" ca="1" si="0"/>
        <v>=+E38</v>
      </c>
    </row>
    <row r="47" spans="2:7" ht="12.75" thickBot="1" x14ac:dyDescent="0.25">
      <c r="B47" s="1" t="s">
        <v>180</v>
      </c>
      <c r="C47" s="3"/>
      <c r="D47" s="3"/>
      <c r="E47" s="3"/>
      <c r="F47" s="9">
        <f>SUM(F42:F46)</f>
        <v>599.20000000000005</v>
      </c>
      <c r="G47" s="1" t="str">
        <f t="shared" ca="1" si="0"/>
        <v>=SUM(F42:F46)</v>
      </c>
    </row>
    <row r="48" spans="2:7" ht="12.75" thickTop="1" x14ac:dyDescent="0.2">
      <c r="C48" s="3"/>
      <c r="D48" s="3"/>
      <c r="E48" s="3"/>
      <c r="F48" s="3"/>
    </row>
    <row r="49" spans="3:6" x14ac:dyDescent="0.2">
      <c r="C49" s="3"/>
      <c r="D49" s="3"/>
      <c r="E49" s="3"/>
      <c r="F49" s="3"/>
    </row>
    <row r="50" spans="3:6" x14ac:dyDescent="0.2">
      <c r="C50" s="3"/>
      <c r="D50" s="3"/>
      <c r="E50" s="3"/>
      <c r="F50" s="3"/>
    </row>
    <row r="51" spans="3:6" x14ac:dyDescent="0.2">
      <c r="C51" s="3"/>
      <c r="D51" s="3"/>
      <c r="E51" s="3"/>
      <c r="F51" s="3"/>
    </row>
    <row r="52" spans="3:6" x14ac:dyDescent="0.2">
      <c r="C52" s="3"/>
      <c r="D52" s="3"/>
      <c r="E52" s="3"/>
      <c r="F52" s="3"/>
    </row>
    <row r="53" spans="3:6" x14ac:dyDescent="0.2">
      <c r="C53" s="3"/>
      <c r="D53" s="3"/>
      <c r="E53" s="3"/>
      <c r="F53" s="3"/>
    </row>
    <row r="54" spans="3:6" x14ac:dyDescent="0.2">
      <c r="C54" s="3"/>
      <c r="D54" s="3"/>
      <c r="E54" s="3"/>
      <c r="F54" s="3"/>
    </row>
  </sheetData>
  <hyperlinks>
    <hyperlink ref="A1" location="Main!A1" display="Main" xr:uid="{559D668B-8817-474B-861B-ABABAA154C21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10EA-92C8-4725-AA10-53033A3CB5B7}">
  <dimension ref="A1:H80"/>
  <sheetViews>
    <sheetView topLeftCell="A88" zoomScale="160" zoomScaleNormal="160" workbookViewId="0">
      <selection activeCell="F113" sqref="F113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182</v>
      </c>
    </row>
    <row r="3" spans="1:5" x14ac:dyDescent="0.2">
      <c r="B3" s="1" t="s">
        <v>114</v>
      </c>
      <c r="C3" s="8">
        <v>45199</v>
      </c>
    </row>
    <row r="5" spans="1:5" x14ac:dyDescent="0.2">
      <c r="B5" s="1" t="s">
        <v>183</v>
      </c>
    </row>
    <row r="7" spans="1:5" x14ac:dyDescent="0.2">
      <c r="B7" s="8">
        <v>45199</v>
      </c>
      <c r="C7" s="1" t="s">
        <v>185</v>
      </c>
      <c r="D7" s="1" t="s">
        <v>186</v>
      </c>
    </row>
    <row r="8" spans="1:5" x14ac:dyDescent="0.2">
      <c r="B8" s="1" t="s">
        <v>184</v>
      </c>
      <c r="C8" s="3">
        <f>11/12*E8</f>
        <v>13750</v>
      </c>
      <c r="D8" s="3">
        <f>1/12*E8</f>
        <v>1250</v>
      </c>
      <c r="E8" s="3">
        <v>15000</v>
      </c>
    </row>
    <row r="9" spans="1:5" x14ac:dyDescent="0.2">
      <c r="C9" s="3"/>
      <c r="D9" s="3"/>
      <c r="E9" s="3"/>
    </row>
    <row r="10" spans="1:5" x14ac:dyDescent="0.2">
      <c r="B10" s="1" t="s">
        <v>136</v>
      </c>
      <c r="C10" s="3">
        <f>C$8*0.1</f>
        <v>1375</v>
      </c>
      <c r="D10" s="3">
        <f>D$8*0.1</f>
        <v>125</v>
      </c>
      <c r="E10" s="3">
        <f>SUM(C10:D10)</f>
        <v>1500</v>
      </c>
    </row>
    <row r="11" spans="1:5" x14ac:dyDescent="0.2">
      <c r="B11" s="1" t="s">
        <v>137</v>
      </c>
      <c r="C11" s="3">
        <f>C$8*0.075</f>
        <v>1031.25</v>
      </c>
      <c r="D11" s="3">
        <f>D$8*0.075</f>
        <v>93.75</v>
      </c>
      <c r="E11" s="3">
        <f>SUM(C11:D11)</f>
        <v>1125</v>
      </c>
    </row>
    <row r="12" spans="1:5" x14ac:dyDescent="0.2">
      <c r="D12" s="3">
        <f>SUM(D10:D11)</f>
        <v>218.75</v>
      </c>
      <c r="E12" s="3">
        <f>SUM(E10:E11)</f>
        <v>2625</v>
      </c>
    </row>
    <row r="13" spans="1:5" x14ac:dyDescent="0.2">
      <c r="D13" s="3"/>
      <c r="E13" s="3"/>
    </row>
    <row r="14" spans="1:5" x14ac:dyDescent="0.2">
      <c r="B14" s="1" t="s">
        <v>198</v>
      </c>
      <c r="D14" s="3"/>
      <c r="E14" s="3">
        <f>+E11</f>
        <v>1125</v>
      </c>
    </row>
    <row r="15" spans="1:5" x14ac:dyDescent="0.2">
      <c r="D15" s="3"/>
      <c r="E15" s="3"/>
    </row>
    <row r="17" spans="2:5" x14ac:dyDescent="0.2">
      <c r="B17" s="1" t="s">
        <v>199</v>
      </c>
    </row>
    <row r="19" spans="2:5" x14ac:dyDescent="0.2">
      <c r="B19" s="1" t="s">
        <v>86</v>
      </c>
      <c r="D19" s="3">
        <f>D12</f>
        <v>218.75</v>
      </c>
    </row>
    <row r="20" spans="2:5" x14ac:dyDescent="0.2">
      <c r="C20" s="1" t="s">
        <v>187</v>
      </c>
      <c r="E20" s="3">
        <f>D19</f>
        <v>218.75</v>
      </c>
    </row>
    <row r="21" spans="2:5" x14ac:dyDescent="0.2">
      <c r="B21" s="1" t="s">
        <v>188</v>
      </c>
    </row>
    <row r="24" spans="2:5" x14ac:dyDescent="0.2">
      <c r="B24" s="1" t="s">
        <v>49</v>
      </c>
      <c r="C24" s="5">
        <v>5.5E-2</v>
      </c>
      <c r="D24" s="1" t="s">
        <v>165</v>
      </c>
    </row>
    <row r="25" spans="2:5" x14ac:dyDescent="0.2">
      <c r="B25" s="1" t="s">
        <v>50</v>
      </c>
      <c r="C25" s="5">
        <v>0.1</v>
      </c>
    </row>
    <row r="26" spans="2:5" x14ac:dyDescent="0.2">
      <c r="B26" s="1" t="s">
        <v>51</v>
      </c>
      <c r="C26" s="3">
        <v>8000</v>
      </c>
    </row>
    <row r="27" spans="2:5" x14ac:dyDescent="0.2">
      <c r="B27" s="1" t="s">
        <v>201</v>
      </c>
      <c r="C27" s="3">
        <v>480</v>
      </c>
      <c r="D27" s="8">
        <v>44835</v>
      </c>
    </row>
    <row r="28" spans="2:5" x14ac:dyDescent="0.2">
      <c r="B28" s="1" t="s">
        <v>201</v>
      </c>
      <c r="C28" s="3">
        <v>330</v>
      </c>
      <c r="D28" s="8">
        <v>45199</v>
      </c>
    </row>
    <row r="29" spans="2:5" x14ac:dyDescent="0.2">
      <c r="B29" s="1" t="s">
        <v>166</v>
      </c>
      <c r="C29" s="3">
        <v>0</v>
      </c>
    </row>
    <row r="30" spans="2:5" x14ac:dyDescent="0.2">
      <c r="B30" s="1" t="s">
        <v>167</v>
      </c>
      <c r="C30" s="3">
        <v>10000</v>
      </c>
    </row>
    <row r="31" spans="2:5" x14ac:dyDescent="0.2">
      <c r="B31" s="1" t="s">
        <v>168</v>
      </c>
      <c r="C31" s="3">
        <v>9000</v>
      </c>
    </row>
    <row r="32" spans="2:5" x14ac:dyDescent="0.2">
      <c r="C32" s="3"/>
    </row>
    <row r="33" spans="2:8" x14ac:dyDescent="0.2">
      <c r="B33" s="1" t="s">
        <v>169</v>
      </c>
    </row>
    <row r="34" spans="2:8" x14ac:dyDescent="0.2">
      <c r="B34" s="1" t="s">
        <v>173</v>
      </c>
    </row>
    <row r="35" spans="2:8" x14ac:dyDescent="0.2">
      <c r="B35" s="1" t="s">
        <v>153</v>
      </c>
      <c r="E35" s="3">
        <f>+C64*C24</f>
        <v>2090</v>
      </c>
      <c r="F35" s="3" t="str">
        <f ca="1">_xlfn.FORMULATEXT(E35)</f>
        <v>=+C64*C24</v>
      </c>
    </row>
    <row r="36" spans="2:8" x14ac:dyDescent="0.2">
      <c r="B36" s="1" t="s">
        <v>192</v>
      </c>
      <c r="E36" s="15">
        <f>+C27*C24</f>
        <v>26.4</v>
      </c>
      <c r="F36" s="15" t="str">
        <f ca="1">_xlfn.FORMULATEXT(E36)</f>
        <v>=+C27*C24</v>
      </c>
    </row>
    <row r="37" spans="2:8" x14ac:dyDescent="0.2">
      <c r="B37" s="1" t="s">
        <v>172</v>
      </c>
      <c r="E37" s="3">
        <f>+C26*6/12*C24</f>
        <v>220</v>
      </c>
      <c r="F37" s="3" t="str">
        <f ca="1">_xlfn.FORMULATEXT(E37)</f>
        <v>=+C26*6/12*C24</v>
      </c>
    </row>
    <row r="38" spans="2:8" x14ac:dyDescent="0.2">
      <c r="B38" s="1" t="s">
        <v>193</v>
      </c>
      <c r="E38" s="3">
        <f>+C30*6/12*C24</f>
        <v>275</v>
      </c>
      <c r="F38" s="3" t="str">
        <f ca="1">_xlfn.FORMULATEXT(E38)</f>
        <v>=+C30*6/12*C24</v>
      </c>
    </row>
    <row r="39" spans="2:8" ht="12.75" thickBot="1" x14ac:dyDescent="0.25">
      <c r="B39" s="1" t="s">
        <v>173</v>
      </c>
      <c r="E39" s="17">
        <f>E35+E36-E37-E38</f>
        <v>1621.4</v>
      </c>
      <c r="F39" s="3"/>
    </row>
    <row r="40" spans="2:8" ht="12.75" thickTop="1" x14ac:dyDescent="0.2">
      <c r="E40" s="16"/>
      <c r="F40" s="3"/>
    </row>
    <row r="41" spans="2:8" x14ac:dyDescent="0.2">
      <c r="B41" s="1" t="s">
        <v>174</v>
      </c>
      <c r="E41" s="3"/>
      <c r="F41" s="3"/>
    </row>
    <row r="42" spans="2:8" x14ac:dyDescent="0.2">
      <c r="B42" s="1" t="s">
        <v>152</v>
      </c>
      <c r="E42" s="3">
        <f>+D64*C24</f>
        <v>2475</v>
      </c>
      <c r="F42" s="3" t="str">
        <f ca="1">_xlfn.FORMULATEXT(E42)</f>
        <v>=+D64*C24</v>
      </c>
      <c r="H42" s="8"/>
    </row>
    <row r="43" spans="2:8" x14ac:dyDescent="0.2">
      <c r="B43" s="1" t="s">
        <v>194</v>
      </c>
      <c r="E43" s="3">
        <f>C26*C24*6/12</f>
        <v>220</v>
      </c>
      <c r="F43" s="3" t="str">
        <f ca="1">_xlfn.FORMULATEXT(E43)</f>
        <v>=C26*C24*6/12</v>
      </c>
      <c r="H43" s="8"/>
    </row>
    <row r="44" spans="2:8" x14ac:dyDescent="0.2">
      <c r="B44" s="1" t="s">
        <v>176</v>
      </c>
      <c r="E44" s="3">
        <f>+C31*6/12*C24</f>
        <v>247.5</v>
      </c>
      <c r="F44" s="3" t="str">
        <f ca="1">_xlfn.FORMULATEXT(E44)</f>
        <v>=+C31*6/12*C24</v>
      </c>
      <c r="H44" s="3"/>
    </row>
    <row r="45" spans="2:8" ht="12.75" thickBot="1" x14ac:dyDescent="0.25">
      <c r="B45" s="1" t="s">
        <v>154</v>
      </c>
      <c r="E45" s="9">
        <f>E42-E43-E44</f>
        <v>2007.5</v>
      </c>
      <c r="F45" s="3"/>
    </row>
    <row r="46" spans="2:8" ht="12.75" thickTop="1" x14ac:dyDescent="0.2">
      <c r="E46" s="3"/>
      <c r="F46" s="3"/>
    </row>
    <row r="47" spans="2:8" x14ac:dyDescent="0.2">
      <c r="B47" s="1" t="s">
        <v>202</v>
      </c>
      <c r="E47" s="3">
        <f>E45</f>
        <v>2007.5</v>
      </c>
      <c r="F47" s="3"/>
    </row>
    <row r="48" spans="2:8" x14ac:dyDescent="0.2">
      <c r="B48" s="1" t="s">
        <v>195</v>
      </c>
      <c r="E48" s="3">
        <f>E39</f>
        <v>1621.4</v>
      </c>
      <c r="F48" s="3"/>
    </row>
    <row r="49" spans="2:7" x14ac:dyDescent="0.2">
      <c r="B49" s="1" t="s">
        <v>196</v>
      </c>
      <c r="E49" s="3">
        <f>E48-E47</f>
        <v>-386.09999999999991</v>
      </c>
      <c r="F49" s="3"/>
    </row>
    <row r="50" spans="2:7" x14ac:dyDescent="0.2">
      <c r="E50" s="3"/>
      <c r="F50" s="3"/>
    </row>
    <row r="51" spans="2:7" x14ac:dyDescent="0.2">
      <c r="E51" s="3"/>
      <c r="F51" s="3"/>
    </row>
    <row r="52" spans="2:7" x14ac:dyDescent="0.2">
      <c r="B52" s="1" t="s">
        <v>156</v>
      </c>
      <c r="E52" s="3">
        <f>E35</f>
        <v>2090</v>
      </c>
      <c r="F52" s="3"/>
    </row>
    <row r="53" spans="2:7" x14ac:dyDescent="0.2">
      <c r="B53" s="1" t="s">
        <v>191</v>
      </c>
      <c r="E53" s="3">
        <f>-E49</f>
        <v>386.09999999999991</v>
      </c>
      <c r="F53" s="3"/>
    </row>
    <row r="54" spans="2:7" x14ac:dyDescent="0.2">
      <c r="C54" s="1" t="s">
        <v>157</v>
      </c>
      <c r="E54" s="3"/>
      <c r="F54" s="3">
        <f>+E42</f>
        <v>2475</v>
      </c>
    </row>
    <row r="55" spans="2:7" x14ac:dyDescent="0.2">
      <c r="B55" s="1" t="s">
        <v>158</v>
      </c>
      <c r="E55" s="3"/>
      <c r="F55" s="3"/>
    </row>
    <row r="56" spans="2:7" x14ac:dyDescent="0.2">
      <c r="E56" s="3"/>
      <c r="F56" s="3"/>
    </row>
    <row r="57" spans="2:7" x14ac:dyDescent="0.2">
      <c r="B57" s="1" t="s">
        <v>177</v>
      </c>
      <c r="E57" s="3"/>
      <c r="F57" s="3"/>
    </row>
    <row r="58" spans="2:7" x14ac:dyDescent="0.2">
      <c r="B58" s="1" t="s">
        <v>200</v>
      </c>
      <c r="E58" s="3"/>
      <c r="F58" s="15">
        <f>+C26*C25</f>
        <v>800</v>
      </c>
      <c r="G58" s="1" t="str">
        <f t="shared" ref="G58:G61" ca="1" si="0">_xlfn.FORMULATEXT(F58)</f>
        <v>=+C26*C25</v>
      </c>
    </row>
    <row r="59" spans="2:7" x14ac:dyDescent="0.2">
      <c r="B59" s="1" t="s">
        <v>179</v>
      </c>
      <c r="E59" s="3"/>
      <c r="F59" s="15">
        <f>-(+C31-C30)</f>
        <v>1000</v>
      </c>
      <c r="G59" s="1" t="str">
        <f t="shared" ca="1" si="0"/>
        <v>=-(+C31-C30)</v>
      </c>
    </row>
    <row r="60" spans="2:7" x14ac:dyDescent="0.2">
      <c r="B60" s="1" t="s">
        <v>173</v>
      </c>
      <c r="E60" s="3"/>
      <c r="F60" s="3">
        <f>+E53</f>
        <v>386.09999999999991</v>
      </c>
      <c r="G60" s="1" t="str">
        <f t="shared" ca="1" si="0"/>
        <v>=+E53</v>
      </c>
    </row>
    <row r="61" spans="2:7" ht="12.75" thickBot="1" x14ac:dyDescent="0.25">
      <c r="B61" s="1" t="s">
        <v>180</v>
      </c>
      <c r="E61" s="3"/>
      <c r="F61" s="9">
        <f>SUM(F58:F60)</f>
        <v>2186.1</v>
      </c>
      <c r="G61" s="1" t="str">
        <f t="shared" ca="1" si="0"/>
        <v>=SUM(F58:F60)</v>
      </c>
    </row>
    <row r="62" spans="2:7" ht="12.75" thickTop="1" x14ac:dyDescent="0.2"/>
    <row r="63" spans="2:7" x14ac:dyDescent="0.2">
      <c r="C63" s="1" t="s">
        <v>142</v>
      </c>
      <c r="D63" s="1" t="s">
        <v>32</v>
      </c>
    </row>
    <row r="64" spans="2:7" x14ac:dyDescent="0.2">
      <c r="B64" s="8" t="s">
        <v>189</v>
      </c>
      <c r="C64" s="3">
        <v>38000</v>
      </c>
      <c r="D64" s="3">
        <v>45000</v>
      </c>
    </row>
    <row r="65" spans="2:4" x14ac:dyDescent="0.2">
      <c r="B65" s="8" t="s">
        <v>42</v>
      </c>
      <c r="C65" s="3">
        <f>+C27+C28</f>
        <v>810</v>
      </c>
      <c r="D65" s="3"/>
    </row>
    <row r="66" spans="2:4" x14ac:dyDescent="0.2">
      <c r="B66" s="8" t="s">
        <v>41</v>
      </c>
      <c r="C66" s="3">
        <f>-C26</f>
        <v>-8000</v>
      </c>
      <c r="D66" s="3">
        <f>-C26</f>
        <v>-8000</v>
      </c>
    </row>
    <row r="67" spans="2:4" x14ac:dyDescent="0.2">
      <c r="B67" s="8" t="s">
        <v>203</v>
      </c>
      <c r="C67" s="3"/>
      <c r="D67" s="3">
        <f>+C26*C25</f>
        <v>800</v>
      </c>
    </row>
    <row r="68" spans="2:4" x14ac:dyDescent="0.2">
      <c r="B68" s="8" t="s">
        <v>159</v>
      </c>
      <c r="C68" s="3">
        <f>-+C30</f>
        <v>-10000</v>
      </c>
      <c r="D68" s="3">
        <f>-C31</f>
        <v>-9000</v>
      </c>
    </row>
    <row r="69" spans="2:4" x14ac:dyDescent="0.2">
      <c r="B69" s="8" t="s">
        <v>204</v>
      </c>
      <c r="C69" s="3">
        <f>+E39</f>
        <v>1621.4</v>
      </c>
      <c r="D69" s="3">
        <f>+E45</f>
        <v>2007.5</v>
      </c>
    </row>
    <row r="70" spans="2:4" x14ac:dyDescent="0.2">
      <c r="B70" s="8"/>
      <c r="C70" s="3">
        <f>SUM(C64:C69)</f>
        <v>22431.4</v>
      </c>
      <c r="D70" s="3">
        <f>SUM(D64:D69)</f>
        <v>30807.5</v>
      </c>
    </row>
    <row r="71" spans="2:4" x14ac:dyDescent="0.2">
      <c r="B71" s="8" t="s">
        <v>190</v>
      </c>
      <c r="C71" s="3">
        <v>32000</v>
      </c>
      <c r="D71" s="3">
        <v>40000</v>
      </c>
    </row>
    <row r="72" spans="2:4" x14ac:dyDescent="0.2">
      <c r="B72" s="1" t="s">
        <v>205</v>
      </c>
      <c r="C72" s="3">
        <f>+C71-C70</f>
        <v>9568.5999999999985</v>
      </c>
      <c r="D72" s="3">
        <f>+D71-D70</f>
        <v>9192.5</v>
      </c>
    </row>
    <row r="74" spans="2:4" x14ac:dyDescent="0.2">
      <c r="B74" s="1" t="s">
        <v>206</v>
      </c>
      <c r="D74" s="3">
        <f>+C72-D72</f>
        <v>376.09999999999854</v>
      </c>
    </row>
    <row r="75" spans="2:4" x14ac:dyDescent="0.2">
      <c r="D75" s="1" t="s">
        <v>207</v>
      </c>
    </row>
    <row r="77" spans="2:4" x14ac:dyDescent="0.2">
      <c r="B77" s="1" t="s">
        <v>208</v>
      </c>
      <c r="D77" s="3">
        <f>+D71</f>
        <v>40000</v>
      </c>
    </row>
    <row r="78" spans="2:4" x14ac:dyDescent="0.2">
      <c r="B78" s="1" t="s">
        <v>209</v>
      </c>
      <c r="D78" s="3">
        <f>+C71</f>
        <v>32000</v>
      </c>
    </row>
    <row r="79" spans="2:4" ht="12.75" thickBot="1" x14ac:dyDescent="0.25">
      <c r="B79" s="1" t="s">
        <v>208</v>
      </c>
      <c r="D79" s="9">
        <f>+D77-D78</f>
        <v>8000</v>
      </c>
    </row>
    <row r="80" spans="2:4" ht="12.75" thickTop="1" x14ac:dyDescent="0.2"/>
  </sheetData>
  <hyperlinks>
    <hyperlink ref="A1" location="Main!A1" display="Main" xr:uid="{5ACDD00F-1455-4E73-9970-4251A827BAC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20CD-30A1-4F7D-8C05-82D3CE6B4CF2}">
  <sheetPr>
    <tabColor rgb="FFFFFF00"/>
  </sheetPr>
  <dimension ref="A1"/>
  <sheetViews>
    <sheetView tabSelected="1" zoomScale="190" zoomScaleNormal="190" workbookViewId="0">
      <selection activeCell="B2" sqref="B2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AA7E66AB-234F-4D3C-9710-A9554E176D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Module 18</vt:lpstr>
      <vt:lpstr>WSE18.1</vt:lpstr>
      <vt:lpstr>WSE18.2</vt:lpstr>
      <vt:lpstr>WSE18.3</vt:lpstr>
      <vt:lpstr>WSE18.4</vt:lpstr>
      <vt:lpstr>WSE18.6</vt:lpstr>
      <vt:lpstr>WSE18.7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2023-05-18T14:20:19Z</cp:lastPrinted>
  <dcterms:created xsi:type="dcterms:W3CDTF">2023-05-16T23:48:54Z</dcterms:created>
  <dcterms:modified xsi:type="dcterms:W3CDTF">2023-05-20T10:00:34Z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