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432" documentId="8_{890A7D63-FBF1-4E8F-AF96-1392FD5E3336}" xr6:coauthVersionLast="47" xr6:coauthVersionMax="47" xr10:uidLastSave="{749E99FA-8A57-4C7B-AC0A-6CA43C32DB0B}"/>
  <bookViews>
    <workbookView xWindow="3420" yWindow="3360" windowWidth="21600" windowHeight="11385" xr2:uid="{7806CDC0-7782-4C14-AFCD-6EDCD328715B}"/>
  </bookViews>
  <sheets>
    <sheet name="Main" sheetId="1" r:id="rId1"/>
    <sheet name="Module 27" sheetId="2" r:id="rId2"/>
    <sheet name="WSE27.1" sheetId="3" r:id="rId3"/>
    <sheet name="WSE27.2" sheetId="4" r:id="rId4"/>
    <sheet name="WSE27.3" sheetId="5" r:id="rId5"/>
    <sheet name="WSE27.4" sheetId="6" r:id="rId6"/>
    <sheet name="WSE27.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7" l="1"/>
  <c r="F90" i="7"/>
  <c r="E89" i="7"/>
  <c r="E64" i="7"/>
  <c r="E65" i="7" s="1"/>
  <c r="E68" i="7" s="1"/>
  <c r="E60" i="7"/>
  <c r="E96" i="7"/>
  <c r="E95" i="7"/>
  <c r="C84" i="7"/>
  <c r="B84" i="7"/>
  <c r="E74" i="7"/>
  <c r="F75" i="7" s="1"/>
  <c r="E56" i="7"/>
  <c r="E59" i="7" s="1"/>
  <c r="E61" i="7" s="1"/>
  <c r="E62" i="7" s="1"/>
  <c r="E67" i="7" s="1"/>
  <c r="C56" i="7"/>
  <c r="F48" i="7"/>
  <c r="E46" i="7"/>
  <c r="B40" i="7"/>
  <c r="B39" i="7"/>
  <c r="C40" i="7"/>
  <c r="E45" i="7" s="1"/>
  <c r="C39" i="7"/>
  <c r="E44" i="7" s="1"/>
  <c r="E28" i="7"/>
  <c r="E27" i="7"/>
  <c r="E24" i="7"/>
  <c r="E25" i="7" s="1"/>
  <c r="E20" i="7"/>
  <c r="E19" i="7"/>
  <c r="E18" i="7"/>
  <c r="E17" i="7"/>
  <c r="E12" i="7"/>
  <c r="E11" i="7"/>
  <c r="E10" i="7"/>
  <c r="E9" i="7"/>
  <c r="E6" i="7"/>
  <c r="E5" i="7"/>
  <c r="E7" i="7" s="1"/>
  <c r="D29" i="7"/>
  <c r="D25" i="7"/>
  <c r="D21" i="7"/>
  <c r="D13" i="7"/>
  <c r="D7" i="7"/>
  <c r="C29" i="7"/>
  <c r="C25" i="7"/>
  <c r="C21" i="7"/>
  <c r="C13" i="7"/>
  <c r="C7" i="7"/>
  <c r="F137" i="6"/>
  <c r="E136" i="6"/>
  <c r="E134" i="6"/>
  <c r="E133" i="6"/>
  <c r="E132" i="6"/>
  <c r="E131" i="6"/>
  <c r="E130" i="6"/>
  <c r="E129" i="6"/>
  <c r="E128" i="6"/>
  <c r="F124" i="6"/>
  <c r="E122" i="6"/>
  <c r="F106" i="6"/>
  <c r="E102" i="6"/>
  <c r="E103" i="6" s="1"/>
  <c r="E113" i="6" s="1"/>
  <c r="F114" i="6" s="1"/>
  <c r="E93" i="6"/>
  <c r="F94" i="6" s="1"/>
  <c r="E89" i="6"/>
  <c r="F90" i="6" s="1"/>
  <c r="E119" i="6"/>
  <c r="F119" i="6" s="1"/>
  <c r="E123" i="6" s="1"/>
  <c r="E118" i="6"/>
  <c r="F118" i="6" s="1"/>
  <c r="F69" i="7" l="1"/>
  <c r="B86" i="7"/>
  <c r="E105" i="7"/>
  <c r="E21" i="7"/>
  <c r="C30" i="7"/>
  <c r="C31" i="7" s="1"/>
  <c r="E29" i="7"/>
  <c r="E30" i="7" s="1"/>
  <c r="C14" i="7"/>
  <c r="D41" i="7"/>
  <c r="D38" i="7" s="1"/>
  <c r="E13" i="7"/>
  <c r="E14" i="7" s="1"/>
  <c r="D30" i="7"/>
  <c r="D31" i="7" s="1"/>
  <c r="D14" i="7"/>
  <c r="E109" i="6"/>
  <c r="F110" i="6" s="1"/>
  <c r="F120" i="6"/>
  <c r="E31" i="7" l="1"/>
  <c r="F95" i="7"/>
  <c r="F96" i="7"/>
  <c r="E100" i="7" s="1"/>
  <c r="D42" i="7"/>
  <c r="E47" i="7" s="1"/>
  <c r="F49" i="7"/>
  <c r="F97" i="7" l="1"/>
  <c r="E99" i="7"/>
  <c r="E106" i="7" s="1"/>
  <c r="E107" i="7" s="1"/>
  <c r="E109" i="7" l="1"/>
  <c r="F110" i="7" s="1"/>
  <c r="F101" i="7"/>
  <c r="E63" i="6" l="1"/>
  <c r="C63" i="6"/>
  <c r="E52" i="6"/>
  <c r="E67" i="6" s="1"/>
  <c r="D45" i="6"/>
  <c r="E51" i="6" s="1"/>
  <c r="D44" i="6"/>
  <c r="E50" i="6" s="1"/>
  <c r="B46" i="6"/>
  <c r="B45" i="6"/>
  <c r="B44" i="6"/>
  <c r="E42" i="6"/>
  <c r="F54" i="6" s="1"/>
  <c r="E34" i="6"/>
  <c r="E32" i="6"/>
  <c r="E31" i="6"/>
  <c r="E30" i="6"/>
  <c r="E28" i="6"/>
  <c r="E27" i="6"/>
  <c r="E22" i="6"/>
  <c r="E21" i="6"/>
  <c r="E23" i="6" s="1"/>
  <c r="E18" i="6"/>
  <c r="E17" i="6"/>
  <c r="E16" i="6"/>
  <c r="E11" i="6"/>
  <c r="E10" i="6"/>
  <c r="E9" i="6"/>
  <c r="E6" i="6"/>
  <c r="E5" i="6"/>
  <c r="D29" i="6"/>
  <c r="D33" i="6" s="1"/>
  <c r="D35" i="6" s="1"/>
  <c r="E64" i="6" s="1"/>
  <c r="E77" i="6" s="1"/>
  <c r="F78" i="6" s="1"/>
  <c r="D23" i="6"/>
  <c r="D19" i="6"/>
  <c r="D12" i="6"/>
  <c r="D7" i="6"/>
  <c r="C29" i="6"/>
  <c r="C33" i="6" s="1"/>
  <c r="C35" i="6" s="1"/>
  <c r="C23" i="6"/>
  <c r="C19" i="6"/>
  <c r="C12" i="6"/>
  <c r="C7" i="6"/>
  <c r="F50" i="5"/>
  <c r="E49" i="5"/>
  <c r="F41" i="5"/>
  <c r="E40" i="5"/>
  <c r="E36" i="5"/>
  <c r="C32" i="5"/>
  <c r="F26" i="5"/>
  <c r="C28" i="5"/>
  <c r="C29" i="5" s="1"/>
  <c r="C31" i="5" s="1"/>
  <c r="E35" i="5" s="1"/>
  <c r="E20" i="5"/>
  <c r="F21" i="5" s="1"/>
  <c r="E9" i="5"/>
  <c r="F10" i="5" s="1"/>
  <c r="C6" i="5"/>
  <c r="C7" i="5" s="1"/>
  <c r="E13" i="5" s="1"/>
  <c r="F14" i="5" s="1"/>
  <c r="F247" i="2"/>
  <c r="E246" i="2"/>
  <c r="F243" i="2"/>
  <c r="E242" i="2"/>
  <c r="E240" i="2"/>
  <c r="E239" i="2"/>
  <c r="E238" i="2"/>
  <c r="E237" i="2"/>
  <c r="D237" i="2"/>
  <c r="F232" i="2"/>
  <c r="F233" i="2"/>
  <c r="E231" i="2"/>
  <c r="D229" i="2"/>
  <c r="C226" i="2"/>
  <c r="D226" i="2" s="1"/>
  <c r="D227" i="2" s="1"/>
  <c r="E180" i="2"/>
  <c r="E182" i="2" s="1"/>
  <c r="F183" i="2" s="1"/>
  <c r="F209" i="2"/>
  <c r="E189" i="2"/>
  <c r="E196" i="2" s="1"/>
  <c r="F197" i="2" s="1"/>
  <c r="F212" i="2" s="1"/>
  <c r="E165" i="2"/>
  <c r="D158" i="2"/>
  <c r="D157" i="2"/>
  <c r="E154" i="2"/>
  <c r="E151" i="2"/>
  <c r="E160" i="2" s="1"/>
  <c r="D142" i="2"/>
  <c r="D144" i="2" s="1"/>
  <c r="D146" i="2" s="1"/>
  <c r="E170" i="2" s="1"/>
  <c r="D136" i="2"/>
  <c r="D133" i="2"/>
  <c r="D127" i="2"/>
  <c r="D123" i="2"/>
  <c r="C142" i="2"/>
  <c r="C144" i="2" s="1"/>
  <c r="C146" i="2" s="1"/>
  <c r="C136" i="2"/>
  <c r="C133" i="2"/>
  <c r="C137" i="2" s="1"/>
  <c r="C127" i="2"/>
  <c r="C123" i="2"/>
  <c r="C128" i="2" s="1"/>
  <c r="E108" i="2"/>
  <c r="F109" i="2"/>
  <c r="C105" i="2"/>
  <c r="C106" i="2" s="1"/>
  <c r="E112" i="2" s="1"/>
  <c r="F113" i="2" s="1"/>
  <c r="H14" i="4"/>
  <c r="G14" i="4"/>
  <c r="C66" i="4"/>
  <c r="E72" i="4" s="1"/>
  <c r="F73" i="4"/>
  <c r="D46" i="4"/>
  <c r="D49" i="4" s="1"/>
  <c r="E36" i="4"/>
  <c r="D31" i="4"/>
  <c r="E32" i="4" s="1"/>
  <c r="E30" i="4" s="1"/>
  <c r="E29" i="4"/>
  <c r="F38" i="4" s="1"/>
  <c r="E7" i="4"/>
  <c r="H7" i="4" s="1"/>
  <c r="E9" i="4"/>
  <c r="E10" i="4"/>
  <c r="H10" i="4" s="1"/>
  <c r="E11" i="4"/>
  <c r="H11" i="4" s="1"/>
  <c r="E19" i="4"/>
  <c r="E20" i="4"/>
  <c r="H20" i="4" s="1"/>
  <c r="E21" i="4"/>
  <c r="H21" i="4" s="1"/>
  <c r="E6" i="4"/>
  <c r="H6" i="4" s="1"/>
  <c r="D22" i="4"/>
  <c r="D47" i="4" s="1"/>
  <c r="D17" i="4"/>
  <c r="D8" i="4"/>
  <c r="C22" i="4"/>
  <c r="C17" i="4"/>
  <c r="C8" i="4"/>
  <c r="D10" i="3"/>
  <c r="F63" i="2"/>
  <c r="C57" i="2"/>
  <c r="E71" i="2" s="1"/>
  <c r="F72" i="2" s="1"/>
  <c r="D40" i="2"/>
  <c r="C46" i="2" s="1"/>
  <c r="C48" i="2" s="1"/>
  <c r="F51" i="2" s="1"/>
  <c r="C40" i="2"/>
  <c r="E7" i="6" l="1"/>
  <c r="E66" i="6"/>
  <c r="E68" i="6" s="1"/>
  <c r="E69" i="6" s="1"/>
  <c r="E71" i="6" s="1"/>
  <c r="F72" i="6" s="1"/>
  <c r="C13" i="6"/>
  <c r="E19" i="6"/>
  <c r="C24" i="6"/>
  <c r="E12" i="6"/>
  <c r="E46" i="6"/>
  <c r="E43" i="6" s="1"/>
  <c r="E29" i="6"/>
  <c r="E33" i="6" s="1"/>
  <c r="E35" i="6" s="1"/>
  <c r="E24" i="6"/>
  <c r="D24" i="6"/>
  <c r="D13" i="6"/>
  <c r="F37" i="5"/>
  <c r="F211" i="2"/>
  <c r="E171" i="2"/>
  <c r="E173" i="2" s="1"/>
  <c r="E174" i="2" s="1"/>
  <c r="E176" i="2" s="1"/>
  <c r="F177" i="2" s="1"/>
  <c r="F210" i="2"/>
  <c r="E190" i="2"/>
  <c r="E191" i="2"/>
  <c r="E192" i="2" s="1"/>
  <c r="E152" i="2"/>
  <c r="E161" i="2" s="1"/>
  <c r="E155" i="2"/>
  <c r="D159" i="2" s="1"/>
  <c r="D137" i="2"/>
  <c r="D128" i="2"/>
  <c r="E8" i="4"/>
  <c r="E59" i="4"/>
  <c r="F60" i="4" s="1"/>
  <c r="G16" i="4" s="1"/>
  <c r="H16" i="4" s="1"/>
  <c r="H22" i="4"/>
  <c r="C67" i="4"/>
  <c r="E71" i="4" s="1"/>
  <c r="E80" i="4" s="1"/>
  <c r="F13" i="4" s="1"/>
  <c r="E62" i="2"/>
  <c r="D51" i="4"/>
  <c r="D52" i="4" s="1"/>
  <c r="E54" i="4" s="1"/>
  <c r="E35" i="4"/>
  <c r="E33" i="4"/>
  <c r="E37" i="4" s="1"/>
  <c r="F5" i="4" s="1"/>
  <c r="F39" i="4"/>
  <c r="E22" i="4"/>
  <c r="E17" i="4"/>
  <c r="C58" i="2"/>
  <c r="E50" i="2"/>
  <c r="E13" i="6" l="1"/>
  <c r="E47" i="6"/>
  <c r="E53" i="6" s="1"/>
  <c r="F55" i="6"/>
  <c r="E200" i="2"/>
  <c r="E193" i="2"/>
  <c r="E204" i="2" s="1"/>
  <c r="F205" i="2" s="1"/>
  <c r="F214" i="2" s="1"/>
  <c r="H19" i="4"/>
  <c r="F81" i="4"/>
  <c r="H13" i="4"/>
  <c r="F12" i="4"/>
  <c r="H12" i="4" s="1"/>
  <c r="F55" i="4"/>
  <c r="G15" i="4" s="1"/>
  <c r="H15" i="4" s="1"/>
  <c r="H5" i="4"/>
  <c r="H8" i="4" s="1"/>
  <c r="F24" i="4"/>
  <c r="F68" i="2"/>
  <c r="E61" i="2"/>
  <c r="E67" i="2"/>
  <c r="F201" i="2" l="1"/>
  <c r="F213" i="2"/>
  <c r="F215" i="2" s="1"/>
  <c r="E218" i="2" s="1"/>
  <c r="F219" i="2" s="1"/>
  <c r="H17" i="4"/>
  <c r="G24" i="4"/>
</calcChain>
</file>

<file path=xl/sharedStrings.xml><?xml version="1.0" encoding="utf-8"?>
<sst xmlns="http://schemas.openxmlformats.org/spreadsheetml/2006/main" count="452" uniqueCount="274">
  <si>
    <t>Main</t>
  </si>
  <si>
    <t>Module 27 - Consolidated Financial Statements: Intercompany Transactions and Balances</t>
  </si>
  <si>
    <t>IFRS 10 - subsequent transactions which happen with a group</t>
  </si>
  <si>
    <t>only external transactions are represented in the consol accounts</t>
  </si>
  <si>
    <t>in order to balance off for assets in transit</t>
  </si>
  <si>
    <t>the receiving company adjusts their figures to show the assset is received</t>
  </si>
  <si>
    <t>Activity 1</t>
  </si>
  <si>
    <t>Alan needs record the cash as received</t>
  </si>
  <si>
    <t>cr - AR</t>
  </si>
  <si>
    <t>dr - bank</t>
  </si>
  <si>
    <t>being reconciliation for accounts in transit over YE.</t>
  </si>
  <si>
    <t>Dr AP</t>
  </si>
  <si>
    <t>cr AR</t>
  </si>
  <si>
    <t>being elimination of agreed IC balances on consolidation</t>
  </si>
  <si>
    <t>Activity 2</t>
  </si>
  <si>
    <t>Box</t>
  </si>
  <si>
    <t>Bag</t>
  </si>
  <si>
    <t>dividends</t>
  </si>
  <si>
    <t>PAT</t>
  </si>
  <si>
    <t>TAX</t>
  </si>
  <si>
    <t>PBT</t>
  </si>
  <si>
    <t>Finance income</t>
  </si>
  <si>
    <t>Bag divi</t>
  </si>
  <si>
    <t>NCI share</t>
  </si>
  <si>
    <t>Step 5: Allocate the subsidiaries CY profit/loss and other gains/losses to NCI</t>
  </si>
  <si>
    <t>NCI</t>
  </si>
  <si>
    <t>dr - SPL NCI</t>
  </si>
  <si>
    <t>cr - NCI</t>
  </si>
  <si>
    <t>being NCI share of CY profits</t>
  </si>
  <si>
    <t>Step 6:  Eliminate IC transactions and balances and allocate share of adjustmens to subsidiary profit/loss to NCI</t>
  </si>
  <si>
    <t>dr - Finance income</t>
  </si>
  <si>
    <t>cr - RE</t>
  </si>
  <si>
    <t>group share of divi</t>
  </si>
  <si>
    <t>being iliminatoin of group share of IC dividend</t>
  </si>
  <si>
    <t>being elimination of NCI share of IC dividend</t>
  </si>
  <si>
    <t>could just do in one journal</t>
  </si>
  <si>
    <t>dr - finance income</t>
  </si>
  <si>
    <t>being elimination of IC divi</t>
  </si>
  <si>
    <t>Module 27</t>
  </si>
  <si>
    <t>WSE27.1</t>
  </si>
  <si>
    <t>WSE27.2</t>
  </si>
  <si>
    <t>Crete Group</t>
  </si>
  <si>
    <t>Crete</t>
  </si>
  <si>
    <t>Corfu</t>
  </si>
  <si>
    <t>AR</t>
  </si>
  <si>
    <t>AP</t>
  </si>
  <si>
    <t>being adjustment for reconcilig assets in transit</t>
  </si>
  <si>
    <t>Field</t>
  </si>
  <si>
    <t>Mouse</t>
  </si>
  <si>
    <t>Tax</t>
  </si>
  <si>
    <t>RE</t>
  </si>
  <si>
    <t>SC</t>
  </si>
  <si>
    <t>other net assets</t>
  </si>
  <si>
    <t>Inv. - Mouse</t>
  </si>
  <si>
    <t>final</t>
  </si>
  <si>
    <t>Step 1:  add TBs together</t>
  </si>
  <si>
    <t>Step 2: recognise GW and NCI</t>
  </si>
  <si>
    <t>inv - mousr</t>
  </si>
  <si>
    <t>gw</t>
  </si>
  <si>
    <t>dr - SC</t>
  </si>
  <si>
    <t>dr - RE</t>
  </si>
  <si>
    <t>dr  -GW</t>
  </si>
  <si>
    <t>cr - inv - Mouse</t>
  </si>
  <si>
    <t>cr - SFP - NCI</t>
  </si>
  <si>
    <t>Being recognitiono fo gw and NCI</t>
  </si>
  <si>
    <t>noone</t>
  </si>
  <si>
    <t>Step 3:  PY profits</t>
  </si>
  <si>
    <t xml:space="preserve">Increase </t>
  </si>
  <si>
    <t xml:space="preserve">dr - RE </t>
  </si>
  <si>
    <t>cr - SFP NCI</t>
  </si>
  <si>
    <t>bveing allocationg of PY profits to non--controlling partner</t>
  </si>
  <si>
    <t>dr - PBT NCI</t>
  </si>
  <si>
    <t>being allocation of NCI share of profits for the current year</t>
  </si>
  <si>
    <t>cr - SPL</t>
  </si>
  <si>
    <t>Step 3:  impairment in gw</t>
  </si>
  <si>
    <t>Step 5 - CY profits</t>
  </si>
  <si>
    <t>Sub divi</t>
  </si>
  <si>
    <t>dr</t>
  </si>
  <si>
    <t>cr</t>
  </si>
  <si>
    <t>GW</t>
  </si>
  <si>
    <t>Transfer adjustments in the consolidated statement of profit or loss to the consolidated statement of financial position</t>
  </si>
  <si>
    <t>JE3</t>
  </si>
  <si>
    <t>Dr - RE</t>
  </si>
  <si>
    <t>being transfer to RE</t>
  </si>
  <si>
    <t>dr - AP</t>
  </si>
  <si>
    <t>dr - inventories</t>
  </si>
  <si>
    <t>Dividends paid</t>
  </si>
  <si>
    <t>&lt;&lt;&lt;did alright.  When there is more complexity there are more marks.  So take time with it</t>
  </si>
  <si>
    <t>IC Sales and COS</t>
  </si>
  <si>
    <t>dr - SPL revenue</t>
  </si>
  <si>
    <t>cr - SPL Cost of sales</t>
  </si>
  <si>
    <t>x</t>
  </si>
  <si>
    <t>Step 6: Eliminate intercompany transactions and balances and allocate share
of adjustments to subsidiary’s profit/ loss to non-controlling interests</t>
  </si>
  <si>
    <t>being elimination of intercompany sales and purchases</t>
  </si>
  <si>
    <t>Exam tips</t>
  </si>
  <si>
    <t>Where there are intercompany sales and purchases, be alert to unpaid amounts at year end (i.e. internal indebtedness).</t>
  </si>
  <si>
    <t>If year end falles between IC transfer of goods and before sale to external party</t>
  </si>
  <si>
    <t>cannot recognise profit on these</t>
  </si>
  <si>
    <t>lower of cost and nrv</t>
  </si>
  <si>
    <t>1. Calculate the total intercompany profit.</t>
  </si>
  <si>
    <t>2. Calculate the amount of this that is unrealised (i.e. that relates to inventories still held by the group).</t>
  </si>
  <si>
    <t>3. Adjust for the unrealised profit and the related NCI share of the adjustment (see Section 4.2).</t>
  </si>
  <si>
    <t>You should apply the following method when dealing with unrealised profits in inventory:</t>
  </si>
  <si>
    <t>Activity 3</t>
  </si>
  <si>
    <t>unrealised profit</t>
  </si>
  <si>
    <t>Markup</t>
  </si>
  <si>
    <t>COGS</t>
  </si>
  <si>
    <t>Sales</t>
  </si>
  <si>
    <t>dr - SPL COS</t>
  </si>
  <si>
    <t>being eliminations of IC sales and purchases</t>
  </si>
  <si>
    <t>being eliminaiton fo IC unrealised profit in inventories</t>
  </si>
  <si>
    <t>cr - inventories</t>
  </si>
  <si>
    <t>dr - COS</t>
  </si>
  <si>
    <t>note: if the parent is making the profit, then it doesn't need to be changed around</t>
  </si>
  <si>
    <t>&lt;&lt;&lt;40% of unrealised profit</t>
  </si>
  <si>
    <t>Activity 4</t>
  </si>
  <si>
    <t>Investment in Small</t>
  </si>
  <si>
    <t>dr -RE</t>
  </si>
  <si>
    <t>dr - Gw</t>
  </si>
  <si>
    <t>cr - inv - small</t>
  </si>
  <si>
    <t>cr  - SFP NCI</t>
  </si>
  <si>
    <t xml:space="preserve">dr - SPL impairment loss </t>
  </si>
  <si>
    <t>cr gw</t>
  </si>
  <si>
    <t>increase</t>
  </si>
  <si>
    <t>cr - NCI SFP</t>
  </si>
  <si>
    <t>historicla profit</t>
  </si>
  <si>
    <t>CY profit</t>
  </si>
  <si>
    <t>cr  NCI</t>
  </si>
  <si>
    <t>Step 6 – Eliminate intercompany transactions and balances and allocate share of
adjustments to subsidiary’s profit/ loss to non-controlling interests</t>
  </si>
  <si>
    <t>COS</t>
  </si>
  <si>
    <t>Margin</t>
  </si>
  <si>
    <t>NCI share of unrealised profit</t>
  </si>
  <si>
    <t>dr rev</t>
  </si>
  <si>
    <t>cr - COS</t>
  </si>
  <si>
    <t>being elimination of IC sale and purchase</t>
  </si>
  <si>
    <t>cr - inventory</t>
  </si>
  <si>
    <t>being elimination of IC unrealised profit in inventories</t>
  </si>
  <si>
    <t>cr -SPL NCI</t>
  </si>
  <si>
    <t>being NCI share of elimination of unrealised profit</t>
  </si>
  <si>
    <t>Current year impairment of goodwill (JE 2)</t>
  </si>
  <si>
    <t>Non-controlling interests’ share of current year profit (JE 4)</t>
  </si>
  <si>
    <t>Elimination of intercompany sales and purchases (JE 5)</t>
  </si>
  <si>
    <t>Elimination of intercompany unrealised profit in inventories (JE 6)</t>
  </si>
  <si>
    <t>Non-controlling interests’ share of elimination of unrealised profit (JE 7)</t>
  </si>
  <si>
    <t>Net</t>
  </si>
  <si>
    <t>dr - SFP NCI</t>
  </si>
  <si>
    <t>being transfer to retained earnings</t>
  </si>
  <si>
    <t>Activity 5</t>
  </si>
  <si>
    <t>cost</t>
  </si>
  <si>
    <t>AD</t>
  </si>
  <si>
    <t>NBV</t>
  </si>
  <si>
    <t>Proceeds</t>
  </si>
  <si>
    <t>gain on disposal</t>
  </si>
  <si>
    <t>dr - SPL gain on sale</t>
  </si>
  <si>
    <t>cr - PPE cost</t>
  </si>
  <si>
    <t>cr - AD</t>
  </si>
  <si>
    <t>being elimination of IC transfer of NCA at a gain at the point of transfer</t>
  </si>
  <si>
    <t>actual depreciatin charged</t>
  </si>
  <si>
    <t>Equivalent historical depreciation charged</t>
  </si>
  <si>
    <t>Excess derpr'n charges</t>
  </si>
  <si>
    <t>NCI share of excess depr charge</t>
  </si>
  <si>
    <t>&lt;&lt;&lt;reducing the cost back to £100</t>
  </si>
  <si>
    <t>dr  -PPE AD</t>
  </si>
  <si>
    <t>cr - SPL depr charge</t>
  </si>
  <si>
    <t>being adustment to depreciation charge for the post-transfer period</t>
  </si>
  <si>
    <t>6/102</t>
  </si>
  <si>
    <t>being NCI share of adjustment to depr'n charge</t>
  </si>
  <si>
    <t>dr - NCI SPL</t>
  </si>
  <si>
    <t>If an asset is transferred at a loss.</t>
  </si>
  <si>
    <t>no adjustment is required</t>
  </si>
  <si>
    <t>WSE27.3</t>
  </si>
  <si>
    <t>WSE27.4</t>
  </si>
  <si>
    <t>WSE27.5</t>
  </si>
  <si>
    <t>Trust Group</t>
  </si>
  <si>
    <t>markup</t>
  </si>
  <si>
    <t>unrealised</t>
  </si>
  <si>
    <t>Dr - SPL revenue</t>
  </si>
  <si>
    <t>cr - SPL COS</t>
  </si>
  <si>
    <t>being elimination of intercompnay sales and purchases</t>
  </si>
  <si>
    <t>being eliminations of IC unrealised profit in inventories</t>
  </si>
  <si>
    <t>being netting off of accouts payable as Hite has not paid Trust as at YE</t>
  </si>
  <si>
    <t>sub to parent</t>
  </si>
  <si>
    <t>sold machinery</t>
  </si>
  <si>
    <t>FV</t>
  </si>
  <si>
    <t>gain on sale</t>
  </si>
  <si>
    <t>dr - gain on sale</t>
  </si>
  <si>
    <t>not paid for £45k</t>
  </si>
  <si>
    <t>dr - machinery cost</t>
  </si>
  <si>
    <t>being elimination of IC transfer of non-current asset at a gain</t>
  </si>
  <si>
    <t>dr - SFP - NCI</t>
  </si>
  <si>
    <t>dr  -SPL NCI</t>
  </si>
  <si>
    <t>being NCI shares of elimination of IC gain on disposal</t>
  </si>
  <si>
    <t>Post Transfer period</t>
  </si>
  <si>
    <t>Actual depr charged</t>
  </si>
  <si>
    <t>DR PPE - accumulated depreceiation</t>
  </si>
  <si>
    <t>CR SPL - depreciation charge</t>
  </si>
  <si>
    <t>being adjustment to depreciation charge</t>
  </si>
  <si>
    <t>Locke Group</t>
  </si>
  <si>
    <t>admin</t>
  </si>
  <si>
    <t>dist</t>
  </si>
  <si>
    <t>GP</t>
  </si>
  <si>
    <t>Rev</t>
  </si>
  <si>
    <t>E+L</t>
  </si>
  <si>
    <t>L</t>
  </si>
  <si>
    <t>CL</t>
  </si>
  <si>
    <t>NCL</t>
  </si>
  <si>
    <t>E</t>
  </si>
  <si>
    <t>SP</t>
  </si>
  <si>
    <t>A</t>
  </si>
  <si>
    <t>Cash</t>
  </si>
  <si>
    <t>inventory</t>
  </si>
  <si>
    <t>investment in sub</t>
  </si>
  <si>
    <t>PPE</t>
  </si>
  <si>
    <t>Step 1:  add FS together</t>
  </si>
  <si>
    <t>Step 2:  eliminate investment in subsidiary, recognise NCI and gw</t>
  </si>
  <si>
    <t>Investment in Ritchie</t>
  </si>
  <si>
    <t>dr - SP</t>
  </si>
  <si>
    <t>dr - GW</t>
  </si>
  <si>
    <t>dr - gw</t>
  </si>
  <si>
    <t>cr - investment in sub</t>
  </si>
  <si>
    <t>being elimination of invest …..</t>
  </si>
  <si>
    <t>n/a</t>
  </si>
  <si>
    <t>YE</t>
  </si>
  <si>
    <t>Dividend</t>
  </si>
  <si>
    <t>acq date</t>
  </si>
  <si>
    <t>NCI shareq</t>
  </si>
  <si>
    <t>being alloaction of historic profits to NCI</t>
  </si>
  <si>
    <t>Step 6:  IC balances</t>
  </si>
  <si>
    <t>Dividend paid</t>
  </si>
  <si>
    <t xml:space="preserve">Group share of dividend </t>
  </si>
  <si>
    <t>NCI share of dividend</t>
  </si>
  <si>
    <t>being allocation of CY profits</t>
  </si>
  <si>
    <t>Step 3:  impairment of gw</t>
  </si>
  <si>
    <t>Step 4:  Allocate historic gains/losses</t>
  </si>
  <si>
    <t>Step 5:  Allocate CY profits</t>
  </si>
  <si>
    <t>AR balance</t>
  </si>
  <si>
    <t>bank</t>
  </si>
  <si>
    <t>journal which has to happen</t>
  </si>
  <si>
    <t>being receipt of asset in transit</t>
  </si>
  <si>
    <t>being netting off of IC receivable</t>
  </si>
  <si>
    <t>Inventory</t>
  </si>
  <si>
    <t>Inventories</t>
  </si>
  <si>
    <t>unrealised profits</t>
  </si>
  <si>
    <t>being elimination of IC sales and purchases</t>
  </si>
  <si>
    <t>being elimination of unrealised profit in inventories</t>
  </si>
  <si>
    <t>Dr - SFP NCI</t>
  </si>
  <si>
    <t>cr - SPL NCI</t>
  </si>
  <si>
    <t>dr - finance inceom</t>
  </si>
  <si>
    <t>being elimination of IC dividends</t>
  </si>
  <si>
    <t>Final step</t>
  </si>
  <si>
    <t>dr to RE</t>
  </si>
  <si>
    <t>Stowmarket Group</t>
  </si>
  <si>
    <t>LT debt</t>
  </si>
  <si>
    <t>RVS</t>
  </si>
  <si>
    <t>IC AR</t>
  </si>
  <si>
    <t>IC AP</t>
  </si>
  <si>
    <t>Investments</t>
  </si>
  <si>
    <t>Step 1:  add the FS together</t>
  </si>
  <si>
    <t>Step 2:  eliminate the investment in sub, identify NCI, recognise gw</t>
  </si>
  <si>
    <t>Investmetn in Ipswich</t>
  </si>
  <si>
    <t>being elimination…</t>
  </si>
  <si>
    <t>Step 3: impairment of gw</t>
  </si>
  <si>
    <t>Step 4:  allocation of historic gains/losses</t>
  </si>
  <si>
    <t>dividend</t>
  </si>
  <si>
    <t>decrease</t>
  </si>
  <si>
    <t>NCI share of decrease</t>
  </si>
  <si>
    <t>being alloaction of historic losses to NCI</t>
  </si>
  <si>
    <t>property reval - no journals requried</t>
  </si>
  <si>
    <t>IC current acounts</t>
  </si>
  <si>
    <t>record asset in transit and net off intercompany balances</t>
  </si>
  <si>
    <t>dr - EVS</t>
  </si>
  <si>
    <t>NCI share of revaluation surplus</t>
  </si>
  <si>
    <t>dr - Stowmarket Current account</t>
  </si>
  <si>
    <t>cr - Ipswich 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</si>
</sst>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3" fontId="1" fillId="0" borderId="0" xfId="0" applyNumberFormat="1" applyFont="1" applyFill="1"/>
    <xf numFmtId="0" fontId="3" fillId="0" borderId="0" xfId="0" applyFont="1"/>
    <xf numFmtId="0" fontId="1" fillId="0" borderId="0" xfId="0" applyFont="1" applyAlignment="1"/>
    <xf numFmtId="0" fontId="4" fillId="0" borderId="0" xfId="0" applyFont="1"/>
    <xf numFmtId="3" fontId="1" fillId="0" borderId="1" xfId="0" applyNumberFormat="1" applyFont="1" applyBorder="1"/>
    <xf numFmtId="0" fontId="1" fillId="0" borderId="0" xfId="0" quotePrefix="1" applyFont="1"/>
    <xf numFmtId="10" fontId="1" fillId="0" borderId="0" xfId="0" applyNumberFormat="1" applyFont="1"/>
    <xf numFmtId="0" fontId="1" fillId="0" borderId="0" xfId="0" applyFont="1" applyAlignment="1">
      <alignment horizontal="centerContinuous"/>
    </xf>
    <xf numFmtId="0" fontId="1" fillId="2" borderId="0" xfId="0" applyFont="1" applyFill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7</xdr:col>
      <xdr:colOff>1</xdr:colOff>
      <xdr:row>14</xdr:row>
      <xdr:rowOff>89668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66AE6-CFD5-04DD-0DE8-88B90A06C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9" y="974912"/>
          <a:ext cx="3630706" cy="1344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3E18-F51C-4227-8D6B-79484E0A53C7}">
  <dimension ref="B2:C6"/>
  <sheetViews>
    <sheetView tabSelected="1" workbookViewId="0">
      <selection activeCell="F10" sqref="F10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38</v>
      </c>
      <c r="C2" s="2" t="s">
        <v>39</v>
      </c>
    </row>
    <row r="3" spans="2:3" x14ac:dyDescent="0.25">
      <c r="C3" s="2" t="s">
        <v>40</v>
      </c>
    </row>
    <row r="4" spans="2:3" x14ac:dyDescent="0.25">
      <c r="C4" s="2" t="s">
        <v>170</v>
      </c>
    </row>
    <row r="5" spans="2:3" x14ac:dyDescent="0.25">
      <c r="C5" s="2" t="s">
        <v>171</v>
      </c>
    </row>
    <row r="6" spans="2:3" x14ac:dyDescent="0.25">
      <c r="C6" s="2" t="s">
        <v>172</v>
      </c>
    </row>
  </sheetData>
  <hyperlinks>
    <hyperlink ref="B2" location="'Module 27'!A1" display="Module 27" xr:uid="{37B327E4-680C-4DCE-8C2B-E9A2D3B9EA92}"/>
    <hyperlink ref="C2" location="WSE27.1!A1" display="WSE27.1" xr:uid="{34352E93-159B-4296-BFB7-D4DDB2D777F6}"/>
    <hyperlink ref="C3" location="WSE27.2!A1" display="WSE27.2" xr:uid="{80A42B64-B25F-4BD3-A65E-97263400AE54}"/>
    <hyperlink ref="C4" location="WSE27.3!A1" display="WSE27.3" xr:uid="{A68DC5B4-DDF1-4062-826E-57991B604099}"/>
    <hyperlink ref="C5" location="WSE27.4!A1" display="WSE27.4" xr:uid="{E85E3204-2178-4E9C-9F8C-D824B106C9A5}"/>
    <hyperlink ref="C6" location="WSE27.5!A1" display="WSE27.5" xr:uid="{1D05BFBB-182E-4BAF-90A1-8D31ECD0EEE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37E7-C999-4393-B756-C47537317CBB}">
  <dimension ref="A1:G253"/>
  <sheetViews>
    <sheetView topLeftCell="A192" zoomScale="190" zoomScaleNormal="190" workbookViewId="0">
      <selection activeCell="B213" sqref="B213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1</v>
      </c>
    </row>
    <row r="4" spans="1:2" x14ac:dyDescent="0.2">
      <c r="B4" s="1" t="s">
        <v>2</v>
      </c>
    </row>
    <row r="18" spans="2:6" x14ac:dyDescent="0.2">
      <c r="B18" s="1" t="s">
        <v>3</v>
      </c>
    </row>
    <row r="19" spans="2:6" x14ac:dyDescent="0.2">
      <c r="B19" s="1" t="s">
        <v>4</v>
      </c>
    </row>
    <row r="20" spans="2:6" x14ac:dyDescent="0.2">
      <c r="B20" s="1" t="s">
        <v>5</v>
      </c>
    </row>
    <row r="23" spans="2:6" x14ac:dyDescent="0.2">
      <c r="B23" s="1" t="s">
        <v>6</v>
      </c>
    </row>
    <row r="24" spans="2:6" x14ac:dyDescent="0.2">
      <c r="B24" s="1" t="s">
        <v>7</v>
      </c>
    </row>
    <row r="25" spans="2:6" x14ac:dyDescent="0.2">
      <c r="B25" s="1" t="s">
        <v>9</v>
      </c>
      <c r="E25" s="1">
        <v>9</v>
      </c>
    </row>
    <row r="26" spans="2:6" x14ac:dyDescent="0.2">
      <c r="C26" s="1" t="s">
        <v>8</v>
      </c>
      <c r="F26" s="1">
        <v>9</v>
      </c>
    </row>
    <row r="27" spans="2:6" x14ac:dyDescent="0.2">
      <c r="B27" s="1" t="s">
        <v>10</v>
      </c>
    </row>
    <row r="29" spans="2:6" x14ac:dyDescent="0.2">
      <c r="B29" s="1" t="s">
        <v>11</v>
      </c>
      <c r="E29" s="1">
        <v>16</v>
      </c>
    </row>
    <row r="30" spans="2:6" x14ac:dyDescent="0.2">
      <c r="C30" s="1" t="s">
        <v>12</v>
      </c>
      <c r="F30" s="1">
        <v>16</v>
      </c>
    </row>
    <row r="31" spans="2:6" x14ac:dyDescent="0.2">
      <c r="B31" s="1" t="s">
        <v>13</v>
      </c>
    </row>
    <row r="34" spans="2:4" x14ac:dyDescent="0.2">
      <c r="B34" s="1" t="s">
        <v>14</v>
      </c>
    </row>
    <row r="36" spans="2:4" s="3" customFormat="1" x14ac:dyDescent="0.2">
      <c r="C36" s="3" t="s">
        <v>15</v>
      </c>
      <c r="D36" s="3" t="s">
        <v>16</v>
      </c>
    </row>
    <row r="37" spans="2:4" x14ac:dyDescent="0.2">
      <c r="B37" s="1" t="s">
        <v>21</v>
      </c>
      <c r="C37" s="1">
        <v>8</v>
      </c>
      <c r="D37" s="1">
        <v>0</v>
      </c>
    </row>
    <row r="38" spans="2:4" x14ac:dyDescent="0.2">
      <c r="B38" s="1" t="s">
        <v>20</v>
      </c>
      <c r="C38" s="1">
        <v>120</v>
      </c>
      <c r="D38" s="1">
        <v>75</v>
      </c>
    </row>
    <row r="39" spans="2:4" x14ac:dyDescent="0.2">
      <c r="B39" s="1" t="s">
        <v>19</v>
      </c>
      <c r="C39" s="1">
        <v>-20</v>
      </c>
      <c r="D39" s="1">
        <v>-15</v>
      </c>
    </row>
    <row r="40" spans="2:4" x14ac:dyDescent="0.2">
      <c r="B40" s="1" t="s">
        <v>18</v>
      </c>
      <c r="C40" s="1">
        <f>SUM(C38:C39)</f>
        <v>100</v>
      </c>
      <c r="D40" s="1">
        <f>SUM(D38:D39)</f>
        <v>60</v>
      </c>
    </row>
    <row r="42" spans="2:4" x14ac:dyDescent="0.2">
      <c r="B42" s="1" t="s">
        <v>17</v>
      </c>
      <c r="C42" s="1">
        <v>30</v>
      </c>
      <c r="D42" s="1">
        <v>10</v>
      </c>
    </row>
    <row r="44" spans="2:4" x14ac:dyDescent="0.2">
      <c r="B44" s="1" t="s">
        <v>24</v>
      </c>
    </row>
    <row r="46" spans="2:4" x14ac:dyDescent="0.2">
      <c r="B46" s="1" t="s">
        <v>18</v>
      </c>
      <c r="C46" s="1">
        <f>+D40</f>
        <v>60</v>
      </c>
    </row>
    <row r="47" spans="2:4" x14ac:dyDescent="0.2">
      <c r="B47" s="1" t="s">
        <v>25</v>
      </c>
      <c r="C47" s="4">
        <v>0.2</v>
      </c>
    </row>
    <row r="48" spans="2:4" x14ac:dyDescent="0.2">
      <c r="C48" s="5">
        <f>+C46*C47</f>
        <v>12</v>
      </c>
    </row>
    <row r="49" spans="2:6" x14ac:dyDescent="0.2">
      <c r="C49" s="5"/>
    </row>
    <row r="50" spans="2:6" x14ac:dyDescent="0.2">
      <c r="B50" s="1" t="s">
        <v>26</v>
      </c>
      <c r="C50" s="5"/>
      <c r="E50" s="5">
        <f>+C48</f>
        <v>12</v>
      </c>
    </row>
    <row r="51" spans="2:6" x14ac:dyDescent="0.2">
      <c r="C51" s="5" t="s">
        <v>27</v>
      </c>
      <c r="F51" s="5">
        <f>+C48</f>
        <v>12</v>
      </c>
    </row>
    <row r="52" spans="2:6" x14ac:dyDescent="0.2">
      <c r="B52" s="1" t="s">
        <v>28</v>
      </c>
      <c r="C52" s="5"/>
      <c r="F52" s="5"/>
    </row>
    <row r="53" spans="2:6" x14ac:dyDescent="0.2">
      <c r="C53" s="5"/>
      <c r="F53" s="5"/>
    </row>
    <row r="54" spans="2:6" x14ac:dyDescent="0.2">
      <c r="B54" s="1" t="s">
        <v>29</v>
      </c>
      <c r="C54" s="4"/>
    </row>
    <row r="56" spans="2:6" x14ac:dyDescent="0.2">
      <c r="B56" s="1" t="s">
        <v>22</v>
      </c>
      <c r="C56" s="1">
        <v>10</v>
      </c>
    </row>
    <row r="57" spans="2:6" x14ac:dyDescent="0.2">
      <c r="B57" s="1" t="s">
        <v>23</v>
      </c>
      <c r="C57" s="1">
        <f>0.2*C56</f>
        <v>2</v>
      </c>
    </row>
    <row r="58" spans="2:6" x14ac:dyDescent="0.2">
      <c r="B58" s="1" t="s">
        <v>32</v>
      </c>
      <c r="C58" s="1">
        <f>+C56-C57</f>
        <v>8</v>
      </c>
    </row>
    <row r="60" spans="2:6" x14ac:dyDescent="0.2">
      <c r="B60" s="1" t="s">
        <v>35</v>
      </c>
    </row>
    <row r="61" spans="2:6" x14ac:dyDescent="0.2">
      <c r="B61" s="1" t="s">
        <v>36</v>
      </c>
      <c r="E61" s="1">
        <f>+C58</f>
        <v>8</v>
      </c>
    </row>
    <row r="62" spans="2:6" x14ac:dyDescent="0.2">
      <c r="B62" s="1" t="s">
        <v>26</v>
      </c>
      <c r="E62" s="1">
        <f>+C57</f>
        <v>2</v>
      </c>
    </row>
    <row r="63" spans="2:6" x14ac:dyDescent="0.2">
      <c r="C63" s="1" t="s">
        <v>31</v>
      </c>
      <c r="F63" s="1">
        <f>+C56</f>
        <v>10</v>
      </c>
    </row>
    <row r="64" spans="2:6" x14ac:dyDescent="0.2">
      <c r="B64" s="1" t="s">
        <v>37</v>
      </c>
    </row>
    <row r="67" spans="2:6" x14ac:dyDescent="0.2">
      <c r="B67" s="1" t="s">
        <v>30</v>
      </c>
      <c r="E67" s="1">
        <f>+C58</f>
        <v>8</v>
      </c>
    </row>
    <row r="68" spans="2:6" x14ac:dyDescent="0.2">
      <c r="C68" s="1" t="s">
        <v>31</v>
      </c>
      <c r="F68" s="1">
        <f>+C58</f>
        <v>8</v>
      </c>
    </row>
    <row r="69" spans="2:6" x14ac:dyDescent="0.2">
      <c r="B69" s="1" t="s">
        <v>33</v>
      </c>
    </row>
    <row r="71" spans="2:6" x14ac:dyDescent="0.2">
      <c r="B71" s="1" t="s">
        <v>26</v>
      </c>
      <c r="E71" s="1">
        <f>+C57</f>
        <v>2</v>
      </c>
    </row>
    <row r="72" spans="2:6" x14ac:dyDescent="0.2">
      <c r="C72" s="1" t="s">
        <v>31</v>
      </c>
      <c r="F72" s="1">
        <f>+E71</f>
        <v>2</v>
      </c>
    </row>
    <row r="73" spans="2:6" x14ac:dyDescent="0.2">
      <c r="B73" s="1" t="s">
        <v>34</v>
      </c>
    </row>
    <row r="77" spans="2:6" x14ac:dyDescent="0.2">
      <c r="B77" s="8" t="s">
        <v>88</v>
      </c>
    </row>
    <row r="79" spans="2:6" x14ac:dyDescent="0.2">
      <c r="B79" s="9" t="s">
        <v>92</v>
      </c>
    </row>
    <row r="80" spans="2:6" x14ac:dyDescent="0.2">
      <c r="B80" s="1" t="s">
        <v>89</v>
      </c>
      <c r="E80" s="1" t="s">
        <v>91</v>
      </c>
    </row>
    <row r="81" spans="2:6" x14ac:dyDescent="0.2">
      <c r="C81" s="1" t="s">
        <v>90</v>
      </c>
      <c r="F81" s="1" t="s">
        <v>91</v>
      </c>
    </row>
    <row r="82" spans="2:6" x14ac:dyDescent="0.2">
      <c r="B82" s="1" t="s">
        <v>93</v>
      </c>
    </row>
    <row r="84" spans="2:6" x14ac:dyDescent="0.2">
      <c r="B84" s="1" t="s">
        <v>94</v>
      </c>
    </row>
    <row r="85" spans="2:6" x14ac:dyDescent="0.2">
      <c r="B85" s="1" t="s">
        <v>95</v>
      </c>
    </row>
    <row r="88" spans="2:6" x14ac:dyDescent="0.2">
      <c r="B88" s="1" t="s">
        <v>96</v>
      </c>
    </row>
    <row r="89" spans="2:6" x14ac:dyDescent="0.2">
      <c r="B89" s="1" t="s">
        <v>97</v>
      </c>
    </row>
    <row r="90" spans="2:6" x14ac:dyDescent="0.2">
      <c r="B90" s="1" t="s">
        <v>98</v>
      </c>
    </row>
    <row r="92" spans="2:6" x14ac:dyDescent="0.2">
      <c r="B92" s="10" t="s">
        <v>94</v>
      </c>
    </row>
    <row r="93" spans="2:6" x14ac:dyDescent="0.2">
      <c r="B93" s="10" t="s">
        <v>102</v>
      </c>
    </row>
    <row r="94" spans="2:6" x14ac:dyDescent="0.2">
      <c r="B94" s="10" t="s">
        <v>99</v>
      </c>
    </row>
    <row r="95" spans="2:6" x14ac:dyDescent="0.2">
      <c r="B95" s="10" t="s">
        <v>100</v>
      </c>
    </row>
    <row r="96" spans="2:6" x14ac:dyDescent="0.2">
      <c r="B96" s="10" t="s">
        <v>101</v>
      </c>
    </row>
    <row r="101" spans="2:6" x14ac:dyDescent="0.2">
      <c r="B101" s="1" t="s">
        <v>103</v>
      </c>
    </row>
    <row r="103" spans="2:6" x14ac:dyDescent="0.2">
      <c r="B103" s="1" t="s">
        <v>107</v>
      </c>
      <c r="C103" s="1">
        <v>360</v>
      </c>
    </row>
    <row r="104" spans="2:6" x14ac:dyDescent="0.2">
      <c r="B104" s="1" t="s">
        <v>106</v>
      </c>
      <c r="C104" s="1">
        <v>-300</v>
      </c>
    </row>
    <row r="105" spans="2:6" x14ac:dyDescent="0.2">
      <c r="B105" s="1" t="s">
        <v>105</v>
      </c>
      <c r="C105" s="1">
        <f>SUM(C103:C104)</f>
        <v>60</v>
      </c>
    </row>
    <row r="106" spans="2:6" x14ac:dyDescent="0.2">
      <c r="B106" s="1" t="s">
        <v>104</v>
      </c>
      <c r="C106" s="1">
        <f>0.4*C105</f>
        <v>24</v>
      </c>
      <c r="D106" s="1" t="s">
        <v>114</v>
      </c>
    </row>
    <row r="108" spans="2:6" x14ac:dyDescent="0.2">
      <c r="B108" s="1" t="s">
        <v>89</v>
      </c>
      <c r="E108" s="1">
        <f>+C103</f>
        <v>360</v>
      </c>
    </row>
    <row r="109" spans="2:6" x14ac:dyDescent="0.2">
      <c r="C109" s="1" t="s">
        <v>108</v>
      </c>
      <c r="F109" s="1">
        <f>+E108</f>
        <v>360</v>
      </c>
    </row>
    <row r="110" spans="2:6" x14ac:dyDescent="0.2">
      <c r="B110" s="1" t="s">
        <v>109</v>
      </c>
    </row>
    <row r="112" spans="2:6" x14ac:dyDescent="0.2">
      <c r="B112" s="1" t="s">
        <v>112</v>
      </c>
      <c r="E112" s="1">
        <f>+C106</f>
        <v>24</v>
      </c>
    </row>
    <row r="113" spans="2:6" x14ac:dyDescent="0.2">
      <c r="C113" s="1" t="s">
        <v>111</v>
      </c>
      <c r="F113" s="1">
        <f>+E112</f>
        <v>24</v>
      </c>
    </row>
    <row r="114" spans="2:6" x14ac:dyDescent="0.2">
      <c r="B114" s="1" t="s">
        <v>110</v>
      </c>
    </row>
    <row r="117" spans="2:6" x14ac:dyDescent="0.2">
      <c r="B117" s="1" t="s">
        <v>113</v>
      </c>
    </row>
    <row r="120" spans="2:6" x14ac:dyDescent="0.2">
      <c r="B120" s="1" t="s">
        <v>115</v>
      </c>
    </row>
    <row r="122" spans="2:6" x14ac:dyDescent="0.2">
      <c r="C122" s="1">
        <v>200</v>
      </c>
      <c r="D122" s="1">
        <v>0</v>
      </c>
    </row>
    <row r="123" spans="2:6" x14ac:dyDescent="0.2">
      <c r="C123" s="1">
        <f>SUM(C122)</f>
        <v>200</v>
      </c>
      <c r="D123" s="1">
        <f>SUM(D122)</f>
        <v>0</v>
      </c>
    </row>
    <row r="125" spans="2:6" x14ac:dyDescent="0.2">
      <c r="C125" s="1">
        <v>480</v>
      </c>
      <c r="D125" s="1">
        <v>399</v>
      </c>
    </row>
    <row r="126" spans="2:6" x14ac:dyDescent="0.2">
      <c r="C126" s="1">
        <v>184</v>
      </c>
      <c r="D126" s="1">
        <v>490</v>
      </c>
    </row>
    <row r="127" spans="2:6" x14ac:dyDescent="0.2">
      <c r="C127" s="1">
        <f>SUM(C125:C126)</f>
        <v>664</v>
      </c>
      <c r="D127" s="1">
        <f>SUM(D125:D126)</f>
        <v>889</v>
      </c>
    </row>
    <row r="128" spans="2:6" x14ac:dyDescent="0.2">
      <c r="C128" s="1">
        <f>+C123+C127</f>
        <v>864</v>
      </c>
      <c r="D128" s="1">
        <f>+D123+D127</f>
        <v>889</v>
      </c>
    </row>
    <row r="131" spans="3:4" x14ac:dyDescent="0.2">
      <c r="C131" s="1">
        <v>250</v>
      </c>
      <c r="D131" s="1">
        <v>100</v>
      </c>
    </row>
    <row r="132" spans="3:4" x14ac:dyDescent="0.2">
      <c r="C132" s="1">
        <v>554</v>
      </c>
      <c r="D132" s="1">
        <v>735</v>
      </c>
    </row>
    <row r="133" spans="3:4" x14ac:dyDescent="0.2">
      <c r="C133" s="1">
        <f>SUM(C131:C132)</f>
        <v>804</v>
      </c>
      <c r="D133" s="1">
        <f>SUM(D131:D132)</f>
        <v>835</v>
      </c>
    </row>
    <row r="135" spans="3:4" x14ac:dyDescent="0.2">
      <c r="C135" s="1">
        <v>60</v>
      </c>
      <c r="D135" s="1">
        <v>54</v>
      </c>
    </row>
    <row r="136" spans="3:4" x14ac:dyDescent="0.2">
      <c r="C136" s="1">
        <f>SUM(C135)</f>
        <v>60</v>
      </c>
      <c r="D136" s="1">
        <f>SUM(D135)</f>
        <v>54</v>
      </c>
    </row>
    <row r="137" spans="3:4" x14ac:dyDescent="0.2">
      <c r="C137" s="1">
        <f>+C133+C136</f>
        <v>864</v>
      </c>
      <c r="D137" s="1">
        <f>+D133+D136</f>
        <v>889</v>
      </c>
    </row>
    <row r="140" spans="3:4" x14ac:dyDescent="0.2">
      <c r="C140" s="1">
        <v>2956</v>
      </c>
      <c r="D140" s="1">
        <v>1575</v>
      </c>
    </row>
    <row r="141" spans="3:4" x14ac:dyDescent="0.2">
      <c r="C141" s="1">
        <v>-2217</v>
      </c>
      <c r="D141" s="1">
        <v>-925</v>
      </c>
    </row>
    <row r="142" spans="3:4" x14ac:dyDescent="0.2">
      <c r="C142" s="1">
        <f>SUM(C140:C141)</f>
        <v>739</v>
      </c>
      <c r="D142" s="1">
        <f>SUM(D140:D141)</f>
        <v>650</v>
      </c>
    </row>
    <row r="143" spans="3:4" x14ac:dyDescent="0.2">
      <c r="C143" s="1">
        <v>-525</v>
      </c>
      <c r="D143" s="1">
        <v>-246</v>
      </c>
    </row>
    <row r="144" spans="3:4" x14ac:dyDescent="0.2">
      <c r="C144" s="1">
        <f>SUM(C142:C143)</f>
        <v>214</v>
      </c>
      <c r="D144" s="1">
        <f>SUM(D142:D143)</f>
        <v>404</v>
      </c>
    </row>
    <row r="145" spans="2:5" x14ac:dyDescent="0.2">
      <c r="C145" s="1">
        <v>-107</v>
      </c>
      <c r="D145" s="1">
        <v>-202</v>
      </c>
    </row>
    <row r="146" spans="2:5" x14ac:dyDescent="0.2">
      <c r="C146" s="1">
        <f>SUM(C144:C145)</f>
        <v>107</v>
      </c>
      <c r="D146" s="1">
        <f>SUM(D144:D145)</f>
        <v>202</v>
      </c>
    </row>
    <row r="151" spans="2:5" x14ac:dyDescent="0.2">
      <c r="B151" s="1" t="s">
        <v>116</v>
      </c>
      <c r="E151" s="1">
        <f>+C122</f>
        <v>200</v>
      </c>
    </row>
    <row r="152" spans="2:5" x14ac:dyDescent="0.2">
      <c r="B152" s="1" t="s">
        <v>25</v>
      </c>
      <c r="E152" s="1">
        <f>-0.2*E154</f>
        <v>44</v>
      </c>
    </row>
    <row r="153" spans="2:5" x14ac:dyDescent="0.2">
      <c r="B153" s="1" t="s">
        <v>51</v>
      </c>
      <c r="D153" s="1">
        <v>100</v>
      </c>
    </row>
    <row r="154" spans="2:5" x14ac:dyDescent="0.2">
      <c r="B154" s="1" t="s">
        <v>50</v>
      </c>
      <c r="D154" s="1">
        <v>120</v>
      </c>
      <c r="E154" s="1">
        <f>-SUM(D153:D154)</f>
        <v>-220</v>
      </c>
    </row>
    <row r="155" spans="2:5" x14ac:dyDescent="0.2">
      <c r="B155" s="1" t="s">
        <v>79</v>
      </c>
      <c r="E155" s="1">
        <f>SUM(E151:E154)</f>
        <v>24</v>
      </c>
    </row>
    <row r="157" spans="2:5" x14ac:dyDescent="0.2">
      <c r="B157" s="1" t="s">
        <v>59</v>
      </c>
      <c r="D157" s="1">
        <f>+D153</f>
        <v>100</v>
      </c>
    </row>
    <row r="158" spans="2:5" x14ac:dyDescent="0.2">
      <c r="B158" s="1" t="s">
        <v>117</v>
      </c>
      <c r="D158" s="1">
        <f>+D154</f>
        <v>120</v>
      </c>
    </row>
    <row r="159" spans="2:5" x14ac:dyDescent="0.2">
      <c r="B159" s="1" t="s">
        <v>118</v>
      </c>
      <c r="D159" s="1">
        <f>+E155</f>
        <v>24</v>
      </c>
    </row>
    <row r="160" spans="2:5" x14ac:dyDescent="0.2">
      <c r="C160" s="1" t="s">
        <v>119</v>
      </c>
      <c r="E160" s="1">
        <f>+E151</f>
        <v>200</v>
      </c>
    </row>
    <row r="161" spans="2:6" x14ac:dyDescent="0.2">
      <c r="C161" s="1" t="s">
        <v>120</v>
      </c>
      <c r="E161" s="1">
        <f>+E152</f>
        <v>44</v>
      </c>
    </row>
    <row r="164" spans="2:6" x14ac:dyDescent="0.2">
      <c r="B164" s="1" t="s">
        <v>121</v>
      </c>
      <c r="D164" s="1">
        <v>2</v>
      </c>
    </row>
    <row r="165" spans="2:6" x14ac:dyDescent="0.2">
      <c r="C165" s="1" t="s">
        <v>122</v>
      </c>
      <c r="E165" s="1">
        <f>+D164</f>
        <v>2</v>
      </c>
    </row>
    <row r="169" spans="2:6" x14ac:dyDescent="0.2">
      <c r="B169" s="1" t="s">
        <v>50</v>
      </c>
      <c r="C169" s="6">
        <v>45199</v>
      </c>
      <c r="E169" s="1">
        <v>735</v>
      </c>
    </row>
    <row r="170" spans="2:6" x14ac:dyDescent="0.2">
      <c r="B170" s="1" t="s">
        <v>20</v>
      </c>
      <c r="C170" s="6">
        <v>45199</v>
      </c>
      <c r="E170" s="1">
        <f>-+D146</f>
        <v>-202</v>
      </c>
    </row>
    <row r="171" spans="2:6" x14ac:dyDescent="0.2">
      <c r="B171" s="1" t="s">
        <v>50</v>
      </c>
      <c r="C171" s="6">
        <v>44834</v>
      </c>
      <c r="E171" s="1">
        <f>SUM(E169:E170)</f>
        <v>533</v>
      </c>
    </row>
    <row r="172" spans="2:6" x14ac:dyDescent="0.2">
      <c r="B172" s="1" t="s">
        <v>50</v>
      </c>
      <c r="C172" s="6">
        <v>44470</v>
      </c>
      <c r="E172" s="1">
        <v>120</v>
      </c>
    </row>
    <row r="173" spans="2:6" x14ac:dyDescent="0.2">
      <c r="B173" s="1" t="s">
        <v>123</v>
      </c>
      <c r="E173" s="1">
        <f>+E171+-E172</f>
        <v>413</v>
      </c>
    </row>
    <row r="174" spans="2:6" x14ac:dyDescent="0.2">
      <c r="B174" s="1" t="s">
        <v>25</v>
      </c>
      <c r="E174" s="5">
        <f>0.2*E173</f>
        <v>82.600000000000009</v>
      </c>
      <c r="F174" s="5"/>
    </row>
    <row r="175" spans="2:6" x14ac:dyDescent="0.2">
      <c r="E175" s="5"/>
      <c r="F175" s="5"/>
    </row>
    <row r="176" spans="2:6" x14ac:dyDescent="0.2">
      <c r="B176" s="1" t="s">
        <v>60</v>
      </c>
      <c r="E176" s="5">
        <f>+E174</f>
        <v>82.600000000000009</v>
      </c>
      <c r="F176" s="5"/>
    </row>
    <row r="177" spans="2:6" x14ac:dyDescent="0.2">
      <c r="C177" s="1" t="s">
        <v>124</v>
      </c>
      <c r="E177" s="5"/>
      <c r="F177" s="5">
        <f>+E176</f>
        <v>82.600000000000009</v>
      </c>
    </row>
    <row r="178" spans="2:6" x14ac:dyDescent="0.2">
      <c r="B178" s="1" t="s">
        <v>125</v>
      </c>
      <c r="E178" s="5"/>
      <c r="F178" s="5"/>
    </row>
    <row r="179" spans="2:6" x14ac:dyDescent="0.2">
      <c r="E179" s="5"/>
      <c r="F179" s="5"/>
    </row>
    <row r="180" spans="2:6" x14ac:dyDescent="0.2">
      <c r="B180" s="1" t="s">
        <v>126</v>
      </c>
      <c r="E180" s="5">
        <f>+D146*0.2</f>
        <v>40.400000000000006</v>
      </c>
      <c r="F180" s="5"/>
    </row>
    <row r="181" spans="2:6" x14ac:dyDescent="0.2">
      <c r="E181" s="5"/>
      <c r="F181" s="5"/>
    </row>
    <row r="182" spans="2:6" x14ac:dyDescent="0.2">
      <c r="B182" s="1" t="s">
        <v>26</v>
      </c>
      <c r="E182" s="5">
        <f>E180</f>
        <v>40.400000000000006</v>
      </c>
      <c r="F182" s="5"/>
    </row>
    <row r="183" spans="2:6" x14ac:dyDescent="0.2">
      <c r="C183" s="1" t="s">
        <v>127</v>
      </c>
      <c r="E183" s="5"/>
      <c r="F183" s="5">
        <f>+E182</f>
        <v>40.400000000000006</v>
      </c>
    </row>
    <row r="186" spans="2:6" x14ac:dyDescent="0.2">
      <c r="B186" s="9" t="s">
        <v>128</v>
      </c>
    </row>
    <row r="189" spans="2:6" x14ac:dyDescent="0.2">
      <c r="B189" s="1" t="s">
        <v>107</v>
      </c>
      <c r="E189" s="5">
        <f>320/80*100</f>
        <v>400</v>
      </c>
    </row>
    <row r="190" spans="2:6" x14ac:dyDescent="0.2">
      <c r="B190" s="1" t="s">
        <v>129</v>
      </c>
      <c r="E190" s="5">
        <f>+E189*0.8</f>
        <v>320</v>
      </c>
    </row>
    <row r="191" spans="2:6" x14ac:dyDescent="0.2">
      <c r="B191" s="1" t="s">
        <v>130</v>
      </c>
      <c r="E191" s="5">
        <f>+E189-E190</f>
        <v>80</v>
      </c>
    </row>
    <row r="192" spans="2:6" x14ac:dyDescent="0.2">
      <c r="B192" s="1" t="s">
        <v>104</v>
      </c>
      <c r="D192" s="4">
        <v>0.4</v>
      </c>
      <c r="E192" s="5">
        <f>+D192*E191</f>
        <v>32</v>
      </c>
    </row>
    <row r="193" spans="2:6" x14ac:dyDescent="0.2">
      <c r="B193" s="1" t="s">
        <v>131</v>
      </c>
      <c r="E193" s="5">
        <f>0.2*E192</f>
        <v>6.4</v>
      </c>
    </row>
    <row r="196" spans="2:6" x14ac:dyDescent="0.2">
      <c r="B196" s="1" t="s">
        <v>132</v>
      </c>
      <c r="E196" s="5">
        <f>+E189</f>
        <v>400</v>
      </c>
    </row>
    <row r="197" spans="2:6" x14ac:dyDescent="0.2">
      <c r="C197" s="1" t="s">
        <v>133</v>
      </c>
      <c r="F197" s="5">
        <f>+E196</f>
        <v>400</v>
      </c>
    </row>
    <row r="198" spans="2:6" x14ac:dyDescent="0.2">
      <c r="B198" s="1" t="s">
        <v>134</v>
      </c>
    </row>
    <row r="200" spans="2:6" x14ac:dyDescent="0.2">
      <c r="B200" s="1" t="s">
        <v>112</v>
      </c>
      <c r="E200" s="5">
        <f>+E192</f>
        <v>32</v>
      </c>
    </row>
    <row r="201" spans="2:6" x14ac:dyDescent="0.2">
      <c r="C201" s="1" t="s">
        <v>135</v>
      </c>
      <c r="F201" s="5">
        <f>+E200</f>
        <v>32</v>
      </c>
    </row>
    <row r="202" spans="2:6" x14ac:dyDescent="0.2">
      <c r="B202" s="1" t="s">
        <v>136</v>
      </c>
    </row>
    <row r="204" spans="2:6" x14ac:dyDescent="0.2">
      <c r="B204" s="1" t="s">
        <v>145</v>
      </c>
      <c r="E204" s="5">
        <f>+E193</f>
        <v>6.4</v>
      </c>
    </row>
    <row r="205" spans="2:6" x14ac:dyDescent="0.2">
      <c r="C205" s="1" t="s">
        <v>137</v>
      </c>
      <c r="F205" s="5">
        <f>+E204</f>
        <v>6.4</v>
      </c>
    </row>
    <row r="206" spans="2:6" x14ac:dyDescent="0.2">
      <c r="B206" s="1" t="s">
        <v>138</v>
      </c>
    </row>
    <row r="209" spans="2:7" x14ac:dyDescent="0.2">
      <c r="B209" s="1" t="s">
        <v>139</v>
      </c>
      <c r="F209" s="1">
        <f>+D164</f>
        <v>2</v>
      </c>
      <c r="G209" s="1" t="s">
        <v>77</v>
      </c>
    </row>
    <row r="210" spans="2:7" x14ac:dyDescent="0.2">
      <c r="B210" s="1" t="s">
        <v>140</v>
      </c>
      <c r="F210" s="1">
        <f>+E182</f>
        <v>40.400000000000006</v>
      </c>
      <c r="G210" s="1" t="s">
        <v>77</v>
      </c>
    </row>
    <row r="211" spans="2:7" x14ac:dyDescent="0.2">
      <c r="B211" s="1" t="s">
        <v>141</v>
      </c>
      <c r="F211" s="5">
        <f>+E196</f>
        <v>400</v>
      </c>
      <c r="G211" s="1" t="s">
        <v>77</v>
      </c>
    </row>
    <row r="212" spans="2:7" x14ac:dyDescent="0.2">
      <c r="B212" s="1" t="s">
        <v>141</v>
      </c>
      <c r="F212" s="5">
        <f>+F197</f>
        <v>400</v>
      </c>
      <c r="G212" s="1" t="s">
        <v>78</v>
      </c>
    </row>
    <row r="213" spans="2:7" x14ac:dyDescent="0.2">
      <c r="B213" s="1" t="s">
        <v>142</v>
      </c>
      <c r="F213" s="5">
        <f>+E200</f>
        <v>32</v>
      </c>
      <c r="G213" s="1" t="s">
        <v>77</v>
      </c>
    </row>
    <row r="214" spans="2:7" x14ac:dyDescent="0.2">
      <c r="B214" s="1" t="s">
        <v>143</v>
      </c>
      <c r="F214" s="5">
        <f>+F205</f>
        <v>6.4</v>
      </c>
      <c r="G214" s="1" t="s">
        <v>78</v>
      </c>
    </row>
    <row r="215" spans="2:7" ht="12.75" thickBot="1" x14ac:dyDescent="0.25">
      <c r="B215" s="1" t="s">
        <v>144</v>
      </c>
      <c r="F215" s="11">
        <f>+F209+F210+F213+-F214</f>
        <v>68</v>
      </c>
      <c r="G215" s="1" t="s">
        <v>77</v>
      </c>
    </row>
    <row r="216" spans="2:7" ht="12.75" thickTop="1" x14ac:dyDescent="0.2"/>
    <row r="218" spans="2:7" x14ac:dyDescent="0.2">
      <c r="B218" s="1" t="s">
        <v>60</v>
      </c>
      <c r="E218" s="5">
        <f>+F215</f>
        <v>68</v>
      </c>
    </row>
    <row r="219" spans="2:7" x14ac:dyDescent="0.2">
      <c r="C219" s="1" t="s">
        <v>73</v>
      </c>
      <c r="F219" s="5">
        <f>+E218</f>
        <v>68</v>
      </c>
    </row>
    <row r="220" spans="2:7" x14ac:dyDescent="0.2">
      <c r="B220" s="1" t="s">
        <v>146</v>
      </c>
    </row>
    <row r="223" spans="2:7" x14ac:dyDescent="0.2">
      <c r="B223" s="1" t="s">
        <v>147</v>
      </c>
    </row>
    <row r="225" spans="2:7" x14ac:dyDescent="0.2">
      <c r="B225" s="1" t="s">
        <v>148</v>
      </c>
      <c r="C225" s="6">
        <v>44570</v>
      </c>
      <c r="D225" s="5">
        <v>100</v>
      </c>
    </row>
    <row r="226" spans="2:7" x14ac:dyDescent="0.2">
      <c r="B226" s="1" t="s">
        <v>149</v>
      </c>
      <c r="C226" s="1">
        <f>+YEARFRAC(C225,C227)*12</f>
        <v>18.2</v>
      </c>
      <c r="D226" s="5">
        <f>+C226/120*D225</f>
        <v>15.166666666666668</v>
      </c>
    </row>
    <row r="227" spans="2:7" x14ac:dyDescent="0.2">
      <c r="B227" s="1" t="s">
        <v>150</v>
      </c>
      <c r="C227" s="6">
        <v>45122</v>
      </c>
      <c r="D227" s="5">
        <f>+D225-D226</f>
        <v>84.833333333333329</v>
      </c>
    </row>
    <row r="228" spans="2:7" x14ac:dyDescent="0.2">
      <c r="B228" s="1" t="s">
        <v>151</v>
      </c>
      <c r="D228" s="1">
        <v>153</v>
      </c>
    </row>
    <row r="229" spans="2:7" x14ac:dyDescent="0.2">
      <c r="B229" s="1" t="s">
        <v>152</v>
      </c>
      <c r="D229" s="5">
        <f>+D228-D227</f>
        <v>68.166666666666671</v>
      </c>
    </row>
    <row r="231" spans="2:7" x14ac:dyDescent="0.2">
      <c r="B231" s="1" t="s">
        <v>153</v>
      </c>
      <c r="E231" s="5">
        <f>+D229</f>
        <v>68.166666666666671</v>
      </c>
    </row>
    <row r="232" spans="2:7" x14ac:dyDescent="0.2">
      <c r="C232" s="1" t="s">
        <v>154</v>
      </c>
      <c r="F232" s="5">
        <f>+E231-F233</f>
        <v>53</v>
      </c>
      <c r="G232" s="1" t="s">
        <v>161</v>
      </c>
    </row>
    <row r="233" spans="2:7" x14ac:dyDescent="0.2">
      <c r="C233" s="1" t="s">
        <v>155</v>
      </c>
      <c r="F233" s="5">
        <f>+D226</f>
        <v>15.166666666666668</v>
      </c>
    </row>
    <row r="234" spans="2:7" x14ac:dyDescent="0.2">
      <c r="B234" s="1" t="s">
        <v>156</v>
      </c>
    </row>
    <row r="237" spans="2:7" x14ac:dyDescent="0.2">
      <c r="B237" s="1" t="s">
        <v>157</v>
      </c>
      <c r="C237" s="12" t="s">
        <v>165</v>
      </c>
      <c r="D237" s="1">
        <f>6/102</f>
        <v>5.8823529411764705E-2</v>
      </c>
      <c r="E237" s="5">
        <f>+D237*D228</f>
        <v>9</v>
      </c>
    </row>
    <row r="238" spans="2:7" x14ac:dyDescent="0.2">
      <c r="B238" s="1" t="s">
        <v>158</v>
      </c>
      <c r="E238" s="5">
        <f>6/120*D225</f>
        <v>5</v>
      </c>
    </row>
    <row r="239" spans="2:7" x14ac:dyDescent="0.2">
      <c r="B239" s="1" t="s">
        <v>159</v>
      </c>
      <c r="E239" s="5">
        <f>+E237-E238</f>
        <v>4</v>
      </c>
    </row>
    <row r="240" spans="2:7" x14ac:dyDescent="0.2">
      <c r="B240" s="1" t="s">
        <v>160</v>
      </c>
      <c r="E240" s="5">
        <f>0.2*E239</f>
        <v>0.8</v>
      </c>
    </row>
    <row r="242" spans="2:6" x14ac:dyDescent="0.2">
      <c r="B242" s="1" t="s">
        <v>162</v>
      </c>
      <c r="E242" s="5">
        <f>+E239</f>
        <v>4</v>
      </c>
    </row>
    <row r="243" spans="2:6" x14ac:dyDescent="0.2">
      <c r="C243" s="1" t="s">
        <v>163</v>
      </c>
      <c r="F243" s="5">
        <f>+E242</f>
        <v>4</v>
      </c>
    </row>
    <row r="244" spans="2:6" x14ac:dyDescent="0.2">
      <c r="B244" s="1" t="s">
        <v>164</v>
      </c>
    </row>
    <row r="246" spans="2:6" x14ac:dyDescent="0.2">
      <c r="B246" s="1" t="s">
        <v>167</v>
      </c>
      <c r="E246" s="5">
        <f>+E240</f>
        <v>0.8</v>
      </c>
    </row>
    <row r="247" spans="2:6" x14ac:dyDescent="0.2">
      <c r="C247" s="1" t="s">
        <v>124</v>
      </c>
      <c r="F247" s="5">
        <f>+E246</f>
        <v>0.8</v>
      </c>
    </row>
    <row r="248" spans="2:6" x14ac:dyDescent="0.2">
      <c r="B248" s="1" t="s">
        <v>166</v>
      </c>
    </row>
    <row r="252" spans="2:6" x14ac:dyDescent="0.2">
      <c r="B252" s="1" t="s">
        <v>168</v>
      </c>
    </row>
    <row r="253" spans="2:6" x14ac:dyDescent="0.2">
      <c r="B253" s="1" t="s">
        <v>169</v>
      </c>
    </row>
  </sheetData>
  <hyperlinks>
    <hyperlink ref="A1" location="Main!A1" display="Main" xr:uid="{4788C09C-954D-4B5F-A27F-048BBBDD360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F898-9A64-4F5A-B153-8A95AD0D6FFA}">
  <dimension ref="A1:E13"/>
  <sheetViews>
    <sheetView zoomScale="190" zoomScaleNormal="190" workbookViewId="0">
      <selection activeCell="B10" sqref="B10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41</v>
      </c>
    </row>
    <row r="4" spans="1:5" x14ac:dyDescent="0.2">
      <c r="C4" s="1" t="s">
        <v>42</v>
      </c>
      <c r="D4" s="1" t="s">
        <v>43</v>
      </c>
    </row>
    <row r="5" spans="1:5" x14ac:dyDescent="0.2">
      <c r="B5" s="1" t="s">
        <v>44</v>
      </c>
      <c r="C5" s="1">
        <v>56</v>
      </c>
    </row>
    <row r="7" spans="1:5" x14ac:dyDescent="0.2">
      <c r="B7" s="1" t="s">
        <v>45</v>
      </c>
      <c r="D7" s="1">
        <v>41</v>
      </c>
    </row>
    <row r="10" spans="1:5" x14ac:dyDescent="0.2">
      <c r="B10" s="1" t="s">
        <v>85</v>
      </c>
      <c r="D10" s="1">
        <f>+E12</f>
        <v>56</v>
      </c>
    </row>
    <row r="11" spans="1:5" x14ac:dyDescent="0.2">
      <c r="B11" s="1" t="s">
        <v>84</v>
      </c>
      <c r="D11" s="1">
        <v>41</v>
      </c>
    </row>
    <row r="12" spans="1:5" x14ac:dyDescent="0.2">
      <c r="C12" s="1" t="s">
        <v>8</v>
      </c>
      <c r="E12" s="1">
        <v>56</v>
      </c>
    </row>
    <row r="13" spans="1:5" x14ac:dyDescent="0.2">
      <c r="B13" s="1" t="s">
        <v>46</v>
      </c>
    </row>
  </sheetData>
  <hyperlinks>
    <hyperlink ref="A1" location="Main!A1" display="Main" xr:uid="{B52101F7-BAFB-44DE-B6DE-6BE5D12FD9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D5B-7754-4E12-820C-661255ED1882}">
  <dimension ref="A1:H82"/>
  <sheetViews>
    <sheetView topLeftCell="A51" zoomScale="175" zoomScaleNormal="175" workbookViewId="0">
      <selection activeCell="D66" sqref="D66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47</v>
      </c>
      <c r="C2" s="1" t="s">
        <v>87</v>
      </c>
    </row>
    <row r="4" spans="1:8" x14ac:dyDescent="0.2">
      <c r="C4" s="1" t="s">
        <v>47</v>
      </c>
      <c r="D4" s="1" t="s">
        <v>48</v>
      </c>
      <c r="E4" s="1" t="s">
        <v>54</v>
      </c>
      <c r="F4" s="1" t="s">
        <v>77</v>
      </c>
      <c r="G4" s="1" t="s">
        <v>78</v>
      </c>
    </row>
    <row r="5" spans="1:8" x14ac:dyDescent="0.2">
      <c r="B5" s="1" t="s">
        <v>79</v>
      </c>
      <c r="C5" s="5"/>
      <c r="D5" s="5"/>
      <c r="E5" s="5"/>
      <c r="F5" s="7">
        <f>+E37</f>
        <v>7500</v>
      </c>
      <c r="G5" s="7"/>
      <c r="H5" s="5">
        <f>+E5+F5-G5</f>
        <v>7500</v>
      </c>
    </row>
    <row r="6" spans="1:8" x14ac:dyDescent="0.2">
      <c r="B6" s="1" t="s">
        <v>53</v>
      </c>
      <c r="C6" s="5">
        <v>75000</v>
      </c>
      <c r="D6" s="5">
        <v>0</v>
      </c>
      <c r="E6" s="5">
        <f>+C6+D6</f>
        <v>75000</v>
      </c>
      <c r="F6" s="7"/>
      <c r="G6" s="7">
        <v>75000</v>
      </c>
      <c r="H6" s="5">
        <f>+E6+F6-G6</f>
        <v>0</v>
      </c>
    </row>
    <row r="7" spans="1:8" x14ac:dyDescent="0.2">
      <c r="B7" s="1" t="s">
        <v>52</v>
      </c>
      <c r="C7" s="5">
        <v>397000</v>
      </c>
      <c r="D7" s="5">
        <v>243000</v>
      </c>
      <c r="E7" s="5">
        <f t="shared" ref="E7:E22" si="0">+C7+D7</f>
        <v>640000</v>
      </c>
      <c r="F7" s="7"/>
      <c r="G7" s="7"/>
      <c r="H7" s="5">
        <f>+E7+F7-G7</f>
        <v>640000</v>
      </c>
    </row>
    <row r="8" spans="1:8" x14ac:dyDescent="0.2">
      <c r="C8" s="5">
        <f>SUM(C6:C7)</f>
        <v>472000</v>
      </c>
      <c r="D8" s="5">
        <f>SUM(D6:D7)</f>
        <v>243000</v>
      </c>
      <c r="E8" s="5">
        <f>SUM(E6:E7)</f>
        <v>715000</v>
      </c>
      <c r="F8" s="7"/>
      <c r="G8" s="7"/>
      <c r="H8" s="5">
        <f>SUM(H5:H7)</f>
        <v>647500</v>
      </c>
    </row>
    <row r="9" spans="1:8" x14ac:dyDescent="0.2">
      <c r="C9" s="5"/>
      <c r="D9" s="5"/>
      <c r="E9" s="5">
        <f t="shared" si="0"/>
        <v>0</v>
      </c>
      <c r="F9" s="7"/>
      <c r="G9" s="7"/>
      <c r="H9" s="5"/>
    </row>
    <row r="10" spans="1:8" x14ac:dyDescent="0.2">
      <c r="B10" s="1" t="s">
        <v>51</v>
      </c>
      <c r="C10" s="5">
        <v>100000</v>
      </c>
      <c r="D10" s="5">
        <v>50000</v>
      </c>
      <c r="E10" s="5">
        <f t="shared" si="0"/>
        <v>150000</v>
      </c>
      <c r="F10" s="7">
        <v>50000</v>
      </c>
      <c r="G10" s="7"/>
      <c r="H10" s="5">
        <f t="shared" ref="H10:H16" si="1">+E10-F10+G10</f>
        <v>100000</v>
      </c>
    </row>
    <row r="11" spans="1:8" x14ac:dyDescent="0.2">
      <c r="B11" s="1" t="s">
        <v>50</v>
      </c>
      <c r="C11" s="5">
        <v>372000</v>
      </c>
      <c r="D11" s="5">
        <v>193000</v>
      </c>
      <c r="E11" s="5">
        <f t="shared" si="0"/>
        <v>565000</v>
      </c>
      <c r="F11" s="7">
        <v>40000</v>
      </c>
      <c r="G11" s="7">
        <v>10000</v>
      </c>
      <c r="H11" s="5">
        <f t="shared" si="1"/>
        <v>535000</v>
      </c>
    </row>
    <row r="12" spans="1:8" x14ac:dyDescent="0.2">
      <c r="C12" s="5"/>
      <c r="D12" s="5"/>
      <c r="E12" s="5"/>
      <c r="F12" s="7">
        <f>+E54</f>
        <v>32750</v>
      </c>
      <c r="G12" s="7"/>
      <c r="H12" s="5">
        <f t="shared" si="1"/>
        <v>-32750</v>
      </c>
    </row>
    <row r="13" spans="1:8" x14ac:dyDescent="0.2">
      <c r="C13" s="5"/>
      <c r="D13" s="5"/>
      <c r="E13" s="5"/>
      <c r="F13" s="7">
        <f>+E80</f>
        <v>15500</v>
      </c>
      <c r="G13" s="7"/>
      <c r="H13" s="5">
        <f t="shared" si="1"/>
        <v>-15500</v>
      </c>
    </row>
    <row r="14" spans="1:8" x14ac:dyDescent="0.2">
      <c r="B14" s="1" t="s">
        <v>25</v>
      </c>
      <c r="C14" s="5"/>
      <c r="D14" s="5"/>
      <c r="E14" s="5"/>
      <c r="F14" s="7">
        <v>2500</v>
      </c>
      <c r="G14" s="7">
        <f>+F39</f>
        <v>22500</v>
      </c>
      <c r="H14" s="5">
        <f t="shared" si="1"/>
        <v>20000</v>
      </c>
    </row>
    <row r="15" spans="1:8" x14ac:dyDescent="0.2">
      <c r="C15" s="5"/>
      <c r="D15" s="5"/>
      <c r="E15" s="5"/>
      <c r="F15" s="7"/>
      <c r="G15" s="7">
        <f>+F55</f>
        <v>32750</v>
      </c>
      <c r="H15" s="5">
        <f t="shared" si="1"/>
        <v>32750</v>
      </c>
    </row>
    <row r="16" spans="1:8" x14ac:dyDescent="0.2">
      <c r="C16" s="5"/>
      <c r="D16" s="5"/>
      <c r="E16" s="5"/>
      <c r="F16" s="7"/>
      <c r="G16" s="7">
        <f>+F60</f>
        <v>8000</v>
      </c>
      <c r="H16" s="5">
        <f t="shared" si="1"/>
        <v>8000</v>
      </c>
    </row>
    <row r="17" spans="2:8" x14ac:dyDescent="0.2">
      <c r="C17" s="5">
        <f>SUM(C10:C11)</f>
        <v>472000</v>
      </c>
      <c r="D17" s="5">
        <f>SUM(D10:D11)</f>
        <v>243000</v>
      </c>
      <c r="E17" s="5">
        <f t="shared" si="0"/>
        <v>715000</v>
      </c>
      <c r="F17" s="7"/>
      <c r="G17" s="7"/>
      <c r="H17" s="5">
        <f>SUM(H10:H16)</f>
        <v>647500</v>
      </c>
    </row>
    <row r="18" spans="2:8" x14ac:dyDescent="0.2">
      <c r="C18" s="5"/>
      <c r="D18" s="5"/>
      <c r="E18" s="5"/>
      <c r="F18" s="7"/>
      <c r="G18" s="7"/>
      <c r="H18" s="5"/>
    </row>
    <row r="19" spans="2:8" x14ac:dyDescent="0.2">
      <c r="B19" s="1" t="s">
        <v>21</v>
      </c>
      <c r="C19" s="5">
        <v>7500</v>
      </c>
      <c r="D19" s="5">
        <v>0</v>
      </c>
      <c r="E19" s="5">
        <f t="shared" si="0"/>
        <v>7500</v>
      </c>
      <c r="F19" s="7"/>
      <c r="G19" s="7"/>
      <c r="H19" s="5">
        <f>+E19-F19+G19</f>
        <v>7500</v>
      </c>
    </row>
    <row r="20" spans="2:8" x14ac:dyDescent="0.2">
      <c r="B20" s="1" t="s">
        <v>20</v>
      </c>
      <c r="C20" s="5">
        <v>100000</v>
      </c>
      <c r="D20" s="5">
        <v>44000</v>
      </c>
      <c r="E20" s="5">
        <f t="shared" si="0"/>
        <v>144000</v>
      </c>
      <c r="F20" s="7"/>
      <c r="G20" s="7"/>
      <c r="H20" s="5">
        <f>+E20-F20+G20</f>
        <v>144000</v>
      </c>
    </row>
    <row r="21" spans="2:8" x14ac:dyDescent="0.2">
      <c r="B21" s="1" t="s">
        <v>49</v>
      </c>
      <c r="C21" s="5">
        <v>-24000</v>
      </c>
      <c r="D21" s="5">
        <v>-12000</v>
      </c>
      <c r="E21" s="5">
        <f t="shared" si="0"/>
        <v>-36000</v>
      </c>
      <c r="F21" s="5"/>
      <c r="G21" s="5"/>
      <c r="H21" s="5">
        <f>+E21-F21+G21</f>
        <v>-36000</v>
      </c>
    </row>
    <row r="22" spans="2:8" x14ac:dyDescent="0.2">
      <c r="B22" s="1" t="s">
        <v>18</v>
      </c>
      <c r="C22" s="5">
        <f>SUM(C20:C21)</f>
        <v>76000</v>
      </c>
      <c r="D22" s="5">
        <f>SUM(D20:D21)</f>
        <v>32000</v>
      </c>
      <c r="E22" s="5">
        <f t="shared" si="0"/>
        <v>108000</v>
      </c>
      <c r="F22" s="5"/>
      <c r="G22" s="5"/>
      <c r="H22" s="5">
        <f>SUM(H20:H21)</f>
        <v>108000</v>
      </c>
    </row>
    <row r="23" spans="2:8" x14ac:dyDescent="0.2">
      <c r="C23" s="5"/>
      <c r="D23" s="5"/>
      <c r="E23" s="5"/>
      <c r="F23" s="5"/>
      <c r="G23" s="5"/>
      <c r="H23" s="5"/>
    </row>
    <row r="24" spans="2:8" x14ac:dyDescent="0.2">
      <c r="C24" s="5"/>
      <c r="D24" s="5"/>
      <c r="E24" s="5"/>
      <c r="F24" s="5">
        <f>SUM(F5:F23)</f>
        <v>148250</v>
      </c>
      <c r="G24" s="5">
        <f>SUM(G5:G23)</f>
        <v>148250</v>
      </c>
      <c r="H24" s="5"/>
    </row>
    <row r="26" spans="2:8" x14ac:dyDescent="0.2">
      <c r="B26" s="1" t="s">
        <v>55</v>
      </c>
    </row>
    <row r="27" spans="2:8" x14ac:dyDescent="0.2">
      <c r="B27" s="1" t="s">
        <v>56</v>
      </c>
    </row>
    <row r="29" spans="2:8" x14ac:dyDescent="0.2">
      <c r="B29" s="1" t="s">
        <v>57</v>
      </c>
      <c r="D29" s="5"/>
      <c r="E29" s="5">
        <f>+C6</f>
        <v>75000</v>
      </c>
    </row>
    <row r="30" spans="2:8" x14ac:dyDescent="0.2">
      <c r="B30" s="1" t="s">
        <v>25</v>
      </c>
      <c r="D30" s="5"/>
      <c r="E30" s="5">
        <f>-E32*0.25</f>
        <v>22500</v>
      </c>
    </row>
    <row r="31" spans="2:8" x14ac:dyDescent="0.2">
      <c r="B31" s="1" t="s">
        <v>51</v>
      </c>
      <c r="D31" s="5">
        <f>+D10</f>
        <v>50000</v>
      </c>
      <c r="E31" s="5"/>
    </row>
    <row r="32" spans="2:8" x14ac:dyDescent="0.2">
      <c r="B32" s="1" t="s">
        <v>50</v>
      </c>
      <c r="D32" s="5">
        <v>40000</v>
      </c>
      <c r="E32" s="5">
        <f>-SUM(D31:D32)</f>
        <v>-90000</v>
      </c>
    </row>
    <row r="33" spans="2:6" x14ac:dyDescent="0.2">
      <c r="B33" s="1" t="s">
        <v>58</v>
      </c>
      <c r="D33" s="5"/>
      <c r="E33" s="5">
        <f>SUM(E29:E32)</f>
        <v>7500</v>
      </c>
    </row>
    <row r="35" spans="2:6" x14ac:dyDescent="0.2">
      <c r="B35" s="1" t="s">
        <v>59</v>
      </c>
      <c r="E35" s="5">
        <f>+D31</f>
        <v>50000</v>
      </c>
    </row>
    <row r="36" spans="2:6" x14ac:dyDescent="0.2">
      <c r="B36" s="1" t="s">
        <v>60</v>
      </c>
      <c r="E36" s="5">
        <f>+D32</f>
        <v>40000</v>
      </c>
    </row>
    <row r="37" spans="2:6" x14ac:dyDescent="0.2">
      <c r="B37" s="1" t="s">
        <v>61</v>
      </c>
      <c r="E37" s="5">
        <f>+E33</f>
        <v>7500</v>
      </c>
    </row>
    <row r="38" spans="2:6" x14ac:dyDescent="0.2">
      <c r="C38" s="1" t="s">
        <v>62</v>
      </c>
      <c r="F38" s="5">
        <f>+E29</f>
        <v>75000</v>
      </c>
    </row>
    <row r="39" spans="2:6" x14ac:dyDescent="0.2">
      <c r="C39" s="1" t="s">
        <v>63</v>
      </c>
      <c r="F39" s="5">
        <f>+E30</f>
        <v>22500</v>
      </c>
    </row>
    <row r="40" spans="2:6" x14ac:dyDescent="0.2">
      <c r="B40" s="1" t="s">
        <v>64</v>
      </c>
    </row>
    <row r="42" spans="2:6" x14ac:dyDescent="0.2">
      <c r="B42" s="1" t="s">
        <v>74</v>
      </c>
    </row>
    <row r="43" spans="2:6" x14ac:dyDescent="0.2">
      <c r="B43" s="1" t="s">
        <v>65</v>
      </c>
    </row>
    <row r="45" spans="2:6" x14ac:dyDescent="0.2">
      <c r="B45" s="1" t="s">
        <v>66</v>
      </c>
    </row>
    <row r="46" spans="2:6" x14ac:dyDescent="0.2">
      <c r="B46" s="1" t="s">
        <v>50</v>
      </c>
      <c r="C46" s="6">
        <v>45473</v>
      </c>
      <c r="D46" s="5">
        <f>+D11</f>
        <v>193000</v>
      </c>
    </row>
    <row r="47" spans="2:6" x14ac:dyDescent="0.2">
      <c r="B47" s="1" t="s">
        <v>18</v>
      </c>
      <c r="C47" s="6">
        <v>45473</v>
      </c>
      <c r="D47" s="5">
        <f>-D22</f>
        <v>-32000</v>
      </c>
    </row>
    <row r="48" spans="2:6" x14ac:dyDescent="0.2">
      <c r="B48" s="1" t="s">
        <v>86</v>
      </c>
      <c r="C48" s="6">
        <v>45473</v>
      </c>
      <c r="D48" s="5">
        <v>10000</v>
      </c>
    </row>
    <row r="49" spans="2:6" x14ac:dyDescent="0.2">
      <c r="B49" s="1" t="s">
        <v>50</v>
      </c>
      <c r="C49" s="6">
        <v>45107</v>
      </c>
      <c r="D49" s="5">
        <f>SUM(D46:D48)</f>
        <v>171000</v>
      </c>
    </row>
    <row r="50" spans="2:6" x14ac:dyDescent="0.2">
      <c r="B50" s="1" t="s">
        <v>50</v>
      </c>
      <c r="C50" s="6">
        <v>44378</v>
      </c>
      <c r="D50" s="1">
        <v>40000</v>
      </c>
    </row>
    <row r="51" spans="2:6" x14ac:dyDescent="0.2">
      <c r="B51" s="1" t="s">
        <v>67</v>
      </c>
      <c r="D51" s="5">
        <f>+D49-D50</f>
        <v>131000</v>
      </c>
      <c r="E51" s="5"/>
      <c r="F51" s="5"/>
    </row>
    <row r="52" spans="2:6" x14ac:dyDescent="0.2">
      <c r="B52" s="1" t="s">
        <v>23</v>
      </c>
      <c r="D52" s="5">
        <f>0.25*D51</f>
        <v>32750</v>
      </c>
      <c r="E52" s="5"/>
      <c r="F52" s="5"/>
    </row>
    <row r="53" spans="2:6" x14ac:dyDescent="0.2">
      <c r="D53" s="5"/>
      <c r="E53" s="5"/>
      <c r="F53" s="5"/>
    </row>
    <row r="54" spans="2:6" x14ac:dyDescent="0.2">
      <c r="B54" s="1" t="s">
        <v>68</v>
      </c>
      <c r="D54" s="5"/>
      <c r="E54" s="5">
        <f>+D52</f>
        <v>32750</v>
      </c>
      <c r="F54" s="5"/>
    </row>
    <row r="55" spans="2:6" x14ac:dyDescent="0.2">
      <c r="C55" s="1" t="s">
        <v>69</v>
      </c>
      <c r="D55" s="5"/>
      <c r="E55" s="5"/>
      <c r="F55" s="5">
        <f>+E54</f>
        <v>32750</v>
      </c>
    </row>
    <row r="56" spans="2:6" x14ac:dyDescent="0.2">
      <c r="B56" s="1" t="s">
        <v>70</v>
      </c>
    </row>
    <row r="58" spans="2:6" x14ac:dyDescent="0.2">
      <c r="B58" s="1" t="s">
        <v>75</v>
      </c>
    </row>
    <row r="59" spans="2:6" x14ac:dyDescent="0.2">
      <c r="B59" s="1" t="s">
        <v>71</v>
      </c>
      <c r="E59" s="1">
        <f>+D22*0.25</f>
        <v>8000</v>
      </c>
    </row>
    <row r="60" spans="2:6" x14ac:dyDescent="0.2">
      <c r="C60" s="1" t="s">
        <v>27</v>
      </c>
      <c r="F60" s="1">
        <f>+E59</f>
        <v>8000</v>
      </c>
    </row>
    <row r="61" spans="2:6" x14ac:dyDescent="0.2">
      <c r="B61" s="1" t="s">
        <v>72</v>
      </c>
    </row>
    <row r="63" spans="2:6" x14ac:dyDescent="0.2">
      <c r="B63" s="1" t="s">
        <v>29</v>
      </c>
      <c r="C63" s="4"/>
    </row>
    <row r="65" spans="2:6" x14ac:dyDescent="0.2">
      <c r="B65" s="1" t="s">
        <v>76</v>
      </c>
      <c r="C65" s="1">
        <v>10000</v>
      </c>
    </row>
    <row r="66" spans="2:6" x14ac:dyDescent="0.2">
      <c r="B66" s="1" t="s">
        <v>23</v>
      </c>
      <c r="C66" s="1">
        <f>0.25*C65</f>
        <v>2500</v>
      </c>
    </row>
    <row r="67" spans="2:6" x14ac:dyDescent="0.2">
      <c r="B67" s="1" t="s">
        <v>32</v>
      </c>
      <c r="C67" s="1">
        <f>+C65-C66</f>
        <v>7500</v>
      </c>
    </row>
    <row r="70" spans="2:6" x14ac:dyDescent="0.2">
      <c r="B70" s="1" t="s">
        <v>35</v>
      </c>
    </row>
    <row r="71" spans="2:6" x14ac:dyDescent="0.2">
      <c r="B71" s="1" t="s">
        <v>36</v>
      </c>
      <c r="E71" s="1">
        <f>+C67</f>
        <v>7500</v>
      </c>
    </row>
    <row r="72" spans="2:6" x14ac:dyDescent="0.2">
      <c r="B72" s="1" t="s">
        <v>26</v>
      </c>
      <c r="E72" s="1">
        <f>+C66</f>
        <v>2500</v>
      </c>
    </row>
    <row r="73" spans="2:6" x14ac:dyDescent="0.2">
      <c r="C73" s="1" t="s">
        <v>31</v>
      </c>
      <c r="F73" s="1">
        <f>+C65</f>
        <v>10000</v>
      </c>
    </row>
    <row r="74" spans="2:6" x14ac:dyDescent="0.2">
      <c r="B74" s="1" t="s">
        <v>37</v>
      </c>
    </row>
    <row r="77" spans="2:6" x14ac:dyDescent="0.2">
      <c r="B77" s="1" t="s">
        <v>80</v>
      </c>
    </row>
    <row r="79" spans="2:6" x14ac:dyDescent="0.2">
      <c r="B79" s="1" t="s">
        <v>81</v>
      </c>
    </row>
    <row r="80" spans="2:6" x14ac:dyDescent="0.2">
      <c r="B80" s="1" t="s">
        <v>82</v>
      </c>
      <c r="E80" s="5">
        <f>+E59+E71</f>
        <v>15500</v>
      </c>
    </row>
    <row r="81" spans="2:6" x14ac:dyDescent="0.2">
      <c r="C81" s="1" t="s">
        <v>73</v>
      </c>
      <c r="F81" s="5">
        <f>+E80</f>
        <v>15500</v>
      </c>
    </row>
    <row r="82" spans="2:6" x14ac:dyDescent="0.2">
      <c r="B82" s="1" t="s">
        <v>83</v>
      </c>
    </row>
  </sheetData>
  <hyperlinks>
    <hyperlink ref="A1" location="Main!A1" display="Main" xr:uid="{9420E6F4-B5FC-4B85-951C-59E07A43084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04FF-91A3-4212-8162-170B5A13C659}">
  <dimension ref="A1:F51"/>
  <sheetViews>
    <sheetView zoomScale="160" zoomScaleNormal="160" workbookViewId="0">
      <selection activeCell="B11" sqref="B11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173</v>
      </c>
    </row>
    <row r="4" spans="1:6" x14ac:dyDescent="0.2">
      <c r="B4" s="1" t="s">
        <v>107</v>
      </c>
      <c r="C4" s="5">
        <v>1250</v>
      </c>
    </row>
    <row r="5" spans="1:6" x14ac:dyDescent="0.2">
      <c r="B5" s="1" t="s">
        <v>129</v>
      </c>
      <c r="C5" s="5">
        <v>892.85714285714289</v>
      </c>
    </row>
    <row r="6" spans="1:6" x14ac:dyDescent="0.2">
      <c r="B6" s="1" t="s">
        <v>174</v>
      </c>
      <c r="C6" s="5">
        <f>+C4-C5</f>
        <v>357.14285714285711</v>
      </c>
    </row>
    <row r="7" spans="1:6" x14ac:dyDescent="0.2">
      <c r="B7" s="1" t="s">
        <v>175</v>
      </c>
      <c r="C7" s="5">
        <f>0.6*C6</f>
        <v>214.28571428571425</v>
      </c>
    </row>
    <row r="9" spans="1:6" x14ac:dyDescent="0.2">
      <c r="B9" s="1" t="s">
        <v>176</v>
      </c>
      <c r="E9" s="5">
        <f>+C4</f>
        <v>1250</v>
      </c>
    </row>
    <row r="10" spans="1:6" x14ac:dyDescent="0.2">
      <c r="C10" s="1" t="s">
        <v>177</v>
      </c>
      <c r="F10" s="5">
        <f>+E9</f>
        <v>1250</v>
      </c>
    </row>
    <row r="11" spans="1:6" x14ac:dyDescent="0.2">
      <c r="B11" s="1" t="s">
        <v>178</v>
      </c>
    </row>
    <row r="13" spans="1:6" x14ac:dyDescent="0.2">
      <c r="B13" s="1" t="s">
        <v>112</v>
      </c>
      <c r="E13" s="5">
        <f>+C7</f>
        <v>214.28571428571425</v>
      </c>
    </row>
    <row r="14" spans="1:6" x14ac:dyDescent="0.2">
      <c r="C14" s="1" t="s">
        <v>111</v>
      </c>
      <c r="F14" s="5">
        <f>+E13</f>
        <v>214.28571428571425</v>
      </c>
    </row>
    <row r="15" spans="1:6" x14ac:dyDescent="0.2">
      <c r="B15" s="1" t="s">
        <v>179</v>
      </c>
    </row>
    <row r="17" spans="2:6" x14ac:dyDescent="0.2">
      <c r="B17" s="1" t="s">
        <v>186</v>
      </c>
    </row>
    <row r="18" spans="2:6" x14ac:dyDescent="0.2">
      <c r="B18" s="1" t="s">
        <v>45</v>
      </c>
      <c r="C18" s="1">
        <v>45</v>
      </c>
    </row>
    <row r="20" spans="2:6" x14ac:dyDescent="0.2">
      <c r="B20" s="1" t="s">
        <v>84</v>
      </c>
      <c r="E20" s="1">
        <f>+C18</f>
        <v>45</v>
      </c>
    </row>
    <row r="21" spans="2:6" x14ac:dyDescent="0.2">
      <c r="C21" s="1" t="s">
        <v>8</v>
      </c>
      <c r="F21" s="1">
        <f>+E20</f>
        <v>45</v>
      </c>
    </row>
    <row r="22" spans="2:6" x14ac:dyDescent="0.2">
      <c r="B22" s="1" t="s">
        <v>180</v>
      </c>
    </row>
    <row r="25" spans="2:6" x14ac:dyDescent="0.2">
      <c r="B25" s="1" t="s">
        <v>181</v>
      </c>
    </row>
    <row r="26" spans="2:6" x14ac:dyDescent="0.2">
      <c r="B26" s="1" t="s">
        <v>182</v>
      </c>
      <c r="F26" s="1">
        <f>6*12</f>
        <v>72</v>
      </c>
    </row>
    <row r="27" spans="2:6" x14ac:dyDescent="0.2">
      <c r="B27" s="1" t="s">
        <v>148</v>
      </c>
      <c r="C27" s="1">
        <v>1400</v>
      </c>
    </row>
    <row r="28" spans="2:6" x14ac:dyDescent="0.2">
      <c r="B28" s="1" t="s">
        <v>149</v>
      </c>
      <c r="C28" s="1">
        <f>4/10*C27</f>
        <v>560</v>
      </c>
    </row>
    <row r="29" spans="2:6" x14ac:dyDescent="0.2">
      <c r="B29" s="1" t="s">
        <v>150</v>
      </c>
      <c r="C29" s="1">
        <f>+C27-C28</f>
        <v>840</v>
      </c>
    </row>
    <row r="30" spans="2:6" x14ac:dyDescent="0.2">
      <c r="B30" s="1" t="s">
        <v>183</v>
      </c>
      <c r="C30" s="1">
        <v>900</v>
      </c>
    </row>
    <row r="31" spans="2:6" x14ac:dyDescent="0.2">
      <c r="B31" s="1" t="s">
        <v>184</v>
      </c>
      <c r="C31" s="1">
        <f>+C30-C29</f>
        <v>60</v>
      </c>
    </row>
    <row r="32" spans="2:6" x14ac:dyDescent="0.2">
      <c r="B32" s="1" t="s">
        <v>25</v>
      </c>
      <c r="C32" s="1">
        <f>0.25*C31</f>
        <v>15</v>
      </c>
    </row>
    <row r="35" spans="2:6" x14ac:dyDescent="0.2">
      <c r="B35" s="1" t="s">
        <v>185</v>
      </c>
      <c r="E35" s="1">
        <f>+C31</f>
        <v>60</v>
      </c>
    </row>
    <row r="36" spans="2:6" x14ac:dyDescent="0.2">
      <c r="B36" s="1" t="s">
        <v>187</v>
      </c>
      <c r="E36" s="1">
        <f>+F37-E35</f>
        <v>500</v>
      </c>
    </row>
    <row r="37" spans="2:6" x14ac:dyDescent="0.2">
      <c r="C37" s="1" t="s">
        <v>155</v>
      </c>
      <c r="F37" s="1">
        <f>+C28</f>
        <v>560</v>
      </c>
    </row>
    <row r="38" spans="2:6" x14ac:dyDescent="0.2">
      <c r="B38" s="1" t="s">
        <v>188</v>
      </c>
    </row>
    <row r="40" spans="2:6" x14ac:dyDescent="0.2">
      <c r="B40" s="1" t="s">
        <v>189</v>
      </c>
      <c r="E40" s="1">
        <f>+C32</f>
        <v>15</v>
      </c>
    </row>
    <row r="41" spans="2:6" x14ac:dyDescent="0.2">
      <c r="C41" s="1" t="s">
        <v>190</v>
      </c>
      <c r="F41" s="1">
        <f>+E40</f>
        <v>15</v>
      </c>
    </row>
    <row r="42" spans="2:6" x14ac:dyDescent="0.2">
      <c r="B42" s="1" t="s">
        <v>191</v>
      </c>
    </row>
    <row r="45" spans="2:6" x14ac:dyDescent="0.2">
      <c r="B45" s="1" t="s">
        <v>192</v>
      </c>
      <c r="E45" s="5">
        <v>87.5</v>
      </c>
      <c r="F45" s="5"/>
    </row>
    <row r="46" spans="2:6" x14ac:dyDescent="0.2">
      <c r="B46" s="1" t="s">
        <v>193</v>
      </c>
      <c r="E46" s="5">
        <v>81.666666666666671</v>
      </c>
      <c r="F46" s="5"/>
    </row>
    <row r="47" spans="2:6" x14ac:dyDescent="0.2">
      <c r="E47" s="5">
        <v>-5.8333333333333286</v>
      </c>
      <c r="F47" s="5"/>
    </row>
    <row r="48" spans="2:6" x14ac:dyDescent="0.2">
      <c r="E48" s="5"/>
      <c r="F48" s="5"/>
    </row>
    <row r="49" spans="2:6" x14ac:dyDescent="0.2">
      <c r="B49" s="1" t="s">
        <v>194</v>
      </c>
      <c r="E49" s="5">
        <f>-E47</f>
        <v>5.8333333333333286</v>
      </c>
      <c r="F49" s="5"/>
    </row>
    <row r="50" spans="2:6" x14ac:dyDescent="0.2">
      <c r="C50" s="1" t="s">
        <v>195</v>
      </c>
      <c r="E50" s="5"/>
      <c r="F50" s="5">
        <f>+E49</f>
        <v>5.8333333333333286</v>
      </c>
    </row>
    <row r="51" spans="2:6" x14ac:dyDescent="0.2">
      <c r="B51" s="1" t="s">
        <v>196</v>
      </c>
    </row>
  </sheetData>
  <hyperlinks>
    <hyperlink ref="A1" location="Main!A1" display="Main" xr:uid="{DE03C9FA-0706-4480-B43B-597D239378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8255-C870-4B75-A8E8-5BBD18F3E26D}">
  <dimension ref="A1:J138"/>
  <sheetViews>
    <sheetView topLeftCell="A100" zoomScale="160" zoomScaleNormal="160" workbookViewId="0">
      <selection activeCell="A117" sqref="A117:XFD138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197</v>
      </c>
    </row>
    <row r="3" spans="1:5" x14ac:dyDescent="0.2">
      <c r="B3" s="1" t="s">
        <v>222</v>
      </c>
      <c r="C3" s="6">
        <v>43646</v>
      </c>
    </row>
    <row r="5" spans="1:5" x14ac:dyDescent="0.2">
      <c r="B5" s="1" t="s">
        <v>212</v>
      </c>
      <c r="C5" s="5">
        <v>5000</v>
      </c>
      <c r="D5" s="5">
        <v>2000</v>
      </c>
      <c r="E5" s="5">
        <f>+C5+D5</f>
        <v>7000</v>
      </c>
    </row>
    <row r="6" spans="1:5" x14ac:dyDescent="0.2">
      <c r="B6" s="1" t="s">
        <v>211</v>
      </c>
      <c r="C6" s="5">
        <v>1200</v>
      </c>
      <c r="D6" s="5">
        <v>0</v>
      </c>
      <c r="E6" s="5">
        <f>+C6+D6</f>
        <v>1200</v>
      </c>
    </row>
    <row r="7" spans="1:5" x14ac:dyDescent="0.2">
      <c r="C7" s="5">
        <f>SUM(C5:C6)</f>
        <v>6200</v>
      </c>
      <c r="D7" s="5">
        <f>SUM(D5:D6)</f>
        <v>2000</v>
      </c>
      <c r="E7" s="5">
        <f>SUM(E5:E6)</f>
        <v>8200</v>
      </c>
    </row>
    <row r="8" spans="1:5" x14ac:dyDescent="0.2">
      <c r="C8" s="5"/>
      <c r="D8" s="5"/>
      <c r="E8" s="5"/>
    </row>
    <row r="9" spans="1:5" x14ac:dyDescent="0.2">
      <c r="B9" s="1" t="s">
        <v>210</v>
      </c>
      <c r="C9" s="5">
        <v>900</v>
      </c>
      <c r="D9" s="5">
        <v>600</v>
      </c>
      <c r="E9" s="5">
        <f>+C9+D9</f>
        <v>1500</v>
      </c>
    </row>
    <row r="10" spans="1:5" x14ac:dyDescent="0.2">
      <c r="B10" s="1" t="s">
        <v>44</v>
      </c>
      <c r="C10" s="5">
        <v>800</v>
      </c>
      <c r="D10" s="5">
        <v>300</v>
      </c>
      <c r="E10" s="5">
        <f>+C10+D10</f>
        <v>1100</v>
      </c>
    </row>
    <row r="11" spans="1:5" x14ac:dyDescent="0.2">
      <c r="B11" s="1" t="s">
        <v>209</v>
      </c>
      <c r="C11" s="5">
        <v>100</v>
      </c>
      <c r="D11" s="5">
        <v>200</v>
      </c>
      <c r="E11" s="5">
        <f>+C11+D11</f>
        <v>300</v>
      </c>
    </row>
    <row r="12" spans="1:5" x14ac:dyDescent="0.2">
      <c r="C12" s="5">
        <f>SUM(C9:C11)</f>
        <v>1800</v>
      </c>
      <c r="D12" s="5">
        <f>SUM(D9:D11)</f>
        <v>1100</v>
      </c>
      <c r="E12" s="5">
        <f>SUM(E9:E11)</f>
        <v>2900</v>
      </c>
    </row>
    <row r="13" spans="1:5" x14ac:dyDescent="0.2">
      <c r="B13" s="1" t="s">
        <v>208</v>
      </c>
      <c r="C13" s="5">
        <f>+C12+C7</f>
        <v>8000</v>
      </c>
      <c r="D13" s="5">
        <f>+D12+D7</f>
        <v>3100</v>
      </c>
      <c r="E13" s="5">
        <f>+E12+E7</f>
        <v>11100</v>
      </c>
    </row>
    <row r="14" spans="1:5" x14ac:dyDescent="0.2">
      <c r="C14" s="5"/>
      <c r="D14" s="5"/>
      <c r="E14" s="5"/>
    </row>
    <row r="15" spans="1:5" x14ac:dyDescent="0.2">
      <c r="C15" s="5"/>
      <c r="D15" s="5"/>
      <c r="E15" s="5"/>
    </row>
    <row r="16" spans="1:5" x14ac:dyDescent="0.2">
      <c r="B16" s="1" t="s">
        <v>51</v>
      </c>
      <c r="C16" s="5">
        <v>1000</v>
      </c>
      <c r="D16" s="5">
        <v>600</v>
      </c>
      <c r="E16" s="5">
        <f>+C16+D16</f>
        <v>1600</v>
      </c>
    </row>
    <row r="17" spans="2:5" x14ac:dyDescent="0.2">
      <c r="B17" s="1" t="s">
        <v>207</v>
      </c>
      <c r="C17" s="5">
        <v>600</v>
      </c>
      <c r="D17" s="5">
        <v>500</v>
      </c>
      <c r="E17" s="5">
        <f>+C17+D17</f>
        <v>1100</v>
      </c>
    </row>
    <row r="18" spans="2:5" x14ac:dyDescent="0.2">
      <c r="B18" s="1" t="s">
        <v>50</v>
      </c>
      <c r="C18" s="5">
        <v>4900</v>
      </c>
      <c r="D18" s="5">
        <v>700</v>
      </c>
      <c r="E18" s="5">
        <f>+C18+D18</f>
        <v>5600</v>
      </c>
    </row>
    <row r="19" spans="2:5" x14ac:dyDescent="0.2">
      <c r="B19" s="1" t="s">
        <v>206</v>
      </c>
      <c r="C19" s="5">
        <f>SUM(C16:C18)</f>
        <v>6500</v>
      </c>
      <c r="D19" s="5">
        <f>SUM(D16:D18)</f>
        <v>1800</v>
      </c>
      <c r="E19" s="5">
        <f>SUM(E16:E18)</f>
        <v>8300</v>
      </c>
    </row>
    <row r="20" spans="2:5" x14ac:dyDescent="0.2">
      <c r="C20" s="5"/>
      <c r="D20" s="5"/>
      <c r="E20" s="5"/>
    </row>
    <row r="21" spans="2:5" x14ac:dyDescent="0.2">
      <c r="B21" s="1" t="s">
        <v>205</v>
      </c>
      <c r="C21" s="5">
        <v>500</v>
      </c>
      <c r="D21" s="5">
        <v>400</v>
      </c>
      <c r="E21" s="5">
        <f>+C21+D21</f>
        <v>900</v>
      </c>
    </row>
    <row r="22" spans="2:5" x14ac:dyDescent="0.2">
      <c r="B22" s="1" t="s">
        <v>204</v>
      </c>
      <c r="C22" s="5">
        <v>1000</v>
      </c>
      <c r="D22" s="5">
        <v>900</v>
      </c>
      <c r="E22" s="5">
        <f>+C22+D22</f>
        <v>1900</v>
      </c>
    </row>
    <row r="23" spans="2:5" x14ac:dyDescent="0.2">
      <c r="B23" s="1" t="s">
        <v>203</v>
      </c>
      <c r="C23" s="5">
        <f>SUM(C21:C22)</f>
        <v>1500</v>
      </c>
      <c r="D23" s="5">
        <f>SUM(D21:D22)</f>
        <v>1300</v>
      </c>
      <c r="E23" s="5">
        <f>SUM(E21:E22)</f>
        <v>2800</v>
      </c>
    </row>
    <row r="24" spans="2:5" x14ac:dyDescent="0.2">
      <c r="B24" s="1" t="s">
        <v>202</v>
      </c>
      <c r="C24" s="5">
        <f>+C23+C19</f>
        <v>8000</v>
      </c>
      <c r="D24" s="5">
        <f>+D23+D19</f>
        <v>3100</v>
      </c>
      <c r="E24" s="5">
        <f>+E23+E19</f>
        <v>11100</v>
      </c>
    </row>
    <row r="25" spans="2:5" x14ac:dyDescent="0.2">
      <c r="C25" s="5"/>
      <c r="D25" s="5"/>
      <c r="E25" s="5"/>
    </row>
    <row r="26" spans="2:5" x14ac:dyDescent="0.2">
      <c r="C26" s="5"/>
      <c r="D26" s="5"/>
      <c r="E26" s="5"/>
    </row>
    <row r="27" spans="2:5" x14ac:dyDescent="0.2">
      <c r="B27" s="1" t="s">
        <v>201</v>
      </c>
      <c r="C27" s="5">
        <v>5000</v>
      </c>
      <c r="D27" s="5">
        <v>2500</v>
      </c>
      <c r="E27" s="5">
        <f>+C27+D27</f>
        <v>7500</v>
      </c>
    </row>
    <row r="28" spans="2:5" x14ac:dyDescent="0.2">
      <c r="B28" s="1" t="s">
        <v>129</v>
      </c>
      <c r="C28" s="5">
        <v>-3800</v>
      </c>
      <c r="D28" s="5">
        <v>-1700</v>
      </c>
      <c r="E28" s="5">
        <f>+C28+D28</f>
        <v>-5500</v>
      </c>
    </row>
    <row r="29" spans="2:5" x14ac:dyDescent="0.2">
      <c r="B29" s="1" t="s">
        <v>200</v>
      </c>
      <c r="C29" s="5">
        <f>SUM(C27:C28)</f>
        <v>1200</v>
      </c>
      <c r="D29" s="5">
        <f>SUM(D27:D28)</f>
        <v>800</v>
      </c>
      <c r="E29" s="5">
        <f>SUM(E27:E28)</f>
        <v>2000</v>
      </c>
    </row>
    <row r="30" spans="2:5" x14ac:dyDescent="0.2">
      <c r="B30" s="1" t="s">
        <v>199</v>
      </c>
      <c r="C30" s="5">
        <v>-250</v>
      </c>
      <c r="D30" s="5">
        <v>-50</v>
      </c>
      <c r="E30" s="5">
        <f>+C30+D30</f>
        <v>-300</v>
      </c>
    </row>
    <row r="31" spans="2:5" x14ac:dyDescent="0.2">
      <c r="B31" s="1" t="s">
        <v>198</v>
      </c>
      <c r="C31" s="5">
        <v>-200</v>
      </c>
      <c r="D31" s="5">
        <v>-140</v>
      </c>
      <c r="E31" s="5">
        <f>+C31+D31</f>
        <v>-340</v>
      </c>
    </row>
    <row r="32" spans="2:5" x14ac:dyDescent="0.2">
      <c r="B32" s="1" t="s">
        <v>21</v>
      </c>
      <c r="C32" s="5">
        <v>120</v>
      </c>
      <c r="D32" s="5">
        <v>0</v>
      </c>
      <c r="E32" s="5">
        <f>+C32+D32</f>
        <v>120</v>
      </c>
    </row>
    <row r="33" spans="2:5" x14ac:dyDescent="0.2">
      <c r="B33" s="1" t="s">
        <v>20</v>
      </c>
      <c r="C33" s="5">
        <f>SUM(C29:C32)</f>
        <v>870</v>
      </c>
      <c r="D33" s="5">
        <f>SUM(D29:D32)</f>
        <v>610</v>
      </c>
      <c r="E33" s="5">
        <f>SUM(E29:E32)</f>
        <v>1480</v>
      </c>
    </row>
    <row r="34" spans="2:5" x14ac:dyDescent="0.2">
      <c r="B34" s="1" t="s">
        <v>49</v>
      </c>
      <c r="C34" s="5">
        <v>-250</v>
      </c>
      <c r="D34" s="5">
        <v>-200</v>
      </c>
      <c r="E34" s="5">
        <f>+C34+D34</f>
        <v>-450</v>
      </c>
    </row>
    <row r="35" spans="2:5" x14ac:dyDescent="0.2">
      <c r="B35" s="1" t="s">
        <v>18</v>
      </c>
      <c r="C35" s="5">
        <f>SUM(C33:C34)</f>
        <v>620</v>
      </c>
      <c r="D35" s="5">
        <f>SUM(D33:D34)</f>
        <v>410</v>
      </c>
      <c r="E35" s="5">
        <f>SUM(E33:E34)</f>
        <v>1030</v>
      </c>
    </row>
    <row r="38" spans="2:5" x14ac:dyDescent="0.2">
      <c r="B38" s="1" t="s">
        <v>213</v>
      </c>
    </row>
    <row r="40" spans="2:5" x14ac:dyDescent="0.2">
      <c r="B40" s="1" t="s">
        <v>214</v>
      </c>
    </row>
    <row r="42" spans="2:5" x14ac:dyDescent="0.2">
      <c r="B42" s="1" t="s">
        <v>215</v>
      </c>
      <c r="E42" s="5">
        <f>+C6</f>
        <v>1200</v>
      </c>
    </row>
    <row r="43" spans="2:5" x14ac:dyDescent="0.2">
      <c r="B43" s="1" t="s">
        <v>25</v>
      </c>
      <c r="D43" s="1">
        <v>0.4</v>
      </c>
      <c r="E43" s="1">
        <f>-D43*E46</f>
        <v>500</v>
      </c>
    </row>
    <row r="44" spans="2:5" x14ac:dyDescent="0.2">
      <c r="B44" s="1" t="str">
        <f>+B16</f>
        <v>SC</v>
      </c>
      <c r="D44" s="5">
        <f>+D16</f>
        <v>600</v>
      </c>
    </row>
    <row r="45" spans="2:5" x14ac:dyDescent="0.2">
      <c r="B45" s="1" t="str">
        <f>+B17</f>
        <v>SP</v>
      </c>
      <c r="D45" s="5">
        <f>+D17</f>
        <v>500</v>
      </c>
    </row>
    <row r="46" spans="2:5" x14ac:dyDescent="0.2">
      <c r="B46" s="1" t="str">
        <f>+B18</f>
        <v>RE</v>
      </c>
      <c r="D46" s="5">
        <v>150</v>
      </c>
      <c r="E46" s="5">
        <f>-SUM(D44:D46)</f>
        <v>-1250</v>
      </c>
    </row>
    <row r="47" spans="2:5" x14ac:dyDescent="0.2">
      <c r="B47" s="1" t="s">
        <v>79</v>
      </c>
      <c r="E47" s="5">
        <f>SUM(E42:E46)</f>
        <v>450</v>
      </c>
    </row>
    <row r="50" spans="2:6" x14ac:dyDescent="0.2">
      <c r="B50" s="1" t="s">
        <v>59</v>
      </c>
      <c r="E50" s="5">
        <f>+D44</f>
        <v>600</v>
      </c>
    </row>
    <row r="51" spans="2:6" x14ac:dyDescent="0.2">
      <c r="B51" s="1" t="s">
        <v>216</v>
      </c>
      <c r="E51" s="5">
        <f>+D45</f>
        <v>500</v>
      </c>
    </row>
    <row r="52" spans="2:6" x14ac:dyDescent="0.2">
      <c r="B52" s="1" t="s">
        <v>60</v>
      </c>
      <c r="E52" s="5">
        <f>+D46</f>
        <v>150</v>
      </c>
    </row>
    <row r="53" spans="2:6" x14ac:dyDescent="0.2">
      <c r="B53" s="1" t="s">
        <v>218</v>
      </c>
      <c r="E53" s="5">
        <f>+E47</f>
        <v>450</v>
      </c>
    </row>
    <row r="54" spans="2:6" x14ac:dyDescent="0.2">
      <c r="C54" s="1" t="s">
        <v>219</v>
      </c>
      <c r="F54" s="5">
        <f>+E42</f>
        <v>1200</v>
      </c>
    </row>
    <row r="55" spans="2:6" x14ac:dyDescent="0.2">
      <c r="C55" s="1" t="s">
        <v>69</v>
      </c>
      <c r="F55" s="5">
        <f>+E43</f>
        <v>500</v>
      </c>
    </row>
    <row r="56" spans="2:6" x14ac:dyDescent="0.2">
      <c r="B56" s="1" t="s">
        <v>220</v>
      </c>
    </row>
    <row r="58" spans="2:6" x14ac:dyDescent="0.2">
      <c r="B58" s="1" t="s">
        <v>232</v>
      </c>
    </row>
    <row r="59" spans="2:6" x14ac:dyDescent="0.2">
      <c r="B59" s="1" t="s">
        <v>221</v>
      </c>
    </row>
    <row r="61" spans="2:6" x14ac:dyDescent="0.2">
      <c r="B61" s="1" t="s">
        <v>233</v>
      </c>
    </row>
    <row r="63" spans="2:6" x14ac:dyDescent="0.2">
      <c r="B63" s="1" t="s">
        <v>50</v>
      </c>
      <c r="C63" s="6">
        <f>+C3</f>
        <v>43646</v>
      </c>
      <c r="E63" s="5">
        <f>+D18</f>
        <v>700</v>
      </c>
    </row>
    <row r="64" spans="2:6" x14ac:dyDescent="0.2">
      <c r="B64" s="1" t="s">
        <v>126</v>
      </c>
      <c r="C64" s="6">
        <v>43646</v>
      </c>
      <c r="E64" s="5">
        <f>-D35</f>
        <v>-410</v>
      </c>
    </row>
    <row r="65" spans="2:6" x14ac:dyDescent="0.2">
      <c r="B65" s="1" t="s">
        <v>223</v>
      </c>
      <c r="C65" s="6"/>
      <c r="E65" s="5">
        <v>200</v>
      </c>
    </row>
    <row r="66" spans="2:6" x14ac:dyDescent="0.2">
      <c r="B66" s="1" t="s">
        <v>50</v>
      </c>
      <c r="C66" s="6">
        <v>43281</v>
      </c>
      <c r="E66" s="5">
        <f>SUM(E63:E65)</f>
        <v>490</v>
      </c>
    </row>
    <row r="67" spans="2:6" x14ac:dyDescent="0.2">
      <c r="B67" s="1" t="s">
        <v>50</v>
      </c>
      <c r="C67" s="1" t="s">
        <v>224</v>
      </c>
      <c r="E67" s="5">
        <f>+E52</f>
        <v>150</v>
      </c>
    </row>
    <row r="68" spans="2:6" x14ac:dyDescent="0.2">
      <c r="B68" s="1" t="s">
        <v>123</v>
      </c>
      <c r="E68" s="5">
        <f>+E66-E67</f>
        <v>340</v>
      </c>
    </row>
    <row r="69" spans="2:6" x14ac:dyDescent="0.2">
      <c r="B69" s="1" t="s">
        <v>225</v>
      </c>
      <c r="E69" s="1">
        <f>0.4*E68</f>
        <v>136</v>
      </c>
    </row>
    <row r="71" spans="2:6" x14ac:dyDescent="0.2">
      <c r="B71" s="1" t="s">
        <v>60</v>
      </c>
      <c r="E71" s="1">
        <f>+E69</f>
        <v>136</v>
      </c>
    </row>
    <row r="72" spans="2:6" x14ac:dyDescent="0.2">
      <c r="C72" s="1" t="s">
        <v>69</v>
      </c>
      <c r="F72" s="1">
        <f>+E71</f>
        <v>136</v>
      </c>
    </row>
    <row r="73" spans="2:6" x14ac:dyDescent="0.2">
      <c r="B73" s="1" t="s">
        <v>226</v>
      </c>
    </row>
    <row r="75" spans="2:6" x14ac:dyDescent="0.2">
      <c r="B75" s="1" t="s">
        <v>234</v>
      </c>
    </row>
    <row r="77" spans="2:6" x14ac:dyDescent="0.2">
      <c r="B77" s="1" t="s">
        <v>26</v>
      </c>
      <c r="E77" s="1">
        <f>-0.4*E64</f>
        <v>164</v>
      </c>
    </row>
    <row r="78" spans="2:6" x14ac:dyDescent="0.2">
      <c r="C78" s="1" t="s">
        <v>69</v>
      </c>
      <c r="F78" s="1">
        <f>+E77</f>
        <v>164</v>
      </c>
    </row>
    <row r="79" spans="2:6" x14ac:dyDescent="0.2">
      <c r="B79" s="1" t="s">
        <v>231</v>
      </c>
    </row>
    <row r="81" spans="2:7" x14ac:dyDescent="0.2">
      <c r="B81" s="1" t="s">
        <v>227</v>
      </c>
    </row>
    <row r="83" spans="2:7" x14ac:dyDescent="0.2">
      <c r="B83" s="1" t="s">
        <v>235</v>
      </c>
    </row>
    <row r="84" spans="2:7" x14ac:dyDescent="0.2">
      <c r="B84" s="14" t="s">
        <v>44</v>
      </c>
      <c r="C84" s="14"/>
      <c r="D84" s="14" t="s">
        <v>45</v>
      </c>
      <c r="E84" s="14"/>
      <c r="F84" s="14" t="s">
        <v>236</v>
      </c>
      <c r="G84" s="14"/>
    </row>
    <row r="85" spans="2:7" x14ac:dyDescent="0.2">
      <c r="B85" s="1" t="s">
        <v>77</v>
      </c>
      <c r="C85" s="1" t="s">
        <v>78</v>
      </c>
      <c r="D85" s="1" t="s">
        <v>77</v>
      </c>
      <c r="E85" s="1" t="s">
        <v>78</v>
      </c>
      <c r="F85" s="1" t="s">
        <v>77</v>
      </c>
      <c r="G85" s="1" t="s">
        <v>78</v>
      </c>
    </row>
    <row r="86" spans="2:7" x14ac:dyDescent="0.2">
      <c r="B86" s="1">
        <v>50</v>
      </c>
      <c r="E86" s="1">
        <v>40</v>
      </c>
      <c r="G86" s="1">
        <v>10</v>
      </c>
    </row>
    <row r="88" spans="2:7" x14ac:dyDescent="0.2">
      <c r="B88" s="1" t="s">
        <v>237</v>
      </c>
    </row>
    <row r="89" spans="2:7" x14ac:dyDescent="0.2">
      <c r="B89" s="1" t="s">
        <v>9</v>
      </c>
      <c r="E89" s="15">
        <f>+G86</f>
        <v>10</v>
      </c>
    </row>
    <row r="90" spans="2:7" x14ac:dyDescent="0.2">
      <c r="C90" s="1" t="s">
        <v>8</v>
      </c>
      <c r="F90" s="15">
        <f>+E89</f>
        <v>10</v>
      </c>
    </row>
    <row r="91" spans="2:7" x14ac:dyDescent="0.2">
      <c r="B91" s="1" t="s">
        <v>238</v>
      </c>
    </row>
    <row r="93" spans="2:7" x14ac:dyDescent="0.2">
      <c r="B93" s="1" t="s">
        <v>84</v>
      </c>
      <c r="E93" s="15">
        <f>+E86</f>
        <v>40</v>
      </c>
    </row>
    <row r="94" spans="2:7" x14ac:dyDescent="0.2">
      <c r="C94" s="1" t="s">
        <v>8</v>
      </c>
      <c r="F94" s="15">
        <f>+E93</f>
        <v>40</v>
      </c>
    </row>
    <row r="95" spans="2:7" x14ac:dyDescent="0.2">
      <c r="B95" s="1" t="s">
        <v>239</v>
      </c>
    </row>
    <row r="98" spans="2:6" x14ac:dyDescent="0.2">
      <c r="B98" s="1" t="s">
        <v>241</v>
      </c>
    </row>
    <row r="100" spans="2:6" x14ac:dyDescent="0.2">
      <c r="B100" s="1" t="s">
        <v>107</v>
      </c>
      <c r="C100" s="1">
        <v>125</v>
      </c>
      <c r="E100" s="1">
        <v>200</v>
      </c>
    </row>
    <row r="101" spans="2:6" x14ac:dyDescent="0.2">
      <c r="B101" s="1" t="s">
        <v>129</v>
      </c>
      <c r="C101" s="1">
        <v>100</v>
      </c>
      <c r="E101" s="1">
        <v>-160</v>
      </c>
    </row>
    <row r="102" spans="2:6" x14ac:dyDescent="0.2">
      <c r="B102" s="1" t="s">
        <v>242</v>
      </c>
      <c r="E102" s="1">
        <f>SUM(E100:E101)</f>
        <v>40</v>
      </c>
    </row>
    <row r="103" spans="2:6" ht="12.75" thickBot="1" x14ac:dyDescent="0.25">
      <c r="B103" s="1" t="s">
        <v>25</v>
      </c>
      <c r="D103" s="4">
        <v>0.4</v>
      </c>
      <c r="E103" s="16">
        <f>+D103*E102</f>
        <v>16</v>
      </c>
    </row>
    <row r="104" spans="2:6" ht="12.75" thickTop="1" x14ac:dyDescent="0.2"/>
    <row r="105" spans="2:6" x14ac:dyDescent="0.2">
      <c r="B105" s="1" t="s">
        <v>89</v>
      </c>
      <c r="E105" s="1">
        <v>350</v>
      </c>
    </row>
    <row r="106" spans="2:6" x14ac:dyDescent="0.2">
      <c r="C106" s="1" t="s">
        <v>177</v>
      </c>
      <c r="F106" s="1">
        <f>+E105</f>
        <v>350</v>
      </c>
    </row>
    <row r="107" spans="2:6" x14ac:dyDescent="0.2">
      <c r="B107" s="1" t="s">
        <v>243</v>
      </c>
    </row>
    <row r="109" spans="2:6" x14ac:dyDescent="0.2">
      <c r="B109" s="1" t="s">
        <v>108</v>
      </c>
      <c r="E109" s="1">
        <f>+E102</f>
        <v>40</v>
      </c>
    </row>
    <row r="110" spans="2:6" x14ac:dyDescent="0.2">
      <c r="C110" s="1" t="s">
        <v>135</v>
      </c>
      <c r="F110" s="1">
        <f>+E109</f>
        <v>40</v>
      </c>
    </row>
    <row r="111" spans="2:6" x14ac:dyDescent="0.2">
      <c r="B111" s="1" t="s">
        <v>244</v>
      </c>
    </row>
    <row r="113" spans="2:10" x14ac:dyDescent="0.2">
      <c r="B113" s="1" t="s">
        <v>245</v>
      </c>
      <c r="E113" s="1">
        <f>+E103</f>
        <v>16</v>
      </c>
    </row>
    <row r="114" spans="2:10" x14ac:dyDescent="0.2">
      <c r="C114" s="1" t="s">
        <v>246</v>
      </c>
      <c r="F114" s="1">
        <f>+E113</f>
        <v>16</v>
      </c>
    </row>
    <row r="115" spans="2:10" x14ac:dyDescent="0.2">
      <c r="B115" s="1" t="s">
        <v>138</v>
      </c>
    </row>
    <row r="117" spans="2:10" x14ac:dyDescent="0.2">
      <c r="B117" s="1" t="s">
        <v>228</v>
      </c>
    </row>
    <row r="118" spans="2:10" x14ac:dyDescent="0.2">
      <c r="B118" s="1" t="s">
        <v>229</v>
      </c>
      <c r="D118" s="1">
        <v>0.6</v>
      </c>
      <c r="E118" s="5">
        <f>+E65</f>
        <v>200</v>
      </c>
      <c r="F118" s="1">
        <f>+D118*E118</f>
        <v>120</v>
      </c>
    </row>
    <row r="119" spans="2:10" x14ac:dyDescent="0.2">
      <c r="B119" s="1" t="s">
        <v>230</v>
      </c>
      <c r="D119" s="1">
        <v>0.4</v>
      </c>
      <c r="E119" s="5">
        <f>+E65</f>
        <v>200</v>
      </c>
      <c r="F119" s="1">
        <f>+D119*E119</f>
        <v>80</v>
      </c>
    </row>
    <row r="120" spans="2:10" x14ac:dyDescent="0.2">
      <c r="F120" s="1">
        <f>SUM(F118:F119)</f>
        <v>200</v>
      </c>
    </row>
    <row r="121" spans="2:10" x14ac:dyDescent="0.2">
      <c r="D121" s="5"/>
      <c r="E121" s="5"/>
      <c r="F121" s="5"/>
      <c r="J121" s="13"/>
    </row>
    <row r="122" spans="2:10" x14ac:dyDescent="0.2">
      <c r="B122" s="1" t="s">
        <v>247</v>
      </c>
      <c r="D122" s="5"/>
      <c r="E122" s="5">
        <f>+F118</f>
        <v>120</v>
      </c>
      <c r="F122" s="5"/>
      <c r="J122" s="13"/>
    </row>
    <row r="123" spans="2:10" x14ac:dyDescent="0.2">
      <c r="B123" s="1" t="s">
        <v>145</v>
      </c>
      <c r="D123" s="5"/>
      <c r="E123" s="5">
        <f>+F119</f>
        <v>80</v>
      </c>
      <c r="F123" s="5"/>
      <c r="J123" s="13"/>
    </row>
    <row r="124" spans="2:10" x14ac:dyDescent="0.2">
      <c r="C124" s="1" t="s">
        <v>31</v>
      </c>
      <c r="D124" s="5"/>
      <c r="E124" s="5"/>
      <c r="F124" s="5">
        <f>+SUM(E122:E123)</f>
        <v>200</v>
      </c>
      <c r="J124" s="13"/>
    </row>
    <row r="125" spans="2:10" x14ac:dyDescent="0.2">
      <c r="B125" s="1" t="s">
        <v>248</v>
      </c>
      <c r="D125" s="5"/>
      <c r="E125" s="5"/>
      <c r="F125" s="5"/>
      <c r="J125" s="13"/>
    </row>
    <row r="127" spans="2:10" x14ac:dyDescent="0.2">
      <c r="B127" s="1" t="s">
        <v>249</v>
      </c>
    </row>
    <row r="128" spans="2:10" x14ac:dyDescent="0.2">
      <c r="E128" s="1">
        <f>+E77</f>
        <v>164</v>
      </c>
      <c r="F128" s="1" t="s">
        <v>77</v>
      </c>
    </row>
    <row r="129" spans="2:6" x14ac:dyDescent="0.2">
      <c r="E129" s="1">
        <f>+E105</f>
        <v>350</v>
      </c>
      <c r="F129" s="1" t="s">
        <v>77</v>
      </c>
    </row>
    <row r="130" spans="2:6" x14ac:dyDescent="0.2">
      <c r="E130" s="1">
        <f>+F106</f>
        <v>350</v>
      </c>
      <c r="F130" s="1" t="s">
        <v>78</v>
      </c>
    </row>
    <row r="131" spans="2:6" x14ac:dyDescent="0.2">
      <c r="E131" s="1">
        <f>+E109</f>
        <v>40</v>
      </c>
      <c r="F131" s="1" t="s">
        <v>77</v>
      </c>
    </row>
    <row r="132" spans="2:6" x14ac:dyDescent="0.2">
      <c r="E132" s="1">
        <f>+F114</f>
        <v>16</v>
      </c>
      <c r="F132" s="1" t="s">
        <v>78</v>
      </c>
    </row>
    <row r="133" spans="2:6" x14ac:dyDescent="0.2">
      <c r="E133" s="5">
        <f>+E122</f>
        <v>120</v>
      </c>
      <c r="F133" s="1" t="s">
        <v>77</v>
      </c>
    </row>
    <row r="134" spans="2:6" x14ac:dyDescent="0.2">
      <c r="E134" s="5">
        <f>+E128+E129-E130+E131-E132+E133</f>
        <v>308</v>
      </c>
      <c r="F134" s="1" t="s">
        <v>250</v>
      </c>
    </row>
    <row r="136" spans="2:6" x14ac:dyDescent="0.2">
      <c r="B136" s="1" t="s">
        <v>60</v>
      </c>
      <c r="E136" s="5">
        <f>+E134</f>
        <v>308</v>
      </c>
    </row>
    <row r="137" spans="2:6" x14ac:dyDescent="0.2">
      <c r="C137" s="1" t="s">
        <v>73</v>
      </c>
      <c r="F137" s="5">
        <f>+E136</f>
        <v>308</v>
      </c>
    </row>
    <row r="138" spans="2:6" x14ac:dyDescent="0.2">
      <c r="B138" s="1" t="s">
        <v>83</v>
      </c>
    </row>
  </sheetData>
  <hyperlinks>
    <hyperlink ref="A1" location="Main!A1" display="Main" xr:uid="{51C2EA8C-20E9-41C3-B466-09C816682C1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D63B-2C84-4DB5-872B-AD345B1647CD}">
  <dimension ref="A1:J111"/>
  <sheetViews>
    <sheetView zoomScale="175" zoomScaleNormal="175" workbookViewId="0">
      <selection activeCell="C2" sqref="C2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251</v>
      </c>
    </row>
    <row r="3" spans="1:5" x14ac:dyDescent="0.2">
      <c r="B3" s="1" t="s">
        <v>222</v>
      </c>
      <c r="C3" s="6">
        <v>43465</v>
      </c>
    </row>
    <row r="5" spans="1:5" x14ac:dyDescent="0.2">
      <c r="B5" s="1" t="s">
        <v>212</v>
      </c>
      <c r="C5" s="5">
        <v>147000</v>
      </c>
      <c r="D5" s="5">
        <v>82000</v>
      </c>
      <c r="E5" s="5">
        <f>+C5+D5</f>
        <v>229000</v>
      </c>
    </row>
    <row r="6" spans="1:5" x14ac:dyDescent="0.2">
      <c r="B6" s="1" t="s">
        <v>256</v>
      </c>
      <c r="C6" s="5">
        <v>80000</v>
      </c>
      <c r="D6" s="5">
        <v>0</v>
      </c>
      <c r="E6" s="5">
        <f>+C6+D6</f>
        <v>80000</v>
      </c>
    </row>
    <row r="7" spans="1:5" x14ac:dyDescent="0.2">
      <c r="C7" s="5">
        <f>SUM(C5:C6)</f>
        <v>227000</v>
      </c>
      <c r="D7" s="5">
        <f>SUM(D5:D6)</f>
        <v>82000</v>
      </c>
      <c r="E7" s="5">
        <f>SUM(E5:E6)</f>
        <v>309000</v>
      </c>
    </row>
    <row r="8" spans="1:5" x14ac:dyDescent="0.2">
      <c r="C8" s="5"/>
      <c r="D8" s="5"/>
      <c r="E8" s="5"/>
    </row>
    <row r="9" spans="1:5" x14ac:dyDescent="0.2">
      <c r="B9" s="1" t="s">
        <v>240</v>
      </c>
      <c r="C9" s="5">
        <v>73200</v>
      </c>
      <c r="D9" s="5">
        <v>35200</v>
      </c>
      <c r="E9" s="5">
        <f>+C9+D9</f>
        <v>108400</v>
      </c>
    </row>
    <row r="10" spans="1:5" x14ac:dyDescent="0.2">
      <c r="B10" s="1" t="s">
        <v>44</v>
      </c>
      <c r="C10" s="5">
        <v>83700</v>
      </c>
      <c r="D10" s="5">
        <v>46900</v>
      </c>
      <c r="E10" s="5">
        <f>+C10+D10</f>
        <v>130600</v>
      </c>
    </row>
    <row r="11" spans="1:5" x14ac:dyDescent="0.2">
      <c r="B11" s="1" t="s">
        <v>254</v>
      </c>
      <c r="C11" s="5">
        <v>14700</v>
      </c>
      <c r="D11" s="5">
        <v>0</v>
      </c>
      <c r="E11" s="5">
        <f>+C11+D11</f>
        <v>14700</v>
      </c>
    </row>
    <row r="12" spans="1:5" x14ac:dyDescent="0.2">
      <c r="B12" s="1" t="s">
        <v>209</v>
      </c>
      <c r="C12" s="5">
        <v>8000</v>
      </c>
      <c r="D12" s="5">
        <v>25150</v>
      </c>
      <c r="E12" s="5">
        <f>+C12+D12</f>
        <v>33150</v>
      </c>
    </row>
    <row r="13" spans="1:5" x14ac:dyDescent="0.2">
      <c r="C13" s="5">
        <f>SUM(C9:C12)</f>
        <v>179600</v>
      </c>
      <c r="D13" s="5">
        <f>SUM(D9:D12)</f>
        <v>107250</v>
      </c>
      <c r="E13" s="5">
        <f>SUM(E9:E12)</f>
        <v>286850</v>
      </c>
    </row>
    <row r="14" spans="1:5" x14ac:dyDescent="0.2">
      <c r="B14" s="1" t="s">
        <v>208</v>
      </c>
      <c r="C14" s="5">
        <f>+C13+C7</f>
        <v>406600</v>
      </c>
      <c r="D14" s="5">
        <f>+D13+D7</f>
        <v>189250</v>
      </c>
      <c r="E14" s="5">
        <f>+E13+E7</f>
        <v>595850</v>
      </c>
    </row>
    <row r="15" spans="1:5" x14ac:dyDescent="0.2">
      <c r="C15" s="5"/>
      <c r="D15" s="5"/>
      <c r="E15" s="5"/>
    </row>
    <row r="16" spans="1:5" x14ac:dyDescent="0.2">
      <c r="C16" s="5"/>
      <c r="D16" s="5"/>
      <c r="E16" s="5"/>
    </row>
    <row r="17" spans="2:5" x14ac:dyDescent="0.2">
      <c r="B17" s="1" t="s">
        <v>51</v>
      </c>
      <c r="C17" s="5">
        <v>250000</v>
      </c>
      <c r="D17" s="5">
        <v>50000</v>
      </c>
      <c r="E17" s="5">
        <f>+C17+D17</f>
        <v>300000</v>
      </c>
    </row>
    <row r="18" spans="2:5" x14ac:dyDescent="0.2">
      <c r="B18" s="1" t="s">
        <v>207</v>
      </c>
      <c r="C18" s="5">
        <v>0</v>
      </c>
      <c r="D18" s="5">
        <v>6250</v>
      </c>
      <c r="E18" s="5">
        <f>+C18+D18</f>
        <v>6250</v>
      </c>
    </row>
    <row r="19" spans="2:5" x14ac:dyDescent="0.2">
      <c r="B19" s="1" t="s">
        <v>253</v>
      </c>
      <c r="C19" s="5">
        <v>0</v>
      </c>
      <c r="D19" s="5">
        <v>15000</v>
      </c>
      <c r="E19" s="5">
        <f>+C19+D19</f>
        <v>15000</v>
      </c>
    </row>
    <row r="20" spans="2:5" x14ac:dyDescent="0.2">
      <c r="B20" s="1" t="s">
        <v>50</v>
      </c>
      <c r="C20" s="5">
        <v>33600</v>
      </c>
      <c r="D20" s="5">
        <v>38000</v>
      </c>
      <c r="E20" s="5">
        <f>+C20+D20</f>
        <v>71600</v>
      </c>
    </row>
    <row r="21" spans="2:5" x14ac:dyDescent="0.2">
      <c r="B21" s="1" t="s">
        <v>206</v>
      </c>
      <c r="C21" s="5">
        <f>SUM(C17:C20)</f>
        <v>283600</v>
      </c>
      <c r="D21" s="5">
        <f>SUM(D17:D20)</f>
        <v>109250</v>
      </c>
      <c r="E21" s="5">
        <f>SUM(E17:E20)</f>
        <v>392850</v>
      </c>
    </row>
    <row r="22" spans="2:5" x14ac:dyDescent="0.2">
      <c r="C22" s="5"/>
      <c r="D22" s="5"/>
      <c r="E22" s="5"/>
    </row>
    <row r="23" spans="2:5" x14ac:dyDescent="0.2">
      <c r="C23" s="5"/>
      <c r="D23" s="5"/>
      <c r="E23" s="5"/>
    </row>
    <row r="24" spans="2:5" x14ac:dyDescent="0.2">
      <c r="B24" s="1" t="s">
        <v>252</v>
      </c>
      <c r="C24" s="5">
        <v>0</v>
      </c>
      <c r="D24" s="5">
        <v>20000</v>
      </c>
      <c r="E24" s="5">
        <f>+C24+D24</f>
        <v>20000</v>
      </c>
    </row>
    <row r="25" spans="2:5" x14ac:dyDescent="0.2">
      <c r="B25" s="1" t="s">
        <v>205</v>
      </c>
      <c r="C25" s="5">
        <f>SUM(C24)</f>
        <v>0</v>
      </c>
      <c r="D25" s="5">
        <f>SUM(D24)</f>
        <v>20000</v>
      </c>
      <c r="E25" s="5">
        <f>SUM(E24)</f>
        <v>20000</v>
      </c>
    </row>
    <row r="26" spans="2:5" x14ac:dyDescent="0.2">
      <c r="C26" s="5"/>
      <c r="D26" s="5"/>
      <c r="E26" s="5"/>
    </row>
    <row r="27" spans="2:5" x14ac:dyDescent="0.2">
      <c r="B27" s="1" t="s">
        <v>45</v>
      </c>
      <c r="C27" s="5">
        <v>123000</v>
      </c>
      <c r="D27" s="5">
        <v>52000</v>
      </c>
      <c r="E27" s="5">
        <f>+C27+D27</f>
        <v>175000</v>
      </c>
    </row>
    <row r="28" spans="2:5" x14ac:dyDescent="0.2">
      <c r="B28" s="1" t="s">
        <v>255</v>
      </c>
      <c r="C28" s="5">
        <v>0</v>
      </c>
      <c r="D28" s="5">
        <v>8000</v>
      </c>
      <c r="E28" s="5">
        <f>+C28+D28</f>
        <v>8000</v>
      </c>
    </row>
    <row r="29" spans="2:5" x14ac:dyDescent="0.2">
      <c r="B29" s="1" t="s">
        <v>204</v>
      </c>
      <c r="C29" s="5">
        <f>SUM(C27:C28)</f>
        <v>123000</v>
      </c>
      <c r="D29" s="5">
        <f>SUM(D27:D28)</f>
        <v>60000</v>
      </c>
      <c r="E29" s="5">
        <f>SUM(E27:E28)</f>
        <v>183000</v>
      </c>
    </row>
    <row r="30" spans="2:5" x14ac:dyDescent="0.2">
      <c r="B30" s="1" t="s">
        <v>203</v>
      </c>
      <c r="C30" s="5">
        <f>+C29+C25</f>
        <v>123000</v>
      </c>
      <c r="D30" s="5">
        <f>+D29+D25</f>
        <v>80000</v>
      </c>
      <c r="E30" s="5">
        <f>+E29+E25</f>
        <v>203000</v>
      </c>
    </row>
    <row r="31" spans="2:5" x14ac:dyDescent="0.2">
      <c r="B31" s="1" t="s">
        <v>202</v>
      </c>
      <c r="C31" s="5">
        <f>+C30+C21</f>
        <v>406600</v>
      </c>
      <c r="D31" s="5">
        <f>+D30+D21</f>
        <v>189250</v>
      </c>
      <c r="E31" s="5">
        <f>+E30+E21</f>
        <v>595850</v>
      </c>
    </row>
    <row r="34" spans="2:6" x14ac:dyDescent="0.2">
      <c r="B34" s="1" t="s">
        <v>257</v>
      </c>
    </row>
    <row r="35" spans="2:6" x14ac:dyDescent="0.2">
      <c r="B35" s="1" t="s">
        <v>258</v>
      </c>
    </row>
    <row r="37" spans="2:6" x14ac:dyDescent="0.2">
      <c r="B37" s="1" t="s">
        <v>259</v>
      </c>
      <c r="D37" s="5">
        <v>63000</v>
      </c>
    </row>
    <row r="38" spans="2:6" x14ac:dyDescent="0.2">
      <c r="B38" s="1" t="s">
        <v>25</v>
      </c>
      <c r="C38" s="1">
        <v>0.2</v>
      </c>
      <c r="D38" s="1">
        <f>-C38*D41</f>
        <v>13250</v>
      </c>
    </row>
    <row r="39" spans="2:6" x14ac:dyDescent="0.2">
      <c r="B39" s="1" t="str">
        <f>+B17</f>
        <v>SC</v>
      </c>
      <c r="C39" s="5">
        <f>+D17</f>
        <v>50000</v>
      </c>
    </row>
    <row r="40" spans="2:6" x14ac:dyDescent="0.2">
      <c r="B40" s="1" t="str">
        <f>+B18</f>
        <v>SP</v>
      </c>
      <c r="C40" s="5">
        <f>+D18</f>
        <v>6250</v>
      </c>
    </row>
    <row r="41" spans="2:6" x14ac:dyDescent="0.2">
      <c r="B41" s="1" t="s">
        <v>50</v>
      </c>
      <c r="C41" s="5">
        <v>10000</v>
      </c>
      <c r="D41" s="5">
        <f>-SUM(C39:C41)</f>
        <v>-66250</v>
      </c>
    </row>
    <row r="42" spans="2:6" ht="12.75" thickBot="1" x14ac:dyDescent="0.25">
      <c r="B42" s="1" t="s">
        <v>79</v>
      </c>
      <c r="D42" s="11">
        <f>SUM(D37:D41)</f>
        <v>10000</v>
      </c>
    </row>
    <row r="43" spans="2:6" ht="12.75" thickTop="1" x14ac:dyDescent="0.2"/>
    <row r="44" spans="2:6" x14ac:dyDescent="0.2">
      <c r="B44" s="1" t="s">
        <v>59</v>
      </c>
      <c r="E44" s="5">
        <f>+C39</f>
        <v>50000</v>
      </c>
    </row>
    <row r="45" spans="2:6" x14ac:dyDescent="0.2">
      <c r="B45" s="1" t="s">
        <v>216</v>
      </c>
      <c r="E45" s="5">
        <f>+C40</f>
        <v>6250</v>
      </c>
    </row>
    <row r="46" spans="2:6" x14ac:dyDescent="0.2">
      <c r="B46" s="1" t="s">
        <v>60</v>
      </c>
      <c r="E46" s="5">
        <f>+C41</f>
        <v>10000</v>
      </c>
    </row>
    <row r="47" spans="2:6" x14ac:dyDescent="0.2">
      <c r="B47" s="1" t="s">
        <v>217</v>
      </c>
      <c r="E47" s="5">
        <f>+D42</f>
        <v>10000</v>
      </c>
    </row>
    <row r="48" spans="2:6" x14ac:dyDescent="0.2">
      <c r="C48" s="1" t="s">
        <v>219</v>
      </c>
      <c r="F48" s="5">
        <f>+D37</f>
        <v>63000</v>
      </c>
    </row>
    <row r="49" spans="2:6" x14ac:dyDescent="0.2">
      <c r="C49" s="1" t="s">
        <v>69</v>
      </c>
      <c r="F49" s="5">
        <f>+D38</f>
        <v>13250</v>
      </c>
    </row>
    <row r="50" spans="2:6" x14ac:dyDescent="0.2">
      <c r="B50" s="1" t="s">
        <v>260</v>
      </c>
    </row>
    <row r="52" spans="2:6" x14ac:dyDescent="0.2">
      <c r="B52" s="1" t="s">
        <v>261</v>
      </c>
    </row>
    <row r="53" spans="2:6" x14ac:dyDescent="0.2">
      <c r="B53" s="1" t="s">
        <v>221</v>
      </c>
    </row>
    <row r="55" spans="2:6" x14ac:dyDescent="0.2">
      <c r="B55" s="1" t="s">
        <v>262</v>
      </c>
    </row>
    <row r="56" spans="2:6" x14ac:dyDescent="0.2">
      <c r="B56" s="1" t="s">
        <v>50</v>
      </c>
      <c r="C56" s="6">
        <f>+C3</f>
        <v>43465</v>
      </c>
      <c r="E56" s="5">
        <f>+D20</f>
        <v>38000</v>
      </c>
    </row>
    <row r="57" spans="2:6" x14ac:dyDescent="0.2">
      <c r="B57" s="1" t="s">
        <v>126</v>
      </c>
      <c r="C57" s="6">
        <v>43465</v>
      </c>
      <c r="E57" s="1">
        <v>-12000</v>
      </c>
    </row>
    <row r="58" spans="2:6" x14ac:dyDescent="0.2">
      <c r="B58" s="1" t="s">
        <v>263</v>
      </c>
      <c r="C58" s="6">
        <v>47057</v>
      </c>
      <c r="E58" s="1">
        <v>2000</v>
      </c>
    </row>
    <row r="59" spans="2:6" x14ac:dyDescent="0.2">
      <c r="B59" s="1" t="s">
        <v>50</v>
      </c>
      <c r="C59" s="6">
        <v>43100</v>
      </c>
      <c r="E59" s="5">
        <f>SUM(E56:E58)</f>
        <v>28000</v>
      </c>
    </row>
    <row r="60" spans="2:6" x14ac:dyDescent="0.2">
      <c r="B60" s="1" t="s">
        <v>50</v>
      </c>
      <c r="C60" s="6">
        <v>41091</v>
      </c>
      <c r="E60" s="5">
        <f>+C41</f>
        <v>10000</v>
      </c>
    </row>
    <row r="61" spans="2:6" x14ac:dyDescent="0.2">
      <c r="B61" s="1" t="s">
        <v>264</v>
      </c>
      <c r="E61" s="5">
        <f>+E59-E60</f>
        <v>18000</v>
      </c>
    </row>
    <row r="62" spans="2:6" x14ac:dyDescent="0.2">
      <c r="B62" s="1" t="s">
        <v>265</v>
      </c>
      <c r="D62" s="1">
        <v>0.2</v>
      </c>
      <c r="E62" s="1">
        <f>+D62*E61</f>
        <v>3600</v>
      </c>
    </row>
    <row r="64" spans="2:6" x14ac:dyDescent="0.2">
      <c r="B64" s="1" t="s">
        <v>271</v>
      </c>
      <c r="D64" s="1">
        <v>0.2</v>
      </c>
      <c r="E64" s="5">
        <f>+D19</f>
        <v>15000</v>
      </c>
    </row>
    <row r="65" spans="2:6" x14ac:dyDescent="0.2">
      <c r="E65" s="1">
        <f>+E64*D64</f>
        <v>3000</v>
      </c>
    </row>
    <row r="67" spans="2:6" x14ac:dyDescent="0.2">
      <c r="B67" s="1" t="s">
        <v>60</v>
      </c>
      <c r="E67" s="1">
        <f>+E62</f>
        <v>3600</v>
      </c>
    </row>
    <row r="68" spans="2:6" x14ac:dyDescent="0.2">
      <c r="B68" s="1" t="s">
        <v>270</v>
      </c>
      <c r="E68" s="1">
        <f>+E65</f>
        <v>3000</v>
      </c>
    </row>
    <row r="69" spans="2:6" x14ac:dyDescent="0.2">
      <c r="C69" s="1" t="s">
        <v>69</v>
      </c>
      <c r="F69" s="1">
        <f>SUM(E67:E68)</f>
        <v>6600</v>
      </c>
    </row>
    <row r="70" spans="2:6" x14ac:dyDescent="0.2">
      <c r="B70" s="1" t="s">
        <v>266</v>
      </c>
    </row>
    <row r="72" spans="2:6" x14ac:dyDescent="0.2">
      <c r="B72" s="1" t="s">
        <v>234</v>
      </c>
    </row>
    <row r="74" spans="2:6" x14ac:dyDescent="0.2">
      <c r="B74" s="1" t="s">
        <v>26</v>
      </c>
      <c r="E74" s="1">
        <f>-0.2*E57</f>
        <v>2400</v>
      </c>
    </row>
    <row r="75" spans="2:6" x14ac:dyDescent="0.2">
      <c r="C75" s="1" t="s">
        <v>69</v>
      </c>
      <c r="F75" s="1">
        <f>+E74</f>
        <v>2400</v>
      </c>
    </row>
    <row r="76" spans="2:6" x14ac:dyDescent="0.2">
      <c r="B76" s="1" t="s">
        <v>231</v>
      </c>
    </row>
    <row r="78" spans="2:6" x14ac:dyDescent="0.2">
      <c r="B78" s="1" t="s">
        <v>227</v>
      </c>
    </row>
    <row r="80" spans="2:6" x14ac:dyDescent="0.2">
      <c r="B80" s="1" t="s">
        <v>267</v>
      </c>
    </row>
    <row r="82" spans="2:6" x14ac:dyDescent="0.2">
      <c r="B82" s="14" t="s">
        <v>268</v>
      </c>
      <c r="C82" s="14"/>
    </row>
    <row r="83" spans="2:6" x14ac:dyDescent="0.2">
      <c r="B83" s="1" t="s">
        <v>77</v>
      </c>
      <c r="C83" s="1" t="s">
        <v>78</v>
      </c>
    </row>
    <row r="84" spans="2:6" x14ac:dyDescent="0.2">
      <c r="B84" s="5">
        <f>+C11</f>
        <v>14700</v>
      </c>
      <c r="C84" s="5">
        <f>+D28</f>
        <v>8000</v>
      </c>
    </row>
    <row r="86" spans="2:6" x14ac:dyDescent="0.2">
      <c r="B86" s="5">
        <f>+B84-C84</f>
        <v>6700</v>
      </c>
    </row>
    <row r="88" spans="2:6" x14ac:dyDescent="0.2">
      <c r="B88" s="1" t="s">
        <v>9</v>
      </c>
      <c r="E88" s="5">
        <f>+B86</f>
        <v>6700</v>
      </c>
    </row>
    <row r="89" spans="2:6" x14ac:dyDescent="0.2">
      <c r="B89" s="1" t="s">
        <v>272</v>
      </c>
      <c r="E89" s="5">
        <f>+C84</f>
        <v>8000</v>
      </c>
    </row>
    <row r="90" spans="2:6" x14ac:dyDescent="0.2">
      <c r="C90" s="1" t="s">
        <v>273</v>
      </c>
      <c r="F90" s="5">
        <f>+B84</f>
        <v>14700</v>
      </c>
    </row>
    <row r="91" spans="2:6" x14ac:dyDescent="0.2">
      <c r="B91" s="1" t="s">
        <v>269</v>
      </c>
      <c r="F91" s="5"/>
    </row>
    <row r="92" spans="2:6" x14ac:dyDescent="0.2">
      <c r="F92" s="5"/>
    </row>
    <row r="94" spans="2:6" x14ac:dyDescent="0.2">
      <c r="B94" s="1" t="s">
        <v>228</v>
      </c>
    </row>
    <row r="95" spans="2:6" x14ac:dyDescent="0.2">
      <c r="B95" s="1" t="s">
        <v>229</v>
      </c>
      <c r="D95" s="1">
        <v>0.8</v>
      </c>
      <c r="E95" s="5">
        <f>+E58</f>
        <v>2000</v>
      </c>
      <c r="F95" s="1">
        <f>+D95*E95</f>
        <v>1600</v>
      </c>
    </row>
    <row r="96" spans="2:6" x14ac:dyDescent="0.2">
      <c r="B96" s="1" t="s">
        <v>230</v>
      </c>
      <c r="D96" s="1">
        <v>0.2</v>
      </c>
      <c r="E96" s="5">
        <f>+E58</f>
        <v>2000</v>
      </c>
      <c r="F96" s="1">
        <f>+D96*E96</f>
        <v>400</v>
      </c>
    </row>
    <row r="97" spans="2:10" x14ac:dyDescent="0.2">
      <c r="F97" s="1">
        <f>SUM(F95:F96)</f>
        <v>2000</v>
      </c>
    </row>
    <row r="98" spans="2:10" x14ac:dyDescent="0.2">
      <c r="D98" s="5"/>
      <c r="E98" s="5"/>
      <c r="F98" s="5"/>
      <c r="J98" s="13"/>
    </row>
    <row r="99" spans="2:10" x14ac:dyDescent="0.2">
      <c r="B99" s="1" t="s">
        <v>247</v>
      </c>
      <c r="D99" s="5"/>
      <c r="E99" s="5">
        <f>+F95</f>
        <v>1600</v>
      </c>
      <c r="F99" s="5"/>
      <c r="J99" s="13"/>
    </row>
    <row r="100" spans="2:10" x14ac:dyDescent="0.2">
      <c r="B100" s="1" t="s">
        <v>145</v>
      </c>
      <c r="D100" s="5"/>
      <c r="E100" s="5">
        <f>+F96</f>
        <v>400</v>
      </c>
      <c r="F100" s="5"/>
      <c r="J100" s="13"/>
    </row>
    <row r="101" spans="2:10" x14ac:dyDescent="0.2">
      <c r="C101" s="1" t="s">
        <v>31</v>
      </c>
      <c r="D101" s="5"/>
      <c r="E101" s="5"/>
      <c r="F101" s="5">
        <f>+SUM(E99:E100)</f>
        <v>2000</v>
      </c>
      <c r="J101" s="13"/>
    </row>
    <row r="102" spans="2:10" x14ac:dyDescent="0.2">
      <c r="B102" s="1" t="s">
        <v>248</v>
      </c>
      <c r="D102" s="5"/>
      <c r="E102" s="5"/>
      <c r="F102" s="5"/>
      <c r="J102" s="13"/>
    </row>
    <row r="104" spans="2:10" x14ac:dyDescent="0.2">
      <c r="B104" s="1" t="s">
        <v>249</v>
      </c>
    </row>
    <row r="105" spans="2:10" x14ac:dyDescent="0.2">
      <c r="E105" s="1">
        <f>+E74</f>
        <v>2400</v>
      </c>
      <c r="F105" s="1" t="s">
        <v>77</v>
      </c>
    </row>
    <row r="106" spans="2:10" x14ac:dyDescent="0.2">
      <c r="E106" s="5">
        <f>+E99</f>
        <v>1600</v>
      </c>
      <c r="F106" s="1" t="s">
        <v>77</v>
      </c>
    </row>
    <row r="107" spans="2:10" x14ac:dyDescent="0.2">
      <c r="E107" s="5">
        <f>SUM(E105:E106)</f>
        <v>4000</v>
      </c>
      <c r="F107" s="1" t="s">
        <v>250</v>
      </c>
    </row>
    <row r="109" spans="2:10" x14ac:dyDescent="0.2">
      <c r="B109" s="1" t="s">
        <v>60</v>
      </c>
      <c r="E109" s="5">
        <f>+E107</f>
        <v>4000</v>
      </c>
    </row>
    <row r="110" spans="2:10" x14ac:dyDescent="0.2">
      <c r="C110" s="1" t="s">
        <v>73</v>
      </c>
      <c r="F110" s="5">
        <f>+E109</f>
        <v>4000</v>
      </c>
    </row>
    <row r="111" spans="2:10" x14ac:dyDescent="0.2">
      <c r="B111" s="1" t="s">
        <v>83</v>
      </c>
    </row>
  </sheetData>
  <hyperlinks>
    <hyperlink ref="A1" location="Main!A1" display="Main" xr:uid="{F9324697-1CC4-40ED-9985-DC5BF9B69D14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Module 27</vt:lpstr>
      <vt:lpstr>WSE27.1</vt:lpstr>
      <vt:lpstr>WSE27.2</vt:lpstr>
      <vt:lpstr>WSE27.3</vt:lpstr>
      <vt:lpstr>WSE27.4</vt:lpstr>
      <vt:lpstr>WSE27.5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2023-05-15T08:01:10Z</dcterms:created>
  <dcterms:modified xsi:type="dcterms:W3CDTF">2023-05-16T20:11:56Z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2023-05-15T08:01:11Z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51a78701-3283-49f1-979c-d0d31bfd4865</vt:lpwstr>
  </property>
  <property fmtid="{D5CDD505-2E9C-101B-9397-08002B2CF9AE}" pid="8" name="MSIP_Label_ea60d57e-af5b-4752-ac57-3e4f28ca11dc_ContentBits">
    <vt:lpwstr>0</vt:lpwstr>
  </property>
</Properties>
</file>