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 documentId="13_ncr:1_{AC1504BD-9F58-4338-AE1C-6F0A00E8DF4E}" xr6:coauthVersionLast="47" xr6:coauthVersionMax="47" xr10:uidLastSave="{9BFEE8C2-BE7D-4554-AF17-65121B999D17}"/>
  <bookViews>
    <workbookView xWindow="2625" yWindow="2625" windowWidth="21600" windowHeight="11385" tabRatio="724" activeTab="1" xr2:uid="{0F730D26-0B02-4D79-9115-73F477E08AB2}"/>
  </bookViews>
  <sheets>
    <sheet name="Main" sheetId="2" r:id="rId1"/>
    <sheet name="Module 23" sheetId="1" r:id="rId2"/>
    <sheet name="WSE23.1" sheetId="7" r:id="rId3"/>
    <sheet name="WSE23.2" sheetId="4" r:id="rId4"/>
    <sheet name="WSE23.3" sheetId="5" r:id="rId5"/>
    <sheet name="WSE23.4" sheetId="10" r:id="rId6"/>
    <sheet name="WSE23.5" sheetId="11" r:id="rId7"/>
    <sheet name="WSE23.6" sheetId="13" r:id="rId8"/>
    <sheet name="WSE23.7" sheetId="15" r:id="rId9"/>
    <sheet name="WSE23.9"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5" l="1"/>
  <c r="F35" i="12"/>
  <c r="C22" i="12"/>
  <c r="E53" i="12"/>
  <c r="E54" i="12"/>
  <c r="E52" i="12"/>
  <c r="C30" i="12"/>
  <c r="C29" i="12"/>
  <c r="C44" i="13"/>
  <c r="C46" i="13"/>
  <c r="C45" i="13"/>
  <c r="E52" i="13" s="1"/>
  <c r="C40" i="13"/>
  <c r="C41" i="13"/>
  <c r="C42" i="13"/>
  <c r="C39" i="13"/>
  <c r="C43" i="13" s="1"/>
  <c r="E32" i="13"/>
  <c r="E33" i="13" s="1"/>
  <c r="E34" i="13" s="1"/>
  <c r="E35" i="13" s="1"/>
  <c r="E43" i="11"/>
  <c r="F46" i="11" s="1"/>
  <c r="E42" i="11"/>
  <c r="F47" i="11" s="1"/>
  <c r="D38" i="11"/>
  <c r="F45" i="11" s="1"/>
  <c r="E44" i="11" s="1"/>
  <c r="C22" i="11"/>
  <c r="C19" i="11"/>
  <c r="E29" i="10"/>
  <c r="F30" i="10" s="1"/>
  <c r="C32" i="12" l="1"/>
  <c r="C31" i="12"/>
  <c r="E55" i="12"/>
  <c r="E58" i="12" s="1"/>
  <c r="F59" i="12" s="1"/>
  <c r="C47" i="13"/>
  <c r="C49" i="13" s="1"/>
  <c r="F53" i="13" s="1"/>
  <c r="E51" i="13"/>
  <c r="D15" i="10"/>
  <c r="F18" i="10" s="1"/>
  <c r="E17" i="10" s="1"/>
  <c r="E70" i="15"/>
  <c r="E69" i="15"/>
  <c r="E68" i="15"/>
  <c r="F62" i="15"/>
  <c r="E61" i="15"/>
  <c r="F58" i="15"/>
  <c r="E57" i="15"/>
  <c r="F51" i="15"/>
  <c r="E50" i="15"/>
  <c r="C48" i="15"/>
  <c r="C46" i="15"/>
  <c r="C42" i="15"/>
  <c r="C40" i="15"/>
  <c r="C41" i="15"/>
  <c r="C37" i="15"/>
  <c r="C10" i="15"/>
  <c r="E321" i="1"/>
  <c r="D321" i="1"/>
  <c r="E320" i="1"/>
  <c r="D320" i="1"/>
  <c r="E319" i="1"/>
  <c r="D319" i="1"/>
  <c r="E317" i="1"/>
  <c r="D317" i="1"/>
  <c r="E316" i="1"/>
  <c r="D316" i="1"/>
  <c r="E314" i="1"/>
  <c r="D314" i="1"/>
  <c r="F289" i="1"/>
  <c r="E305" i="1" s="1"/>
  <c r="F306" i="1"/>
  <c r="F282" i="1"/>
  <c r="E300" i="1" s="1"/>
  <c r="F301" i="1" s="1"/>
  <c r="E281" i="1"/>
  <c r="E285" i="1" s="1"/>
  <c r="E282" i="1"/>
  <c r="E283" i="1" s="1"/>
  <c r="E287" i="1" s="1"/>
  <c r="E315" i="1" s="1"/>
  <c r="E289" i="1"/>
  <c r="F307" i="1" s="1"/>
  <c r="E290" i="1"/>
  <c r="D290" i="1"/>
  <c r="F290" i="1" s="1"/>
  <c r="D289" i="1"/>
  <c r="D281" i="1"/>
  <c r="D285" i="1" s="1"/>
  <c r="D282" i="1"/>
  <c r="D262" i="1"/>
  <c r="D264" i="1" s="1"/>
  <c r="E266" i="1" s="1"/>
  <c r="F267" i="1" s="1"/>
  <c r="D226" i="1"/>
  <c r="E226" i="1" s="1"/>
  <c r="D227" i="1"/>
  <c r="E227" i="1" s="1"/>
  <c r="D228" i="1"/>
  <c r="E228" i="1" s="1"/>
  <c r="D225" i="1"/>
  <c r="E225" i="1" s="1"/>
  <c r="E209" i="1"/>
  <c r="E213" i="1" s="1"/>
  <c r="E216" i="1" s="1"/>
  <c r="E197" i="1"/>
  <c r="E196" i="1"/>
  <c r="D193" i="1"/>
  <c r="F49" i="4"/>
  <c r="F50" i="4"/>
  <c r="F48" i="4"/>
  <c r="D49" i="4"/>
  <c r="E49" i="4" s="1"/>
  <c r="D50" i="4"/>
  <c r="E50" i="4" s="1"/>
  <c r="D48" i="4"/>
  <c r="E48" i="4" s="1"/>
  <c r="C28" i="4"/>
  <c r="E30" i="4" s="1"/>
  <c r="C45" i="4"/>
  <c r="G52" i="4" s="1"/>
  <c r="F57" i="4" s="1"/>
  <c r="E41" i="4"/>
  <c r="D40" i="4"/>
  <c r="E40" i="4" s="1"/>
  <c r="C112" i="1"/>
  <c r="C111" i="1"/>
  <c r="F115" i="1" s="1"/>
  <c r="C31" i="5"/>
  <c r="E10" i="5"/>
  <c r="F11" i="5" s="1"/>
  <c r="C21" i="5" s="1"/>
  <c r="D22" i="5" s="1"/>
  <c r="D23" i="5" s="1"/>
  <c r="E25" i="5" s="1"/>
  <c r="F26" i="5" s="1"/>
  <c r="F92" i="1"/>
  <c r="F91" i="1"/>
  <c r="C99" i="1"/>
  <c r="C100" i="1"/>
  <c r="B98" i="1"/>
  <c r="F99" i="1"/>
  <c r="F100" i="1"/>
  <c r="E98" i="1"/>
  <c r="E58" i="1"/>
  <c r="D52" i="1"/>
  <c r="C51" i="1"/>
  <c r="C52" i="1" s="1"/>
  <c r="F60" i="1" s="1"/>
  <c r="H50" i="4"/>
  <c r="D111" i="1"/>
  <c r="H48" i="4"/>
  <c r="H49" i="4"/>
  <c r="D112" i="1"/>
  <c r="E34" i="12" l="1"/>
  <c r="F36" i="12"/>
  <c r="F311" i="1"/>
  <c r="E310" i="1"/>
  <c r="E295" i="1"/>
  <c r="D283" i="1"/>
  <c r="D287" i="1" s="1"/>
  <c r="D291" i="1"/>
  <c r="E291" i="1"/>
  <c r="E198" i="1"/>
  <c r="E200" i="1" s="1"/>
  <c r="E229" i="1"/>
  <c r="E231" i="1" s="1"/>
  <c r="F232" i="1" s="1"/>
  <c r="G48" i="4"/>
  <c r="G50" i="4"/>
  <c r="G49" i="4"/>
  <c r="F31" i="4"/>
  <c r="E42" i="4"/>
  <c r="E114" i="1"/>
  <c r="E117" i="1"/>
  <c r="C125" i="1"/>
  <c r="F93" i="1"/>
  <c r="C30" i="5"/>
  <c r="C32" i="5" s="1"/>
  <c r="E34" i="5" s="1"/>
  <c r="F35" i="5" s="1"/>
  <c r="E59" i="1"/>
  <c r="E65" i="1"/>
  <c r="F66" i="1" s="1"/>
  <c r="D315" i="1" l="1"/>
  <c r="E294" i="1"/>
  <c r="F287" i="1"/>
  <c r="F296" i="1" s="1"/>
  <c r="F201" i="1"/>
  <c r="G51" i="4"/>
  <c r="G53" i="4" s="1"/>
  <c r="E55" i="4" s="1"/>
  <c r="F118" i="1"/>
  <c r="D125" i="1"/>
  <c r="F125" i="1" s="1"/>
  <c r="C126" i="1" s="1"/>
  <c r="E121" i="1"/>
  <c r="E56" i="4" l="1"/>
  <c r="D126" i="1"/>
  <c r="F126" i="1" s="1"/>
  <c r="E128" i="1" s="1"/>
  <c r="F129" i="1" s="1"/>
  <c r="F122" i="1"/>
</calcChain>
</file>

<file path=xl/sharedStrings.xml><?xml version="1.0" encoding="utf-8"?>
<sst xmlns="http://schemas.openxmlformats.org/spreadsheetml/2006/main" count="508" uniqueCount="400">
  <si>
    <t>Main</t>
  </si>
  <si>
    <t>Module 23</t>
  </si>
  <si>
    <t>Step 1L</t>
  </si>
  <si>
    <t>idenitify the contract with a customer</t>
  </si>
  <si>
    <t>step 2:</t>
  </si>
  <si>
    <t>performance obligation</t>
  </si>
  <si>
    <t>step 3:</t>
  </si>
  <si>
    <t>determine price</t>
  </si>
  <si>
    <t>step 4:</t>
  </si>
  <si>
    <t>allocate price to obligations</t>
  </si>
  <si>
    <t>step 5:</t>
  </si>
  <si>
    <t>recognisde revenue where entity satisfies performanc obligaiton</t>
  </si>
  <si>
    <t>Enforcable right and obligations between two parties</t>
  </si>
  <si>
    <t>enforeced through law, regs, or past patterns of practice</t>
  </si>
  <si>
    <t>sale of building</t>
  </si>
  <si>
    <t>no experience and no assets or income to actually pull this off.</t>
  </si>
  <si>
    <t>cannot claim further compensation should lebowski default</t>
  </si>
  <si>
    <t>written contract</t>
  </si>
  <si>
    <t>✔</t>
  </si>
  <si>
    <t>payment terms</t>
  </si>
  <si>
    <t>collection probability</t>
  </si>
  <si>
    <t>❌</t>
  </si>
  <si>
    <t>commercial substance</t>
  </si>
  <si>
    <t>identify each parties rights</t>
  </si>
  <si>
    <t>There is not a contract for revenue.  There is not ability to pay.</t>
  </si>
  <si>
    <t>1 criteria fails.  So cannot be considered revenue.</t>
  </si>
  <si>
    <t>Lewbowski could walk away and we have no compensation</t>
  </si>
  <si>
    <t>Activity 1</t>
  </si>
  <si>
    <t>Machinist</t>
  </si>
  <si>
    <t>efficieny bonus</t>
  </si>
  <si>
    <t>cr - rev</t>
  </si>
  <si>
    <t>dr - AR</t>
  </si>
  <si>
    <t>dr - rev</t>
  </si>
  <si>
    <t>cr - AR</t>
  </si>
  <si>
    <t>transaction price</t>
  </si>
  <si>
    <t>bein reassment of revenue transaction price</t>
  </si>
  <si>
    <t>being initial journal to rcognise revnue</t>
  </si>
  <si>
    <t>dr - bank</t>
  </si>
  <si>
    <t>dr - contract asset</t>
  </si>
  <si>
    <t>cr - contract asset</t>
  </si>
  <si>
    <t>transaction date</t>
  </si>
  <si>
    <t>Need a contract asset as this is contingent on something happening in the future.  We need to earn this income through meeting our targets.</t>
  </si>
  <si>
    <t>dr - bank/AR</t>
  </si>
  <si>
    <t>cr - SPL revenue</t>
  </si>
  <si>
    <t>total amount received / due from customer</t>
  </si>
  <si>
    <t>amount expected to be retained</t>
  </si>
  <si>
    <t>amount expected to be refunded</t>
  </si>
  <si>
    <t>cr - refund liability</t>
  </si>
  <si>
    <t>contract for sale</t>
  </si>
  <si>
    <t>price</t>
  </si>
  <si>
    <t>per unit</t>
  </si>
  <si>
    <t xml:space="preserve">if </t>
  </si>
  <si>
    <t>tubs in a year then price is £5</t>
  </si>
  <si>
    <t>cr - SPL rev</t>
  </si>
  <si>
    <t>£'000</t>
  </si>
  <si>
    <t>being revenue recognised for the month ended 31/01/2028</t>
  </si>
  <si>
    <t>k tubs in Jan</t>
  </si>
  <si>
    <t>AR</t>
  </si>
  <si>
    <t>Rev</t>
  </si>
  <si>
    <t>conditional price</t>
  </si>
  <si>
    <t>refund liability</t>
  </si>
  <si>
    <t>recognise the liability as we think they will achive the incentive target.</t>
  </si>
  <si>
    <t>WSE23.2</t>
  </si>
  <si>
    <t>WSE23.3</t>
  </si>
  <si>
    <t>Futureheads Ltd</t>
  </si>
  <si>
    <t>YE</t>
  </si>
  <si>
    <t>sold vehicles to Alms</t>
  </si>
  <si>
    <t xml:space="preserve">alms took delivery </t>
  </si>
  <si>
    <t>invoice</t>
  </si>
  <si>
    <t>original journal</t>
  </si>
  <si>
    <t>Transaction prive will have to be discounted</t>
  </si>
  <si>
    <t>cr - revenue</t>
  </si>
  <si>
    <t>dr SPL - rev</t>
  </si>
  <si>
    <t>reduction in rev &amp; AR</t>
  </si>
  <si>
    <t>cr -AR</t>
  </si>
  <si>
    <t>being correction of transaction price and reduction in AR</t>
  </si>
  <si>
    <t>finance income</t>
  </si>
  <si>
    <t>Dr - AR</t>
  </si>
  <si>
    <t>cr - SPL finance income</t>
  </si>
  <si>
    <t>being finance income for the 6 months ended 31/06/2025</t>
  </si>
  <si>
    <t>The transaction price includes a significant financing component.</t>
  </si>
  <si>
    <t>The transaction price should reflect the cash price on 1 January 20X5 and the consideration is adjusted for the time value of money.</t>
  </si>
  <si>
    <t>Revenue and trade receivables must be decreased to their present value and then finance income is recognised monthly until final receipt, gradually increasing the trade receivable.</t>
  </si>
  <si>
    <t>Lots of credit available for the chat.</t>
  </si>
  <si>
    <t>Templeton textiles ltd</t>
  </si>
  <si>
    <t>determin transaction price at YE</t>
  </si>
  <si>
    <t>Mungo plc</t>
  </si>
  <si>
    <t>contract length</t>
  </si>
  <si>
    <t>months</t>
  </si>
  <si>
    <t>commencement</t>
  </si>
  <si>
    <t>per meter</t>
  </si>
  <si>
    <t>Activity 2</t>
  </si>
  <si>
    <t>sale</t>
  </si>
  <si>
    <t>nothing to pay for two years</t>
  </si>
  <si>
    <t>incremental cost to borrow</t>
  </si>
  <si>
    <t>payment</t>
  </si>
  <si>
    <t>cr - SPL finacne income</t>
  </si>
  <si>
    <t>dr  -Ar</t>
  </si>
  <si>
    <t>open AR</t>
  </si>
  <si>
    <t xml:space="preserve">effective interest </t>
  </si>
  <si>
    <t>nominal receipt</t>
  </si>
  <si>
    <t>Close trade receiveable</t>
  </si>
  <si>
    <t>Dr - bank</t>
  </si>
  <si>
    <t>cr - Ar</t>
  </si>
  <si>
    <t>being receipt from customer on 01/01/2024</t>
  </si>
  <si>
    <t>&lt;&lt;&lt;no interest in 2024 as payment made at the start of the year.</t>
  </si>
  <si>
    <t>&lt;&lt;&lt;may need to pro-rate finance income</t>
  </si>
  <si>
    <t>if Mungo buys</t>
  </si>
  <si>
    <t xml:space="preserve">metres </t>
  </si>
  <si>
    <t>by</t>
  </si>
  <si>
    <t>the rebate</t>
  </si>
  <si>
    <t>sales department are confident the threshold will be met.</t>
  </si>
  <si>
    <t>total expected sale</t>
  </si>
  <si>
    <t>cr - rebate liabiility</t>
  </si>
  <si>
    <t>garment</t>
  </si>
  <si>
    <t>final batch</t>
  </si>
  <si>
    <t>garments</t>
  </si>
  <si>
    <t>delivered</t>
  </si>
  <si>
    <t>p</t>
  </si>
  <si>
    <t>Q</t>
  </si>
  <si>
    <t>EV</t>
  </si>
  <si>
    <t>penalty</t>
  </si>
  <si>
    <t>Decrease in revenue</t>
  </si>
  <si>
    <t>Dr - SPL revenue</t>
  </si>
  <si>
    <t>being correction of transaction price, removal of trade receivable and creation of accrued income</t>
  </si>
  <si>
    <t>being correction of transaction price and creation of refund liability</t>
  </si>
  <si>
    <t>It is expected that a number of items will fail the quality-control checks and the transaction price must be adjusted for penalties to arrive at the expected value.</t>
  </si>
  <si>
    <t>Revenue should not have been recognised at £9.00 per garment and this is not the transaction price unless all goods pass the quality check .</t>
  </si>
  <si>
    <t>The revenue and related trade receivable must be reduced to the expected value.</t>
  </si>
  <si>
    <t>Lots of mark available for chat.</t>
  </si>
  <si>
    <t>Both contracts’ transaction price includes a variable consideration – a rebate for the Mungo contract and penalties for the Flesher contract.</t>
  </si>
  <si>
    <t>As there is no evidence that the variable consideration will be reversed, it must be estimated and included in the transaction price.</t>
  </si>
  <si>
    <t>It is most likely that Mungo will purchase at least 1,000,000m by 30 June 20X3, with forecasted sales expected to be 1,091,000m in total.</t>
  </si>
  <si>
    <t>Templeton are entitled to consideration of £5.00 per metre until the threshold of 1,000,000m has been met and so have correctly raised invoices at this amount.</t>
  </si>
  <si>
    <t>However, the transaction price must only be recorded at £4.50 per metre and a refund liability created for the volume rebate of £0.50 per metre.</t>
  </si>
  <si>
    <t>Revenue must be reduced by £0.50 per metre as it has initially been recorded at £5.00 per metre and a corresponding refund liability created.</t>
  </si>
  <si>
    <t>WSE23.1</t>
  </si>
  <si>
    <t>WSE23.4</t>
  </si>
  <si>
    <t>WSE23.5</t>
  </si>
  <si>
    <t>WSE23.6</t>
  </si>
  <si>
    <t>WSE23.9</t>
  </si>
  <si>
    <t>Clifford plc</t>
  </si>
  <si>
    <t>does a contract exist at YE 31/8/25</t>
  </si>
  <si>
    <t>Boutique hotel</t>
  </si>
  <si>
    <t>Flesher plc</t>
  </si>
  <si>
    <t>Revenue should not have been recognised at £9.00 per garment and this is not the transaction price unless all goods pass the quality check</t>
  </si>
  <si>
    <t>Always include these lines in the answer.  Easy marks!!</t>
  </si>
  <si>
    <t>Activity 4</t>
  </si>
  <si>
    <t>contract price</t>
  </si>
  <si>
    <t>expected costs</t>
  </si>
  <si>
    <t>POC</t>
  </si>
  <si>
    <t>dr  -contract asset / accrued income</t>
  </si>
  <si>
    <t>being POC recognition as at 30/09/2029</t>
  </si>
  <si>
    <t>only recognising the difference</t>
  </si>
  <si>
    <t>Activity 5</t>
  </si>
  <si>
    <t>PA</t>
  </si>
  <si>
    <t>GM</t>
  </si>
  <si>
    <t>S</t>
  </si>
  <si>
    <t>J</t>
  </si>
  <si>
    <t>hours</t>
  </si>
  <si>
    <t>rate £</t>
  </si>
  <si>
    <t>Total</t>
  </si>
  <si>
    <t>acutal</t>
  </si>
  <si>
    <t>being revenue recognised fgor the year ended 31/10/2023</t>
  </si>
  <si>
    <t xml:space="preserve">Step 3 </t>
  </si>
  <si>
    <t>Determine the transaction price</t>
  </si>
  <si>
    <t>Step 4</t>
  </si>
  <si>
    <t>Allocate the transaction price to the performance oblifatoin in th econtract</t>
  </si>
  <si>
    <t>Step 5</t>
  </si>
  <si>
    <t>Recognise revenue when (or as) the entity satisfies a performance obligation</t>
  </si>
  <si>
    <t>no</t>
  </si>
  <si>
    <t>No contract for revenue exists in this situation</t>
  </si>
  <si>
    <t>Surplus goods</t>
  </si>
  <si>
    <t>orally agreed but enacted in principle</t>
  </si>
  <si>
    <t>paid in services</t>
  </si>
  <si>
    <t>a contract for revenue exists here.  Clifford has sold goods for consideration in the form of future services.  Would not be able to recognise revenue untilt the services are performed.</t>
  </si>
  <si>
    <t>Furniture outlet</t>
  </si>
  <si>
    <t>too late for the delivered goods.  Title has passed.  They will have to impair the recoverability of these goods</t>
  </si>
  <si>
    <t xml:space="preserve">the future order should be considered before following through on.  </t>
  </si>
  <si>
    <t>Restaurant chain</t>
  </si>
  <si>
    <t>the fact there is no compensation due when either party cancels suggests this is not a valid contract.</t>
  </si>
  <si>
    <t>Although contracts may be approved verbally, we cannot identify price or payment terms for the goods and services to be transferred as this meeting is yet to be held.</t>
  </si>
  <si>
    <t>No contract for revenue exists at 31 August 20X5.</t>
  </si>
  <si>
    <t>There is oral agreement indicating approval and each party’s right has been established.</t>
  </si>
  <si>
    <t>As the advertising company has agreed to provide services with a value of £40k over a three-month period, the payment terms have been identified.</t>
  </si>
  <si>
    <t>As goods are exchanged for future services, there is commercial substance to this agreement.</t>
  </si>
  <si>
    <t>There is no concern over the performance of services and so a contract for revenue exists at 31 August 20X5.</t>
  </si>
  <si>
    <t>For the goods already delivered, a performance obligation has been satisfied and so a contract for revenue exists at 31 August 20X5 for these items.</t>
  </si>
  <si>
    <t>No contract for revenue exists at 31 August 20X5 for the new order as it is not probable that Clifford will collect the consideration to which it will be entitled.</t>
  </si>
  <si>
    <t>Although many of the criteria for the existence of contract are in place, as the contract may be cancelled by either party without compensation, no contract for revenue exists at 31 August 20X5.</t>
  </si>
  <si>
    <t>did well.  Good sense for when a contract for sale exists.  In exam - copy stock answers from the solvers.</t>
  </si>
  <si>
    <t>transactions price</t>
  </si>
  <si>
    <t>revenue recognised correclty in the year</t>
  </si>
  <si>
    <t>Provision for onerous contract</t>
  </si>
  <si>
    <t>unavoidable futur econtract costs</t>
  </si>
  <si>
    <t>revenue not yet recognised</t>
  </si>
  <si>
    <t>dr - SPL COGS</t>
  </si>
  <si>
    <t>cr - Prov'n for onerous contract</t>
  </si>
  <si>
    <t>being recognition of provsion for onerous contract</t>
  </si>
  <si>
    <t>Activity 6</t>
  </si>
  <si>
    <t>receipts from customer</t>
  </si>
  <si>
    <t>amounts billed to customer in line with contract</t>
  </si>
  <si>
    <t>anticipated future direct costs</t>
  </si>
  <si>
    <t>wastage of materials</t>
  </si>
  <si>
    <t>admin cost incurred</t>
  </si>
  <si>
    <t>Direct materials cost incurred</t>
  </si>
  <si>
    <t>direct labout cost incurred</t>
  </si>
  <si>
    <t>total contract price</t>
  </si>
  <si>
    <t>Contract A</t>
  </si>
  <si>
    <t>Contract B</t>
  </si>
  <si>
    <t>&lt;&lt;&lt;recoverable</t>
  </si>
  <si>
    <t>total anticpiated cost</t>
  </si>
  <si>
    <t>costs incurred</t>
  </si>
  <si>
    <t>invoiced</t>
  </si>
  <si>
    <t>receipts</t>
  </si>
  <si>
    <t>is profitable</t>
  </si>
  <si>
    <t>yes, both profitable.  No onerous contract</t>
  </si>
  <si>
    <t>recognisable revenue</t>
  </si>
  <si>
    <t>dr - contract asset A</t>
  </si>
  <si>
    <t>dr - contract asset B</t>
  </si>
  <si>
    <t>cr - reveneu</t>
  </si>
  <si>
    <t>bein revenue recognised for th eyear ended 31/12/2021</t>
  </si>
  <si>
    <t>Revenue from contracts with customers</t>
  </si>
  <si>
    <t>Cost of sales</t>
  </si>
  <si>
    <t>dr  - COGS</t>
  </si>
  <si>
    <t>being cost incurred for the year ended 31/12/2021</t>
  </si>
  <si>
    <t>Trade revceivables</t>
  </si>
  <si>
    <t>cr - contract asset A</t>
  </si>
  <si>
    <t>cr - contract asset B</t>
  </si>
  <si>
    <t>being amounts billed to customers for the year ended 31/12/2021</t>
  </si>
  <si>
    <t>being receipts from customers</t>
  </si>
  <si>
    <t>revenue recognised</t>
  </si>
  <si>
    <t>non contract balance</t>
  </si>
  <si>
    <t>amounts billed to customers</t>
  </si>
  <si>
    <t>net AR</t>
  </si>
  <si>
    <t>receipts from customers</t>
  </si>
  <si>
    <t>WSE23.7</t>
  </si>
  <si>
    <t>Valois Ltd</t>
  </si>
  <si>
    <t>completion</t>
  </si>
  <si>
    <t>incentive</t>
  </si>
  <si>
    <t>if done before 30th April 2028</t>
  </si>
  <si>
    <t>£</t>
  </si>
  <si>
    <t>if not done before 31/7/28</t>
  </si>
  <si>
    <t>confident the incentive payment will be hit</t>
  </si>
  <si>
    <t>so we will recognise a further 550k of revenue</t>
  </si>
  <si>
    <t>recognise a contract asset for this</t>
  </si>
  <si>
    <t>we are confident it will be met</t>
  </si>
  <si>
    <t>evidenced by the fact we are ahead of schedule</t>
  </si>
  <si>
    <t>contract cost</t>
  </si>
  <si>
    <t>prod o/h</t>
  </si>
  <si>
    <t>other d. cost</t>
  </si>
  <si>
    <t>R&amp;D</t>
  </si>
  <si>
    <t>gen admin</t>
  </si>
  <si>
    <t>Depr</t>
  </si>
  <si>
    <t>pro fees</t>
  </si>
  <si>
    <t>material</t>
  </si>
  <si>
    <t>labour</t>
  </si>
  <si>
    <t>allowable costs</t>
  </si>
  <si>
    <t>unpaid invoice</t>
  </si>
  <si>
    <t>&lt;&lt;in AR</t>
  </si>
  <si>
    <t>figure out the POC on this contract</t>
  </si>
  <si>
    <t>total allowable cost</t>
  </si>
  <si>
    <t>variable</t>
  </si>
  <si>
    <t>fixed</t>
  </si>
  <si>
    <t>&lt;&lt; not specified in contract therefore not recvoerable</t>
  </si>
  <si>
    <t>Profitability</t>
  </si>
  <si>
    <t>total allowable costs</t>
  </si>
  <si>
    <t>estimated profit</t>
  </si>
  <si>
    <t>contract is proftiable therefore no onerous contract.</t>
  </si>
  <si>
    <t>Stage of completion</t>
  </si>
  <si>
    <t>Revenue</t>
  </si>
  <si>
    <t>estimated contract price</t>
  </si>
  <si>
    <t>factor in probable incentive bonues</t>
  </si>
  <si>
    <t>cr - SPL revnue</t>
  </si>
  <si>
    <t>being revenue from contract with customer</t>
  </si>
  <si>
    <t>Cost of sale</t>
  </si>
  <si>
    <t>Cost incurred to date are recorded in cost of sales as they relate to performance obligaitons satisfied during the year</t>
  </si>
  <si>
    <t>cr - contract suspense</t>
  </si>
  <si>
    <t>Trade receivables</t>
  </si>
  <si>
    <t>dr - suspense account</t>
  </si>
  <si>
    <t>being correction to invoice raised</t>
  </si>
  <si>
    <t>Contract balance</t>
  </si>
  <si>
    <t>a contract has become a liablitiy to recognise as the amount invoiced exceeds the revenue earned</t>
  </si>
  <si>
    <t>Revenue from contract with customer</t>
  </si>
  <si>
    <t>invoice raised</t>
  </si>
  <si>
    <t>contract liability</t>
  </si>
  <si>
    <t>dr</t>
  </si>
  <si>
    <t>cr</t>
  </si>
  <si>
    <t>Specialist Supermarkets plc</t>
  </si>
  <si>
    <t>R1</t>
  </si>
  <si>
    <t>Cormac Cleaning</t>
  </si>
  <si>
    <t>product for service consideration</t>
  </si>
  <si>
    <t>Sales price or specialist</t>
  </si>
  <si>
    <t>FV of Cormac services</t>
  </si>
  <si>
    <t>a contract exists here</t>
  </si>
  <si>
    <t>Advise, providing explanations, on whether a contract for revenue exists in each of the agreements in the Appendix and determine the transaction price for the year ended 31 August 20X2.3</t>
  </si>
  <si>
    <t>Iceman refrigeration</t>
  </si>
  <si>
    <t>Dr - admin costs - cleaning</t>
  </si>
  <si>
    <t>cost to Iceman</t>
  </si>
  <si>
    <t>Stand-alone selling price</t>
  </si>
  <si>
    <t>we have effectively bought goods with a view to sell</t>
  </si>
  <si>
    <t>the speculative nature of the inventory is irrelavent</t>
  </si>
  <si>
    <t xml:space="preserve">dr - inventory </t>
  </si>
  <si>
    <t>Green Market Place plc</t>
  </si>
  <si>
    <t>sales</t>
  </si>
  <si>
    <t>as the good are similar and of equal values.  No journal is required.</t>
  </si>
  <si>
    <t>just an update to internal inventory systems</t>
  </si>
  <si>
    <t>no FS line adjustment is required.</t>
  </si>
  <si>
    <t>FV of distirbution services</t>
  </si>
  <si>
    <t>no commercial substance</t>
  </si>
  <si>
    <t>being renveue recorded at the fair value of cleaning services received and corresponding cleaning expense</t>
  </si>
  <si>
    <t>being revenue recorded a the stand-alon price of distributin services performedn and corresponding goods received</t>
  </si>
  <si>
    <t>Harper's Heavy Plant plc</t>
  </si>
  <si>
    <t>contract date</t>
  </si>
  <si>
    <t>sale of 10 dumpers</t>
  </si>
  <si>
    <t>written agreement</t>
  </si>
  <si>
    <t>payment terms - consideration</t>
  </si>
  <si>
    <t>contract signed</t>
  </si>
  <si>
    <t>each</t>
  </si>
  <si>
    <t>Cost of manufacture</t>
  </si>
  <si>
    <t>truck have not been removed from inventories and into COGS</t>
  </si>
  <si>
    <t>Yes, given the above a contract exists.  We have a signed written agreement.  Details of consideration and payment terms.  Both parties are capable of performing the contract</t>
  </si>
  <si>
    <t>despatch</t>
  </si>
  <si>
    <t>POD received</t>
  </si>
  <si>
    <t>Delivery cost</t>
  </si>
  <si>
    <t>dr - cost of sales</t>
  </si>
  <si>
    <t>admin cost</t>
  </si>
  <si>
    <t>cr - admin cost</t>
  </si>
  <si>
    <t>credit terms</t>
  </si>
  <si>
    <t>days</t>
  </si>
  <si>
    <t>no concerns about ability to pay so no BD prov'n required</t>
  </si>
  <si>
    <t>is the price paid even though the list price is 150,000 the price paid is the number to consider</t>
  </si>
  <si>
    <t>dr - COGS</t>
  </si>
  <si>
    <t>trucks will have been held at the lower of cost and NRV - 100,000 each</t>
  </si>
  <si>
    <t>cr - inventory FG</t>
  </si>
  <si>
    <t>being sale of trucks on 60 days credit,  correction of SGA to COGS from admin exp, and movement of inventory to COGS.</t>
  </si>
  <si>
    <t>has commercial substance</t>
  </si>
  <si>
    <t>no concerns over ability to pay</t>
  </si>
  <si>
    <t>good jonb one this one.  Nailed it.  Double check the contract recognition checklist from the noes</t>
  </si>
  <si>
    <t>Bluffington Post Ltd</t>
  </si>
  <si>
    <t>per quarter payable in arrears</t>
  </si>
  <si>
    <t xml:space="preserve"> </t>
  </si>
  <si>
    <t>application approvals</t>
  </si>
  <si>
    <t>total subscibers</t>
  </si>
  <si>
    <t>cash received</t>
  </si>
  <si>
    <t>dr- cash received</t>
  </si>
  <si>
    <t>yes, contract for revenue exists</t>
  </si>
  <si>
    <t>yes - online form with tickbox/e-signature</t>
  </si>
  <si>
    <t>yes - quarterly in arrears.  Quarter end following sign up regardless of sigup on first or last day of the quarter</t>
  </si>
  <si>
    <t>yes - small ticket item £5.99 per year</t>
  </si>
  <si>
    <t>yes</t>
  </si>
  <si>
    <t>R2</t>
  </si>
  <si>
    <t>revenue recognition as at YE</t>
  </si>
  <si>
    <t>all revenue up to 31/12/2027 can be recognised as 100%</t>
  </si>
  <si>
    <t>revenue from 01/01/28 to 28/2/28 needs to be pro-rated to 2 months out of three</t>
  </si>
  <si>
    <t>delta</t>
  </si>
  <si>
    <t>revenue</t>
  </si>
  <si>
    <t>revenue earned</t>
  </si>
  <si>
    <t>dr - subscriptions received</t>
  </si>
  <si>
    <t>yes - sold for cash consideration</t>
  </si>
  <si>
    <t>=100*5.99*2/3</t>
  </si>
  <si>
    <t>=120*5.99*1/2</t>
  </si>
  <si>
    <t>esisinting customers</t>
  </si>
  <si>
    <t>beign correction to subscriptions received and accrued income at year end</t>
  </si>
  <si>
    <t>&lt;&lt;&lt;good job here - on the contract asset - remember to include the existing customers.  A careless mistake.  A good mistake to make.  Got all the other marks</t>
  </si>
  <si>
    <t>Web Heller plc</t>
  </si>
  <si>
    <t>30 days</t>
  </si>
  <si>
    <t>Duck</t>
  </si>
  <si>
    <t>contract agreed</t>
  </si>
  <si>
    <t xml:space="preserve">delivery </t>
  </si>
  <si>
    <t>&lt;&lt;&lt;transaction date</t>
  </si>
  <si>
    <t>payment date</t>
  </si>
  <si>
    <t>payment amount</t>
  </si>
  <si>
    <t>Given payment will be received within one year</t>
  </si>
  <si>
    <t>no finance element is relevant</t>
  </si>
  <si>
    <t>Web should recognise half a year's revnue</t>
  </si>
  <si>
    <t>months to YE</t>
  </si>
  <si>
    <t>YE to payment date</t>
  </si>
  <si>
    <t>Goose</t>
  </si>
  <si>
    <t>Disposal</t>
  </si>
  <si>
    <t>disposal date</t>
  </si>
  <si>
    <t>increase in sale</t>
  </si>
  <si>
    <t>10-24</t>
  </si>
  <si>
    <t>25-49</t>
  </si>
  <si>
    <t>50+</t>
  </si>
  <si>
    <t>prob%</t>
  </si>
  <si>
    <t>no discounting required as payment within 1 year</t>
  </si>
  <si>
    <t>Steps</t>
  </si>
  <si>
    <t>identify the performance obligations in the contract</t>
  </si>
  <si>
    <t>determin transaction price</t>
  </si>
  <si>
    <t>Allocate the transaction price to the performance obligations in the contract</t>
  </si>
  <si>
    <t xml:space="preserve">cash payment </t>
  </si>
  <si>
    <t>finance element</t>
  </si>
  <si>
    <t>cr - finance inceom</t>
  </si>
  <si>
    <t>being stand-alone selling prie recognised on dleivery of the machine and finance icome for the six months to 31/12/2016</t>
  </si>
  <si>
    <t>being variable consideratin due on 30/09/2027</t>
  </si>
  <si>
    <t>Step</t>
  </si>
  <si>
    <t>Identify the performance obligations in the contract</t>
  </si>
  <si>
    <t>Determine transaction price</t>
  </si>
  <si>
    <t>Recognise the revenue (or as) the entity satisfies a performance obligations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</si>
</sst>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
  </numFmts>
  <fonts count="9"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i/>
      <sz val="9"/>
      <color theme="1"/>
      <name val="Calibri"/>
      <family val="2"/>
      <scheme val="minor"/>
    </font>
    <font>
      <b/>
      <i/>
      <sz val="11"/>
      <color theme="1"/>
      <name val="Calibri"/>
      <family val="2"/>
      <scheme val="minor"/>
    </font>
    <font>
      <b/>
      <sz val="9"/>
      <color theme="1"/>
      <name val="Calibri"/>
      <family val="2"/>
      <scheme val="minor"/>
    </font>
    <font>
      <strike/>
      <sz val="11"/>
      <color theme="1"/>
      <name val="Calibri"/>
      <family val="2"/>
      <scheme val="minor"/>
    </font>
    <font>
      <strike/>
      <sz val="9"/>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0" xfId="0" applyFont="1"/>
    <xf numFmtId="0" fontId="2" fillId="0" borderId="0" xfId="0" applyFont="1"/>
    <xf numFmtId="0" fontId="3" fillId="0" borderId="0" xfId="1"/>
    <xf numFmtId="14" fontId="0" fillId="0" borderId="0" xfId="0" applyNumberFormat="1"/>
    <xf numFmtId="3" fontId="0" fillId="0" borderId="0" xfId="0" applyNumberFormat="1"/>
    <xf numFmtId="3" fontId="1" fillId="0" borderId="0" xfId="0" applyNumberFormat="1" applyFont="1"/>
    <xf numFmtId="14" fontId="0" fillId="0" borderId="0" xfId="0" applyNumberFormat="1" applyFont="1"/>
    <xf numFmtId="0" fontId="0" fillId="0" borderId="1" xfId="0" applyBorder="1"/>
    <xf numFmtId="0" fontId="0" fillId="0" borderId="0" xfId="0" applyBorder="1"/>
    <xf numFmtId="14" fontId="2" fillId="0" borderId="0" xfId="0" applyNumberFormat="1" applyFont="1"/>
    <xf numFmtId="8" fontId="2" fillId="0" borderId="0" xfId="0" applyNumberFormat="1" applyFont="1"/>
    <xf numFmtId="3" fontId="2" fillId="0" borderId="0" xfId="0" applyNumberFormat="1" applyFont="1"/>
    <xf numFmtId="0" fontId="4" fillId="0" borderId="0" xfId="0" applyFont="1"/>
    <xf numFmtId="0" fontId="4" fillId="2" borderId="0" xfId="0" applyFont="1" applyFill="1"/>
    <xf numFmtId="44" fontId="2" fillId="0" borderId="0" xfId="0" applyNumberFormat="1" applyFont="1"/>
    <xf numFmtId="0" fontId="1" fillId="0" borderId="0" xfId="0" applyFont="1"/>
    <xf numFmtId="9" fontId="0" fillId="0" borderId="0" xfId="0" applyNumberFormat="1"/>
    <xf numFmtId="0" fontId="0" fillId="2" borderId="0" xfId="0" applyFill="1"/>
    <xf numFmtId="14" fontId="5" fillId="0" borderId="0" xfId="0" applyNumberFormat="1" applyFont="1"/>
    <xf numFmtId="0" fontId="6" fillId="0" borderId="0" xfId="0" applyFont="1"/>
    <xf numFmtId="164" fontId="2" fillId="0" borderId="0" xfId="0" applyNumberFormat="1" applyFont="1"/>
    <xf numFmtId="3" fontId="2" fillId="0" borderId="1" xfId="0" applyNumberFormat="1" applyFont="1" applyBorder="1"/>
    <xf numFmtId="3" fontId="2" fillId="0" borderId="2" xfId="0" applyNumberFormat="1" applyFont="1" applyBorder="1"/>
    <xf numFmtId="0" fontId="2" fillId="2" borderId="0" xfId="0" applyFont="1" applyFill="1"/>
    <xf numFmtId="10" fontId="0" fillId="0" borderId="0" xfId="0" applyNumberFormat="1"/>
    <xf numFmtId="3" fontId="0" fillId="0" borderId="1" xfId="0" applyNumberFormat="1" applyBorder="1"/>
    <xf numFmtId="3" fontId="0" fillId="0" borderId="0" xfId="0" applyNumberFormat="1" applyBorder="1"/>
    <xf numFmtId="3" fontId="0" fillId="0" borderId="2" xfId="0" applyNumberFormat="1" applyBorder="1"/>
    <xf numFmtId="0" fontId="0" fillId="0" borderId="0" xfId="0" applyAlignment="1">
      <alignment horizontal="right" vertical="center"/>
    </xf>
    <xf numFmtId="0" fontId="7" fillId="0" borderId="0" xfId="0" applyFont="1"/>
    <xf numFmtId="3" fontId="7" fillId="0" borderId="0" xfId="0" applyNumberFormat="1" applyFont="1"/>
    <xf numFmtId="3" fontId="0" fillId="2" borderId="0" xfId="0" applyNumberFormat="1" applyFill="1"/>
    <xf numFmtId="9" fontId="2" fillId="0" borderId="0" xfId="0" applyNumberFormat="1" applyFont="1"/>
    <xf numFmtId="3" fontId="8" fillId="0" borderId="0" xfId="0" applyNumberFormat="1" applyFont="1"/>
    <xf numFmtId="3" fontId="2" fillId="0" borderId="0" xfId="0" applyNumberFormat="1" applyFont="1" applyBorder="1"/>
    <xf numFmtId="0" fontId="2" fillId="0" borderId="0" xfId="0" applyFont="1" applyAlignment="1">
      <alignment horizontal="right"/>
    </xf>
    <xf numFmtId="0" fontId="2" fillId="0" borderId="0" xfId="0" quotePrefix="1" applyFont="1"/>
    <xf numFmtId="17" fontId="2" fillId="0" borderId="0" xfId="0" quotePrefix="1"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57150</xdr:rowOff>
    </xdr:from>
    <xdr:to>
      <xdr:col>9</xdr:col>
      <xdr:colOff>53115</xdr:colOff>
      <xdr:row>34</xdr:row>
      <xdr:rowOff>550</xdr:rowOff>
    </xdr:to>
    <xdr:pic>
      <xdr:nvPicPr>
        <xdr:cNvPr id="2" name="Picture 1">
          <a:extLst>
            <a:ext uri="{FF2B5EF4-FFF2-40B4-BE49-F238E27FC236}">
              <a16:creationId xmlns:a16="http://schemas.microsoft.com/office/drawing/2014/main" id="{A7ABB019-1AAC-A036-49C4-9681F074667E}"/>
            </a:ext>
          </a:extLst>
        </xdr:cNvPr>
        <xdr:cNvPicPr>
          <a:picLocks noChangeAspect="1"/>
        </xdr:cNvPicPr>
      </xdr:nvPicPr>
      <xdr:blipFill>
        <a:blip xmlns:r="http://schemas.openxmlformats.org/officeDocument/2006/relationships" r:embed="rId1"/>
        <a:stretch>
          <a:fillRect/>
        </a:stretch>
      </xdr:blipFill>
      <xdr:spPr>
        <a:xfrm>
          <a:off x="609600" y="3295650"/>
          <a:ext cx="5520465" cy="3181900"/>
        </a:xfrm>
        <a:prstGeom prst="rect">
          <a:avLst/>
        </a:prstGeom>
      </xdr:spPr>
    </xdr:pic>
    <xdr:clientData/>
  </xdr:twoCellAnchor>
  <xdr:twoCellAnchor editAs="oneCell">
    <xdr:from>
      <xdr:col>1</xdr:col>
      <xdr:colOff>1</xdr:colOff>
      <xdr:row>68</xdr:row>
      <xdr:rowOff>1</xdr:rowOff>
    </xdr:from>
    <xdr:to>
      <xdr:col>8</xdr:col>
      <xdr:colOff>457201</xdr:colOff>
      <xdr:row>76</xdr:row>
      <xdr:rowOff>135561</xdr:rowOff>
    </xdr:to>
    <xdr:pic>
      <xdr:nvPicPr>
        <xdr:cNvPr id="3" name="Picture 2">
          <a:extLst>
            <a:ext uri="{FF2B5EF4-FFF2-40B4-BE49-F238E27FC236}">
              <a16:creationId xmlns:a16="http://schemas.microsoft.com/office/drawing/2014/main" id="{02F638B6-3DA3-B49F-1C48-1CBEF06528FB}"/>
            </a:ext>
          </a:extLst>
        </xdr:cNvPr>
        <xdr:cNvPicPr>
          <a:picLocks noChangeAspect="1"/>
        </xdr:cNvPicPr>
      </xdr:nvPicPr>
      <xdr:blipFill>
        <a:blip xmlns:r="http://schemas.openxmlformats.org/officeDocument/2006/relationships" r:embed="rId2"/>
        <a:stretch>
          <a:fillRect/>
        </a:stretch>
      </xdr:blipFill>
      <xdr:spPr>
        <a:xfrm>
          <a:off x="609601" y="12954001"/>
          <a:ext cx="5314950" cy="1659560"/>
        </a:xfrm>
        <a:prstGeom prst="rect">
          <a:avLst/>
        </a:prstGeom>
      </xdr:spPr>
    </xdr:pic>
    <xdr:clientData/>
  </xdr:twoCellAnchor>
  <xdr:twoCellAnchor editAs="oneCell">
    <xdr:from>
      <xdr:col>1</xdr:col>
      <xdr:colOff>0</xdr:colOff>
      <xdr:row>131</xdr:row>
      <xdr:rowOff>0</xdr:rowOff>
    </xdr:from>
    <xdr:to>
      <xdr:col>11</xdr:col>
      <xdr:colOff>324828</xdr:colOff>
      <xdr:row>166</xdr:row>
      <xdr:rowOff>19983</xdr:rowOff>
    </xdr:to>
    <xdr:pic>
      <xdr:nvPicPr>
        <xdr:cNvPr id="4" name="Picture 3">
          <a:extLst>
            <a:ext uri="{FF2B5EF4-FFF2-40B4-BE49-F238E27FC236}">
              <a16:creationId xmlns:a16="http://schemas.microsoft.com/office/drawing/2014/main" id="{171F375D-4E2A-2E99-FC08-6C470853A34C}"/>
            </a:ext>
          </a:extLst>
        </xdr:cNvPr>
        <xdr:cNvPicPr>
          <a:picLocks noChangeAspect="1"/>
        </xdr:cNvPicPr>
      </xdr:nvPicPr>
      <xdr:blipFill>
        <a:blip xmlns:r="http://schemas.openxmlformats.org/officeDocument/2006/relationships" r:embed="rId3"/>
        <a:stretch>
          <a:fillRect/>
        </a:stretch>
      </xdr:blipFill>
      <xdr:spPr>
        <a:xfrm>
          <a:off x="609600" y="24974550"/>
          <a:ext cx="7011378" cy="6687483"/>
        </a:xfrm>
        <a:prstGeom prst="rect">
          <a:avLst/>
        </a:prstGeom>
      </xdr:spPr>
    </xdr:pic>
    <xdr:clientData/>
  </xdr:twoCellAnchor>
  <xdr:twoCellAnchor editAs="oneCell">
    <xdr:from>
      <xdr:col>1</xdr:col>
      <xdr:colOff>0</xdr:colOff>
      <xdr:row>167</xdr:row>
      <xdr:rowOff>9524</xdr:rowOff>
    </xdr:from>
    <xdr:to>
      <xdr:col>11</xdr:col>
      <xdr:colOff>417637</xdr:colOff>
      <xdr:row>186</xdr:row>
      <xdr:rowOff>190499</xdr:rowOff>
    </xdr:to>
    <xdr:pic>
      <xdr:nvPicPr>
        <xdr:cNvPr id="5" name="Picture 4">
          <a:extLst>
            <a:ext uri="{FF2B5EF4-FFF2-40B4-BE49-F238E27FC236}">
              <a16:creationId xmlns:a16="http://schemas.microsoft.com/office/drawing/2014/main" id="{17E38908-069D-52E6-EFEE-39DA09FF4862}"/>
            </a:ext>
          </a:extLst>
        </xdr:cNvPr>
        <xdr:cNvPicPr>
          <a:picLocks noChangeAspect="1"/>
        </xdr:cNvPicPr>
      </xdr:nvPicPr>
      <xdr:blipFill>
        <a:blip xmlns:r="http://schemas.openxmlformats.org/officeDocument/2006/relationships" r:embed="rId4"/>
        <a:stretch>
          <a:fillRect/>
        </a:stretch>
      </xdr:blipFill>
      <xdr:spPr>
        <a:xfrm>
          <a:off x="609600" y="31842074"/>
          <a:ext cx="7104187" cy="3800475"/>
        </a:xfrm>
        <a:prstGeom prst="rect">
          <a:avLst/>
        </a:prstGeom>
      </xdr:spPr>
    </xdr:pic>
    <xdr:clientData/>
  </xdr:twoCellAnchor>
  <xdr:twoCellAnchor editAs="oneCell">
    <xdr:from>
      <xdr:col>1</xdr:col>
      <xdr:colOff>0</xdr:colOff>
      <xdr:row>234</xdr:row>
      <xdr:rowOff>0</xdr:rowOff>
    </xdr:from>
    <xdr:to>
      <xdr:col>5</xdr:col>
      <xdr:colOff>526676</xdr:colOff>
      <xdr:row>257</xdr:row>
      <xdr:rowOff>63043</xdr:rowOff>
    </xdr:to>
    <xdr:pic>
      <xdr:nvPicPr>
        <xdr:cNvPr id="6" name="Picture 5">
          <a:extLst>
            <a:ext uri="{FF2B5EF4-FFF2-40B4-BE49-F238E27FC236}">
              <a16:creationId xmlns:a16="http://schemas.microsoft.com/office/drawing/2014/main" id="{9319D03C-25D8-F71E-8898-7C50BFB87334}"/>
            </a:ext>
          </a:extLst>
        </xdr:cNvPr>
        <xdr:cNvPicPr>
          <a:picLocks noChangeAspect="1"/>
        </xdr:cNvPicPr>
      </xdr:nvPicPr>
      <xdr:blipFill>
        <a:blip xmlns:r="http://schemas.openxmlformats.org/officeDocument/2006/relationships" r:embed="rId5"/>
        <a:stretch>
          <a:fillRect/>
        </a:stretch>
      </xdr:blipFill>
      <xdr:spPr>
        <a:xfrm>
          <a:off x="605118" y="44644235"/>
          <a:ext cx="3552264" cy="4444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8</xdr:col>
      <xdr:colOff>34065</xdr:colOff>
      <xdr:row>23</xdr:row>
      <xdr:rowOff>40774</xdr:rowOff>
    </xdr:to>
    <xdr:pic>
      <xdr:nvPicPr>
        <xdr:cNvPr id="2" name="Picture 1">
          <a:extLst>
            <a:ext uri="{FF2B5EF4-FFF2-40B4-BE49-F238E27FC236}">
              <a16:creationId xmlns:a16="http://schemas.microsoft.com/office/drawing/2014/main" id="{C29CF176-6E2E-41B5-AD23-2FD32444E746}"/>
            </a:ext>
          </a:extLst>
        </xdr:cNvPr>
        <xdr:cNvPicPr>
          <a:picLocks noChangeAspect="1"/>
        </xdr:cNvPicPr>
      </xdr:nvPicPr>
      <xdr:blipFill>
        <a:blip xmlns:r="http://schemas.openxmlformats.org/officeDocument/2006/relationships" r:embed="rId1"/>
        <a:stretch>
          <a:fillRect/>
        </a:stretch>
      </xdr:blipFill>
      <xdr:spPr>
        <a:xfrm>
          <a:off x="609600" y="1104900"/>
          <a:ext cx="4301265" cy="2479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F0004-2B25-41F4-8841-DC5251B91AEC}">
  <dimension ref="A1:C9"/>
  <sheetViews>
    <sheetView workbookViewId="0">
      <selection activeCell="G11" sqref="G11"/>
    </sheetView>
  </sheetViews>
  <sheetFormatPr defaultRowHeight="12" x14ac:dyDescent="0.2"/>
  <cols>
    <col min="1" max="16384" width="9.140625" style="2"/>
  </cols>
  <sheetData>
    <row r="1" spans="1:3" ht="15" x14ac:dyDescent="0.25">
      <c r="A1" s="3"/>
    </row>
    <row r="2" spans="1:3" ht="15" x14ac:dyDescent="0.25">
      <c r="B2" s="3" t="s">
        <v>1</v>
      </c>
      <c r="C2" s="3" t="s">
        <v>136</v>
      </c>
    </row>
    <row r="3" spans="1:3" ht="15" x14ac:dyDescent="0.25">
      <c r="C3" s="3" t="s">
        <v>62</v>
      </c>
    </row>
    <row r="4" spans="1:3" ht="15" x14ac:dyDescent="0.25">
      <c r="C4" s="3" t="s">
        <v>63</v>
      </c>
    </row>
    <row r="5" spans="1:3" ht="15" x14ac:dyDescent="0.25">
      <c r="C5" s="3" t="s">
        <v>137</v>
      </c>
    </row>
    <row r="6" spans="1:3" ht="15" x14ac:dyDescent="0.25">
      <c r="C6" s="3" t="s">
        <v>138</v>
      </c>
    </row>
    <row r="7" spans="1:3" ht="15" x14ac:dyDescent="0.25">
      <c r="C7" s="3" t="s">
        <v>139</v>
      </c>
    </row>
    <row r="8" spans="1:3" ht="15" x14ac:dyDescent="0.25">
      <c r="C8" s="3" t="s">
        <v>236</v>
      </c>
    </row>
    <row r="9" spans="1:3" ht="15" x14ac:dyDescent="0.25">
      <c r="C9" s="3" t="s">
        <v>140</v>
      </c>
    </row>
  </sheetData>
  <hyperlinks>
    <hyperlink ref="C3" location="WSE23.2!A1" display="WSE23.2" xr:uid="{B005D399-8F95-40AD-9FF0-DE86C3EBD9BA}"/>
    <hyperlink ref="C4" location="WSE23.3!A1" display="WSE23.3" xr:uid="{9B9B45DB-1B70-4DFE-8871-4A44B43B7B12}"/>
    <hyperlink ref="C2" location="WSE23.1!A1" display="WSE23.1" xr:uid="{73EA28B2-E706-48ED-A6BB-96C904E85665}"/>
    <hyperlink ref="C5" location="WSE23.4!A1" display="WSE23.4" xr:uid="{9A4A6586-68CE-4E66-99A4-66987E3B7ACB}"/>
    <hyperlink ref="C6" location="WSE23.5!A1" display="WSE23.5" xr:uid="{691469A5-E78B-4AD5-97AE-BA0BA4B1CA67}"/>
    <hyperlink ref="C7" location="WSE23.6!A1" display="WSE23.6" xr:uid="{26FCB94E-3CE9-4850-B395-B19F2FDA7B72}"/>
    <hyperlink ref="C9" location="WSE23.9!A1" display="WSE23.9" xr:uid="{3D645BBE-9329-423A-857F-14935B7F3131}"/>
    <hyperlink ref="C8" location="WSE23.7!A1" display="WSE23.7" xr:uid="{FEDD51D1-2009-4475-946E-20F5F35C62C5}"/>
    <hyperlink ref="B2" location="'Module 23'!A1" display="Module 23" xr:uid="{068E87BA-3B05-4090-96F0-49674CDFE46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4491-B1C0-440B-B648-52FEAEA63DA4}">
  <dimension ref="A1:F60"/>
  <sheetViews>
    <sheetView zoomScale="175" zoomScaleNormal="175" workbookViewId="0">
      <selection activeCell="C31" sqref="C31"/>
    </sheetView>
  </sheetViews>
  <sheetFormatPr defaultRowHeight="12" x14ac:dyDescent="0.2"/>
  <cols>
    <col min="1" max="16384" width="9.140625" style="2"/>
  </cols>
  <sheetData>
    <row r="1" spans="1:3" ht="15" x14ac:dyDescent="0.25">
      <c r="A1" s="3" t="s">
        <v>0</v>
      </c>
    </row>
    <row r="3" spans="1:3" x14ac:dyDescent="0.2">
      <c r="B3" s="2" t="s">
        <v>365</v>
      </c>
    </row>
    <row r="4" spans="1:3" x14ac:dyDescent="0.2">
      <c r="B4" s="2" t="s">
        <v>65</v>
      </c>
      <c r="C4" s="10">
        <v>46387</v>
      </c>
    </row>
    <row r="6" spans="1:3" x14ac:dyDescent="0.2">
      <c r="B6" s="2" t="s">
        <v>328</v>
      </c>
      <c r="C6" s="2" t="s">
        <v>366</v>
      </c>
    </row>
    <row r="8" spans="1:3" x14ac:dyDescent="0.2">
      <c r="B8" s="2" t="s">
        <v>367</v>
      </c>
    </row>
    <row r="9" spans="1:3" x14ac:dyDescent="0.2">
      <c r="B9" s="2" t="s">
        <v>387</v>
      </c>
    </row>
    <row r="10" spans="1:3" x14ac:dyDescent="0.2">
      <c r="B10" s="2">
        <v>1</v>
      </c>
      <c r="C10" s="2" t="s">
        <v>388</v>
      </c>
    </row>
    <row r="11" spans="1:3" x14ac:dyDescent="0.2">
      <c r="B11" s="2">
        <v>2</v>
      </c>
      <c r="C11" s="2" t="s">
        <v>389</v>
      </c>
    </row>
    <row r="12" spans="1:3" x14ac:dyDescent="0.2">
      <c r="B12" s="2">
        <v>3</v>
      </c>
      <c r="C12" s="2" t="s">
        <v>390</v>
      </c>
    </row>
    <row r="13" spans="1:3" x14ac:dyDescent="0.2">
      <c r="B13" s="2">
        <v>4</v>
      </c>
    </row>
    <row r="14" spans="1:3" x14ac:dyDescent="0.2">
      <c r="B14" s="2">
        <v>5</v>
      </c>
      <c r="C14" s="2" t="s">
        <v>399</v>
      </c>
    </row>
    <row r="16" spans="1:3" x14ac:dyDescent="0.2">
      <c r="B16" s="2" t="s">
        <v>368</v>
      </c>
      <c r="C16" s="10">
        <v>46174</v>
      </c>
    </row>
    <row r="17" spans="2:4" x14ac:dyDescent="0.2">
      <c r="B17" s="2" t="s">
        <v>369</v>
      </c>
      <c r="C17" s="10">
        <v>46204</v>
      </c>
      <c r="D17" s="2" t="s">
        <v>370</v>
      </c>
    </row>
    <row r="19" spans="2:4" x14ac:dyDescent="0.2">
      <c r="B19" s="2" t="s">
        <v>371</v>
      </c>
      <c r="C19" s="10">
        <v>46568</v>
      </c>
    </row>
    <row r="20" spans="2:4" x14ac:dyDescent="0.2">
      <c r="B20" s="2" t="s">
        <v>372</v>
      </c>
      <c r="C20" s="12">
        <v>161000</v>
      </c>
    </row>
    <row r="21" spans="2:4" x14ac:dyDescent="0.2">
      <c r="B21" s="2" t="s">
        <v>391</v>
      </c>
      <c r="C21" s="12">
        <v>145000</v>
      </c>
    </row>
    <row r="22" spans="2:4" x14ac:dyDescent="0.2">
      <c r="B22" s="2" t="s">
        <v>392</v>
      </c>
      <c r="C22" s="12">
        <f>+C20-C21</f>
        <v>16000</v>
      </c>
    </row>
    <row r="23" spans="2:4" x14ac:dyDescent="0.2">
      <c r="C23" s="12"/>
    </row>
    <row r="24" spans="2:4" x14ac:dyDescent="0.2">
      <c r="B24" s="2" t="s">
        <v>373</v>
      </c>
    </row>
    <row r="25" spans="2:4" x14ac:dyDescent="0.2">
      <c r="B25" s="2" t="s">
        <v>374</v>
      </c>
    </row>
    <row r="27" spans="2:4" x14ac:dyDescent="0.2">
      <c r="B27" s="2" t="s">
        <v>375</v>
      </c>
    </row>
    <row r="29" spans="2:4" x14ac:dyDescent="0.2">
      <c r="B29" s="2" t="s">
        <v>376</v>
      </c>
      <c r="C29" s="12">
        <f>YEARFRAC(C17,C4)*12</f>
        <v>6</v>
      </c>
    </row>
    <row r="30" spans="2:4" x14ac:dyDescent="0.2">
      <c r="B30" s="2" t="s">
        <v>377</v>
      </c>
      <c r="C30" s="12">
        <f>YEARFRAC(C4,C19)*12</f>
        <v>6</v>
      </c>
    </row>
    <row r="31" spans="2:4" x14ac:dyDescent="0.2">
      <c r="C31" s="12">
        <f>+$C$22*C29/12</f>
        <v>8000</v>
      </c>
    </row>
    <row r="32" spans="2:4" x14ac:dyDescent="0.2">
      <c r="C32" s="12">
        <f>+$C$22*C30/12</f>
        <v>8000</v>
      </c>
    </row>
    <row r="33" spans="2:6" x14ac:dyDescent="0.2">
      <c r="C33" s="12"/>
    </row>
    <row r="34" spans="2:6" x14ac:dyDescent="0.2">
      <c r="B34" s="2" t="s">
        <v>31</v>
      </c>
      <c r="E34" s="12">
        <f>+C21+C31</f>
        <v>153000</v>
      </c>
    </row>
    <row r="35" spans="2:6" x14ac:dyDescent="0.2">
      <c r="C35" s="2" t="s">
        <v>220</v>
      </c>
      <c r="F35" s="12">
        <f>+C21</f>
        <v>145000</v>
      </c>
    </row>
    <row r="36" spans="2:6" x14ac:dyDescent="0.2">
      <c r="C36" s="2" t="s">
        <v>393</v>
      </c>
      <c r="F36" s="12">
        <f>+C31</f>
        <v>8000</v>
      </c>
    </row>
    <row r="37" spans="2:6" x14ac:dyDescent="0.2">
      <c r="B37" s="2" t="s">
        <v>394</v>
      </c>
    </row>
    <row r="40" spans="2:6" x14ac:dyDescent="0.2">
      <c r="B40" s="2" t="s">
        <v>378</v>
      </c>
    </row>
    <row r="41" spans="2:6" x14ac:dyDescent="0.2">
      <c r="B41" s="2" t="s">
        <v>396</v>
      </c>
    </row>
    <row r="42" spans="2:6" x14ac:dyDescent="0.2">
      <c r="B42" s="2">
        <v>2</v>
      </c>
      <c r="C42" s="2" t="s">
        <v>397</v>
      </c>
    </row>
    <row r="43" spans="2:6" x14ac:dyDescent="0.2">
      <c r="B43" s="2">
        <v>3</v>
      </c>
      <c r="C43" s="2" t="s">
        <v>398</v>
      </c>
    </row>
    <row r="44" spans="2:6" x14ac:dyDescent="0.2">
      <c r="B44" s="2">
        <v>4</v>
      </c>
      <c r="C44" s="2" t="s">
        <v>390</v>
      </c>
    </row>
    <row r="45" spans="2:6" x14ac:dyDescent="0.2">
      <c r="B45" s="2">
        <v>5</v>
      </c>
      <c r="C45" s="2" t="s">
        <v>399</v>
      </c>
    </row>
    <row r="47" spans="2:6" x14ac:dyDescent="0.2">
      <c r="B47" s="2" t="s">
        <v>379</v>
      </c>
      <c r="C47" s="2">
        <v>175000</v>
      </c>
    </row>
    <row r="48" spans="2:6" x14ac:dyDescent="0.2">
      <c r="B48" s="2" t="s">
        <v>380</v>
      </c>
      <c r="C48" s="10">
        <v>46296</v>
      </c>
    </row>
    <row r="49" spans="2:6" x14ac:dyDescent="0.2">
      <c r="B49" s="2" t="s">
        <v>40</v>
      </c>
      <c r="C49" s="10">
        <v>46296</v>
      </c>
    </row>
    <row r="51" spans="2:6" x14ac:dyDescent="0.2">
      <c r="B51" s="2" t="s">
        <v>381</v>
      </c>
      <c r="C51" s="2" t="s">
        <v>54</v>
      </c>
      <c r="D51" s="2" t="s">
        <v>385</v>
      </c>
    </row>
    <row r="52" spans="2:6" x14ac:dyDescent="0.2">
      <c r="B52" s="38" t="s">
        <v>382</v>
      </c>
      <c r="C52" s="2">
        <v>9</v>
      </c>
      <c r="D52" s="33">
        <v>0.3</v>
      </c>
      <c r="E52" s="2">
        <f>+C52*D52</f>
        <v>2.6999999999999997</v>
      </c>
    </row>
    <row r="53" spans="2:6" x14ac:dyDescent="0.2">
      <c r="B53" s="37" t="s">
        <v>383</v>
      </c>
      <c r="C53" s="2">
        <v>22</v>
      </c>
      <c r="D53" s="33">
        <v>0.6</v>
      </c>
      <c r="E53" s="2">
        <f t="shared" ref="E53:E54" si="0">+C53*D53</f>
        <v>13.2</v>
      </c>
    </row>
    <row r="54" spans="2:6" x14ac:dyDescent="0.2">
      <c r="B54" s="37" t="s">
        <v>384</v>
      </c>
      <c r="C54" s="2">
        <v>44</v>
      </c>
      <c r="D54" s="33">
        <v>0.1</v>
      </c>
      <c r="E54" s="2">
        <f t="shared" si="0"/>
        <v>4.4000000000000004</v>
      </c>
    </row>
    <row r="55" spans="2:6" x14ac:dyDescent="0.2">
      <c r="E55" s="2">
        <f>SUM(E52:E54)</f>
        <v>20.299999999999997</v>
      </c>
    </row>
    <row r="56" spans="2:6" x14ac:dyDescent="0.2">
      <c r="B56" s="2" t="s">
        <v>386</v>
      </c>
    </row>
    <row r="58" spans="2:6" x14ac:dyDescent="0.2">
      <c r="B58" s="2" t="s">
        <v>38</v>
      </c>
      <c r="E58" s="2">
        <f>+E55</f>
        <v>20.299999999999997</v>
      </c>
    </row>
    <row r="59" spans="2:6" x14ac:dyDescent="0.2">
      <c r="C59" s="2" t="s">
        <v>71</v>
      </c>
      <c r="F59" s="2">
        <f>+E58</f>
        <v>20.299999999999997</v>
      </c>
    </row>
    <row r="60" spans="2:6" x14ac:dyDescent="0.2">
      <c r="B60" s="2" t="s">
        <v>395</v>
      </c>
    </row>
  </sheetData>
  <hyperlinks>
    <hyperlink ref="A1" location="Main!A1" display="Main" xr:uid="{A9968416-1F60-43FE-8B81-ED1C9668CF7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08BF-FB00-4488-A0FD-2BEC8630721C}">
  <dimension ref="A1:G321"/>
  <sheetViews>
    <sheetView tabSelected="1" topLeftCell="A283" zoomScale="145" zoomScaleNormal="145" workbookViewId="0">
      <selection activeCell="G302" sqref="G302"/>
    </sheetView>
  </sheetViews>
  <sheetFormatPr defaultRowHeight="15" x14ac:dyDescent="0.25"/>
  <cols>
    <col min="2" max="2" width="11.5703125" bestFit="1" customWidth="1"/>
    <col min="3" max="3" width="11.85546875" bestFit="1" customWidth="1"/>
    <col min="4" max="4" width="11.140625" bestFit="1" customWidth="1"/>
    <col min="5" max="5" width="10.7109375" bestFit="1" customWidth="1"/>
    <col min="6" max="6" width="9.28515625" bestFit="1" customWidth="1"/>
  </cols>
  <sheetData>
    <row r="1" spans="1:3" x14ac:dyDescent="0.25">
      <c r="A1" s="3" t="s">
        <v>0</v>
      </c>
    </row>
    <row r="2" spans="1:3" x14ac:dyDescent="0.25">
      <c r="B2" s="3"/>
    </row>
    <row r="6" spans="1:3" x14ac:dyDescent="0.25">
      <c r="B6" t="s">
        <v>2</v>
      </c>
      <c r="C6" t="s">
        <v>3</v>
      </c>
    </row>
    <row r="7" spans="1:3" x14ac:dyDescent="0.25">
      <c r="B7" t="s">
        <v>4</v>
      </c>
      <c r="C7" t="s">
        <v>5</v>
      </c>
    </row>
    <row r="8" spans="1:3" x14ac:dyDescent="0.25">
      <c r="B8" t="s">
        <v>6</v>
      </c>
      <c r="C8" t="s">
        <v>7</v>
      </c>
    </row>
    <row r="9" spans="1:3" x14ac:dyDescent="0.25">
      <c r="B9" t="s">
        <v>8</v>
      </c>
      <c r="C9" t="s">
        <v>9</v>
      </c>
    </row>
    <row r="10" spans="1:3" x14ac:dyDescent="0.25">
      <c r="B10" t="s">
        <v>10</v>
      </c>
      <c r="C10" t="s">
        <v>11</v>
      </c>
    </row>
    <row r="13" spans="1:3" x14ac:dyDescent="0.25">
      <c r="B13" t="s">
        <v>12</v>
      </c>
    </row>
    <row r="14" spans="1:3" x14ac:dyDescent="0.25">
      <c r="B14" t="s">
        <v>13</v>
      </c>
    </row>
    <row r="35" spans="2:5" x14ac:dyDescent="0.25">
      <c r="B35" t="s">
        <v>14</v>
      </c>
      <c r="D35">
        <v>420000</v>
      </c>
    </row>
    <row r="36" spans="2:5" x14ac:dyDescent="0.25">
      <c r="B36" t="s">
        <v>15</v>
      </c>
    </row>
    <row r="37" spans="2:5" x14ac:dyDescent="0.25">
      <c r="B37" t="s">
        <v>16</v>
      </c>
    </row>
    <row r="38" spans="2:5" x14ac:dyDescent="0.25">
      <c r="B38" t="s">
        <v>17</v>
      </c>
      <c r="E38" t="s">
        <v>18</v>
      </c>
    </row>
    <row r="39" spans="2:5" x14ac:dyDescent="0.25">
      <c r="B39" t="s">
        <v>19</v>
      </c>
      <c r="E39" t="s">
        <v>18</v>
      </c>
    </row>
    <row r="40" spans="2:5" x14ac:dyDescent="0.25">
      <c r="B40" t="s">
        <v>20</v>
      </c>
      <c r="E40" t="s">
        <v>21</v>
      </c>
    </row>
    <row r="41" spans="2:5" x14ac:dyDescent="0.25">
      <c r="B41" t="s">
        <v>22</v>
      </c>
      <c r="E41" t="s">
        <v>18</v>
      </c>
    </row>
    <row r="42" spans="2:5" x14ac:dyDescent="0.25">
      <c r="B42" t="s">
        <v>23</v>
      </c>
      <c r="E42" t="s">
        <v>18</v>
      </c>
    </row>
    <row r="44" spans="2:5" x14ac:dyDescent="0.25">
      <c r="B44" t="s">
        <v>24</v>
      </c>
    </row>
    <row r="45" spans="2:5" x14ac:dyDescent="0.25">
      <c r="B45" t="s">
        <v>26</v>
      </c>
    </row>
    <row r="46" spans="2:5" x14ac:dyDescent="0.25">
      <c r="B46" t="s">
        <v>25</v>
      </c>
    </row>
    <row r="48" spans="2:5" x14ac:dyDescent="0.25">
      <c r="B48" t="s">
        <v>27</v>
      </c>
    </row>
    <row r="49" spans="2:6" x14ac:dyDescent="0.25">
      <c r="B49" t="s">
        <v>28</v>
      </c>
      <c r="C49" s="4">
        <v>45658</v>
      </c>
      <c r="D49" s="4">
        <v>46022</v>
      </c>
    </row>
    <row r="50" spans="2:6" x14ac:dyDescent="0.25">
      <c r="C50" s="5">
        <v>400000</v>
      </c>
      <c r="D50" s="5">
        <v>400000</v>
      </c>
    </row>
    <row r="51" spans="2:6" x14ac:dyDescent="0.25">
      <c r="B51" t="s">
        <v>29</v>
      </c>
      <c r="C51" s="5">
        <f>0.04*C50</f>
        <v>16000</v>
      </c>
      <c r="D51">
        <v>0</v>
      </c>
    </row>
    <row r="52" spans="2:6" x14ac:dyDescent="0.25">
      <c r="B52" t="s">
        <v>34</v>
      </c>
      <c r="C52" s="6">
        <f>+C50+C51</f>
        <v>416000</v>
      </c>
      <c r="D52" s="6">
        <f>+D50-D51</f>
        <v>400000</v>
      </c>
    </row>
    <row r="53" spans="2:6" x14ac:dyDescent="0.25">
      <c r="C53" s="6"/>
      <c r="D53" s="6"/>
    </row>
    <row r="54" spans="2:6" x14ac:dyDescent="0.25">
      <c r="B54" t="s">
        <v>40</v>
      </c>
      <c r="C54" s="7">
        <v>45658</v>
      </c>
      <c r="D54" s="6"/>
    </row>
    <row r="55" spans="2:6" x14ac:dyDescent="0.25">
      <c r="C55" s="7"/>
      <c r="D55" s="6"/>
    </row>
    <row r="56" spans="2:6" x14ac:dyDescent="0.25">
      <c r="B56" t="s">
        <v>41</v>
      </c>
      <c r="C56" s="7"/>
      <c r="D56" s="6"/>
    </row>
    <row r="58" spans="2:6" x14ac:dyDescent="0.25">
      <c r="B58" t="s">
        <v>37</v>
      </c>
      <c r="E58" s="5">
        <f>+C50</f>
        <v>400000</v>
      </c>
    </row>
    <row r="59" spans="2:6" x14ac:dyDescent="0.25">
      <c r="B59" t="s">
        <v>38</v>
      </c>
      <c r="E59" s="5">
        <f>+C51</f>
        <v>16000</v>
      </c>
    </row>
    <row r="60" spans="2:6" x14ac:dyDescent="0.25">
      <c r="C60" t="s">
        <v>30</v>
      </c>
      <c r="F60" s="5">
        <f>+C52</f>
        <v>416000</v>
      </c>
    </row>
    <row r="61" spans="2:6" x14ac:dyDescent="0.25">
      <c r="E61" s="5"/>
    </row>
    <row r="62" spans="2:6" x14ac:dyDescent="0.25">
      <c r="B62" t="s">
        <v>36</v>
      </c>
    </row>
    <row r="65" spans="2:6" x14ac:dyDescent="0.25">
      <c r="B65" t="s">
        <v>32</v>
      </c>
      <c r="E65" s="5">
        <f>+C51</f>
        <v>16000</v>
      </c>
    </row>
    <row r="66" spans="2:6" x14ac:dyDescent="0.25">
      <c r="C66" t="s">
        <v>39</v>
      </c>
      <c r="F66" s="5">
        <f>+E65</f>
        <v>16000</v>
      </c>
    </row>
    <row r="67" spans="2:6" x14ac:dyDescent="0.25">
      <c r="B67" t="s">
        <v>35</v>
      </c>
    </row>
    <row r="80" spans="2:6" x14ac:dyDescent="0.25">
      <c r="B80" t="s">
        <v>42</v>
      </c>
      <c r="E80" t="s">
        <v>44</v>
      </c>
    </row>
    <row r="81" spans="2:6" x14ac:dyDescent="0.25">
      <c r="C81" t="s">
        <v>43</v>
      </c>
      <c r="F81" t="s">
        <v>45</v>
      </c>
    </row>
    <row r="82" spans="2:6" x14ac:dyDescent="0.25">
      <c r="C82" t="s">
        <v>47</v>
      </c>
      <c r="F82" t="s">
        <v>46</v>
      </c>
    </row>
    <row r="85" spans="2:6" x14ac:dyDescent="0.25">
      <c r="B85" t="s">
        <v>48</v>
      </c>
      <c r="C85" s="4">
        <v>46753</v>
      </c>
    </row>
    <row r="86" spans="2:6" x14ac:dyDescent="0.25">
      <c r="B86" t="s">
        <v>49</v>
      </c>
      <c r="C86">
        <v>5.5</v>
      </c>
      <c r="D86" t="s">
        <v>50</v>
      </c>
    </row>
    <row r="87" spans="2:6" x14ac:dyDescent="0.25">
      <c r="B87" t="s">
        <v>51</v>
      </c>
      <c r="C87">
        <v>1000000</v>
      </c>
      <c r="D87" t="s">
        <v>52</v>
      </c>
    </row>
    <row r="88" spans="2:6" x14ac:dyDescent="0.25">
      <c r="B88" t="s">
        <v>59</v>
      </c>
      <c r="C88">
        <v>5</v>
      </c>
    </row>
    <row r="89" spans="2:6" x14ac:dyDescent="0.25">
      <c r="B89">
        <v>96</v>
      </c>
      <c r="C89" t="s">
        <v>56</v>
      </c>
    </row>
    <row r="91" spans="2:6" x14ac:dyDescent="0.25">
      <c r="B91" t="s">
        <v>57</v>
      </c>
      <c r="F91">
        <f>+B89*C86</f>
        <v>528</v>
      </c>
    </row>
    <row r="92" spans="2:6" x14ac:dyDescent="0.25">
      <c r="B92" t="s">
        <v>58</v>
      </c>
      <c r="F92">
        <f>+B89*5</f>
        <v>480</v>
      </c>
    </row>
    <row r="93" spans="2:6" ht="15.75" thickBot="1" x14ac:dyDescent="0.3">
      <c r="B93" t="s">
        <v>60</v>
      </c>
      <c r="F93" s="8">
        <f>+F91-F92</f>
        <v>48</v>
      </c>
    </row>
    <row r="94" spans="2:6" ht="15.75" thickTop="1" x14ac:dyDescent="0.25">
      <c r="F94" s="9"/>
    </row>
    <row r="95" spans="2:6" x14ac:dyDescent="0.25">
      <c r="B95" t="s">
        <v>61</v>
      </c>
      <c r="F95" s="9"/>
    </row>
    <row r="97" spans="2:6" x14ac:dyDescent="0.25">
      <c r="E97" t="s">
        <v>54</v>
      </c>
      <c r="F97" t="s">
        <v>54</v>
      </c>
    </row>
    <row r="98" spans="2:6" x14ac:dyDescent="0.25">
      <c r="B98" t="str">
        <f>+B80</f>
        <v>dr - bank/AR</v>
      </c>
      <c r="E98" s="5">
        <f>+B89*C86</f>
        <v>528</v>
      </c>
      <c r="F98" s="5"/>
    </row>
    <row r="99" spans="2:6" x14ac:dyDescent="0.25">
      <c r="C99" t="str">
        <f>+C81</f>
        <v>cr - SPL revenue</v>
      </c>
      <c r="E99" s="5"/>
      <c r="F99" s="5">
        <f>+B89*5</f>
        <v>480</v>
      </c>
    </row>
    <row r="100" spans="2:6" x14ac:dyDescent="0.25">
      <c r="C100" t="str">
        <f>+C82</f>
        <v>cr - refund liability</v>
      </c>
      <c r="E100" s="5"/>
      <c r="F100" s="5">
        <f>+B89*0.5</f>
        <v>48</v>
      </c>
    </row>
    <row r="101" spans="2:6" x14ac:dyDescent="0.25">
      <c r="B101" t="s">
        <v>55</v>
      </c>
    </row>
    <row r="104" spans="2:6" x14ac:dyDescent="0.25">
      <c r="B104" s="16" t="s">
        <v>91</v>
      </c>
      <c r="C104">
        <v>0</v>
      </c>
    </row>
    <row r="105" spans="2:6" x14ac:dyDescent="0.25">
      <c r="B105" t="s">
        <v>92</v>
      </c>
      <c r="C105">
        <v>100000</v>
      </c>
    </row>
    <row r="106" spans="2:6" x14ac:dyDescent="0.25">
      <c r="B106" t="s">
        <v>93</v>
      </c>
    </row>
    <row r="107" spans="2:6" x14ac:dyDescent="0.25">
      <c r="B107" t="s">
        <v>94</v>
      </c>
      <c r="C107" s="17">
        <v>0.06</v>
      </c>
    </row>
    <row r="108" spans="2:6" x14ac:dyDescent="0.25">
      <c r="B108" t="s">
        <v>92</v>
      </c>
      <c r="C108" s="4">
        <v>44562</v>
      </c>
    </row>
    <row r="109" spans="2:6" x14ac:dyDescent="0.25">
      <c r="B109" t="s">
        <v>95</v>
      </c>
      <c r="C109" s="4">
        <v>45292</v>
      </c>
    </row>
    <row r="111" spans="2:6" x14ac:dyDescent="0.25">
      <c r="C111" s="5">
        <f>NPV(C107,C104:C105)</f>
        <v>88999.644001423978</v>
      </c>
      <c r="D111" t="str">
        <f ca="1">+_xlfn.FORMULATEXT(C111)</f>
        <v>=NPV(C107,C104:C105)</v>
      </c>
    </row>
    <row r="112" spans="2:6" x14ac:dyDescent="0.25">
      <c r="C112" s="5">
        <f>+C105/(1+C107)^2</f>
        <v>88999.644001423978</v>
      </c>
      <c r="D112" t="str">
        <f ca="1">+_xlfn.FORMULATEXT(C112)</f>
        <v>=+C105/(1+C107)^2</v>
      </c>
    </row>
    <row r="113" spans="2:7" x14ac:dyDescent="0.25">
      <c r="B113" s="19">
        <v>44926</v>
      </c>
    </row>
    <row r="114" spans="2:7" x14ac:dyDescent="0.25">
      <c r="B114" s="1" t="s">
        <v>31</v>
      </c>
      <c r="E114" s="5">
        <f>+C111</f>
        <v>88999.644001423978</v>
      </c>
      <c r="F114" s="5"/>
    </row>
    <row r="115" spans="2:7" x14ac:dyDescent="0.25">
      <c r="C115" t="s">
        <v>30</v>
      </c>
      <c r="E115" s="5"/>
      <c r="F115" s="5">
        <f>+C111</f>
        <v>88999.644001423978</v>
      </c>
    </row>
    <row r="116" spans="2:7" x14ac:dyDescent="0.25">
      <c r="E116" s="5"/>
      <c r="F116" s="5"/>
    </row>
    <row r="117" spans="2:7" x14ac:dyDescent="0.25">
      <c r="B117" t="s">
        <v>31</v>
      </c>
      <c r="E117" s="5">
        <f>+C107*C111</f>
        <v>5339.9786400854382</v>
      </c>
      <c r="F117" s="5"/>
    </row>
    <row r="118" spans="2:7" x14ac:dyDescent="0.25">
      <c r="C118" t="s">
        <v>96</v>
      </c>
      <c r="E118" s="5"/>
      <c r="F118" s="5">
        <f>+E117</f>
        <v>5339.9786400854382</v>
      </c>
      <c r="G118" s="18" t="s">
        <v>106</v>
      </c>
    </row>
    <row r="119" spans="2:7" x14ac:dyDescent="0.25">
      <c r="E119" s="5"/>
      <c r="F119" s="5"/>
    </row>
    <row r="120" spans="2:7" x14ac:dyDescent="0.25">
      <c r="B120" s="19">
        <v>45291</v>
      </c>
      <c r="E120" s="5"/>
      <c r="F120" s="5"/>
    </row>
    <row r="121" spans="2:7" x14ac:dyDescent="0.25">
      <c r="B121" t="s">
        <v>97</v>
      </c>
      <c r="E121" s="5">
        <f>+C107*(E114+E117)</f>
        <v>5660.3773584905648</v>
      </c>
      <c r="F121" s="5"/>
    </row>
    <row r="122" spans="2:7" x14ac:dyDescent="0.25">
      <c r="C122" t="s">
        <v>78</v>
      </c>
      <c r="E122" s="5"/>
      <c r="F122" s="5">
        <f>+E121</f>
        <v>5660.3773584905648</v>
      </c>
    </row>
    <row r="124" spans="2:7" x14ac:dyDescent="0.25">
      <c r="C124" t="s">
        <v>98</v>
      </c>
      <c r="D124" t="s">
        <v>99</v>
      </c>
      <c r="E124" t="s">
        <v>100</v>
      </c>
      <c r="F124" t="s">
        <v>101</v>
      </c>
    </row>
    <row r="125" spans="2:7" x14ac:dyDescent="0.25">
      <c r="B125" s="4">
        <v>44926</v>
      </c>
      <c r="C125" s="5">
        <f>+C111</f>
        <v>88999.644001423978</v>
      </c>
      <c r="D125" s="5">
        <f>+E117</f>
        <v>5339.9786400854382</v>
      </c>
      <c r="E125">
        <v>0</v>
      </c>
      <c r="F125" s="5">
        <f>SUM(C125:E125)</f>
        <v>94339.622641509413</v>
      </c>
    </row>
    <row r="126" spans="2:7" x14ac:dyDescent="0.25">
      <c r="B126" s="4">
        <v>45291</v>
      </c>
      <c r="C126" s="5">
        <f>+F125</f>
        <v>94339.622641509413</v>
      </c>
      <c r="D126" s="5">
        <f>+E121</f>
        <v>5660.3773584905648</v>
      </c>
      <c r="E126">
        <v>0</v>
      </c>
      <c r="F126" s="5">
        <f>SUM(C126:E126)</f>
        <v>99999.999999999971</v>
      </c>
    </row>
    <row r="128" spans="2:7" x14ac:dyDescent="0.25">
      <c r="B128" t="s">
        <v>102</v>
      </c>
      <c r="E128" s="5">
        <f>+F126</f>
        <v>99999.999999999971</v>
      </c>
    </row>
    <row r="129" spans="2:7" x14ac:dyDescent="0.25">
      <c r="C129" t="s">
        <v>103</v>
      </c>
      <c r="F129" s="5">
        <f>+E128</f>
        <v>99999.999999999971</v>
      </c>
    </row>
    <row r="130" spans="2:7" x14ac:dyDescent="0.25">
      <c r="B130" t="s">
        <v>104</v>
      </c>
      <c r="G130" s="18" t="s">
        <v>105</v>
      </c>
    </row>
    <row r="189" spans="2:5" x14ac:dyDescent="0.25">
      <c r="B189" t="s">
        <v>147</v>
      </c>
    </row>
    <row r="190" spans="2:5" x14ac:dyDescent="0.25">
      <c r="B190" t="s">
        <v>65</v>
      </c>
      <c r="E190" s="4">
        <v>47391</v>
      </c>
    </row>
    <row r="191" spans="2:5" x14ac:dyDescent="0.25">
      <c r="B191" t="s">
        <v>148</v>
      </c>
      <c r="E191" s="5">
        <v>35000000</v>
      </c>
    </row>
    <row r="192" spans="2:5" x14ac:dyDescent="0.25">
      <c r="B192" t="s">
        <v>149</v>
      </c>
      <c r="E192" s="5">
        <v>29000000</v>
      </c>
    </row>
    <row r="193" spans="2:6" x14ac:dyDescent="0.25">
      <c r="B193" t="s">
        <v>150</v>
      </c>
      <c r="D193" s="4">
        <f>+E190</f>
        <v>47391</v>
      </c>
      <c r="E193" s="25">
        <v>0.75</v>
      </c>
    </row>
    <row r="194" spans="2:6" x14ac:dyDescent="0.25">
      <c r="B194" t="s">
        <v>150</v>
      </c>
      <c r="D194" s="4">
        <v>47026</v>
      </c>
      <c r="E194" s="25">
        <v>0.5</v>
      </c>
    </row>
    <row r="196" spans="2:6" x14ac:dyDescent="0.25">
      <c r="D196" s="4">
        <v>47391</v>
      </c>
      <c r="E196" s="5">
        <f>+E193*$E$191</f>
        <v>26250000</v>
      </c>
    </row>
    <row r="197" spans="2:6" x14ac:dyDescent="0.25">
      <c r="D197" s="4">
        <v>47026</v>
      </c>
      <c r="E197" s="5">
        <f>+E194*$E$191</f>
        <v>17500000</v>
      </c>
    </row>
    <row r="198" spans="2:6" x14ac:dyDescent="0.25">
      <c r="E198" s="5">
        <f>+E196-E197</f>
        <v>8750000</v>
      </c>
    </row>
    <row r="200" spans="2:6" x14ac:dyDescent="0.25">
      <c r="B200" t="s">
        <v>151</v>
      </c>
      <c r="E200" s="5">
        <f>+E198</f>
        <v>8750000</v>
      </c>
    </row>
    <row r="201" spans="2:6" x14ac:dyDescent="0.25">
      <c r="C201" t="s">
        <v>71</v>
      </c>
      <c r="F201" s="5">
        <f>+E198</f>
        <v>8750000</v>
      </c>
    </row>
    <row r="202" spans="2:6" x14ac:dyDescent="0.25">
      <c r="B202" t="s">
        <v>152</v>
      </c>
    </row>
    <row r="203" spans="2:6" x14ac:dyDescent="0.25">
      <c r="B203" t="s">
        <v>153</v>
      </c>
    </row>
    <row r="205" spans="2:6" x14ac:dyDescent="0.25">
      <c r="B205" t="s">
        <v>154</v>
      </c>
    </row>
    <row r="206" spans="2:6" x14ac:dyDescent="0.25">
      <c r="B206" t="s">
        <v>65</v>
      </c>
      <c r="C206" s="4">
        <v>45230</v>
      </c>
    </row>
    <row r="208" spans="2:6" x14ac:dyDescent="0.25">
      <c r="C208" t="s">
        <v>159</v>
      </c>
      <c r="D208" t="s">
        <v>160</v>
      </c>
      <c r="E208" t="s">
        <v>161</v>
      </c>
    </row>
    <row r="209" spans="2:6" x14ac:dyDescent="0.25">
      <c r="B209" t="s">
        <v>158</v>
      </c>
      <c r="C209">
        <v>400</v>
      </c>
      <c r="D209" s="5">
        <v>110</v>
      </c>
      <c r="E209" s="5">
        <f>+C209*D209</f>
        <v>44000</v>
      </c>
      <c r="F209" s="5"/>
    </row>
    <row r="210" spans="2:6" x14ac:dyDescent="0.25">
      <c r="B210" t="s">
        <v>157</v>
      </c>
      <c r="C210">
        <v>200</v>
      </c>
      <c r="D210" s="5">
        <v>160</v>
      </c>
      <c r="E210" s="5">
        <v>32000</v>
      </c>
      <c r="F210" s="5"/>
    </row>
    <row r="211" spans="2:6" x14ac:dyDescent="0.25">
      <c r="B211" t="s">
        <v>156</v>
      </c>
      <c r="C211">
        <v>20</v>
      </c>
      <c r="D211" s="5">
        <v>240</v>
      </c>
      <c r="E211" s="5">
        <v>4800</v>
      </c>
      <c r="F211" s="5"/>
    </row>
    <row r="212" spans="2:6" x14ac:dyDescent="0.25">
      <c r="B212" t="s">
        <v>155</v>
      </c>
      <c r="C212">
        <v>10</v>
      </c>
      <c r="D212" s="5">
        <v>350</v>
      </c>
      <c r="E212" s="5">
        <v>3500</v>
      </c>
      <c r="F212" s="5"/>
    </row>
    <row r="213" spans="2:6" ht="15.75" thickBot="1" x14ac:dyDescent="0.3">
      <c r="D213" s="5"/>
      <c r="E213" s="26">
        <f>SUM(E209:E212)</f>
        <v>84300</v>
      </c>
      <c r="F213" s="5"/>
    </row>
    <row r="214" spans="2:6" ht="15.75" thickTop="1" x14ac:dyDescent="0.25">
      <c r="D214" s="5"/>
      <c r="E214" s="27"/>
      <c r="F214" s="5"/>
    </row>
    <row r="215" spans="2:6" x14ac:dyDescent="0.25">
      <c r="B215" t="s">
        <v>164</v>
      </c>
      <c r="D215" s="5"/>
      <c r="E215" s="27"/>
      <c r="F215" s="5"/>
    </row>
    <row r="216" spans="2:6" x14ac:dyDescent="0.25">
      <c r="B216" t="s">
        <v>165</v>
      </c>
      <c r="D216" s="5"/>
      <c r="E216" s="27">
        <f>+E213</f>
        <v>84300</v>
      </c>
      <c r="F216" s="5"/>
    </row>
    <row r="217" spans="2:6" x14ac:dyDescent="0.25">
      <c r="D217" s="5"/>
      <c r="E217" s="27"/>
      <c r="F217" s="5"/>
    </row>
    <row r="218" spans="2:6" x14ac:dyDescent="0.25">
      <c r="B218" t="s">
        <v>166</v>
      </c>
      <c r="D218" s="5"/>
      <c r="E218" s="27"/>
      <c r="F218" s="5"/>
    </row>
    <row r="219" spans="2:6" x14ac:dyDescent="0.25">
      <c r="B219" t="s">
        <v>167</v>
      </c>
      <c r="D219" s="5"/>
      <c r="E219" s="27"/>
      <c r="F219" s="5"/>
    </row>
    <row r="220" spans="2:6" x14ac:dyDescent="0.25">
      <c r="D220" s="5"/>
      <c r="E220" s="27"/>
      <c r="F220" s="5"/>
    </row>
    <row r="221" spans="2:6" x14ac:dyDescent="0.25">
      <c r="B221" t="s">
        <v>168</v>
      </c>
      <c r="D221" s="5"/>
      <c r="E221" s="27"/>
      <c r="F221" s="5"/>
    </row>
    <row r="222" spans="2:6" x14ac:dyDescent="0.25">
      <c r="B222" t="s">
        <v>169</v>
      </c>
      <c r="D222" s="5"/>
      <c r="E222" s="27"/>
      <c r="F222" s="5"/>
    </row>
    <row r="223" spans="2:6" x14ac:dyDescent="0.25">
      <c r="D223" s="5"/>
      <c r="E223" s="5"/>
      <c r="F223" s="5"/>
    </row>
    <row r="224" spans="2:6" x14ac:dyDescent="0.25">
      <c r="B224" t="s">
        <v>162</v>
      </c>
      <c r="D224" s="5"/>
      <c r="E224" s="5"/>
      <c r="F224" s="5"/>
    </row>
    <row r="225" spans="2:6" x14ac:dyDescent="0.25">
      <c r="B225" t="s">
        <v>158</v>
      </c>
      <c r="C225">
        <v>120</v>
      </c>
      <c r="D225" s="5">
        <f>+D209</f>
        <v>110</v>
      </c>
      <c r="E225" s="5">
        <f>+C225*D225</f>
        <v>13200</v>
      </c>
      <c r="F225" s="5"/>
    </row>
    <row r="226" spans="2:6" x14ac:dyDescent="0.25">
      <c r="B226" t="s">
        <v>157</v>
      </c>
      <c r="C226">
        <v>45</v>
      </c>
      <c r="D226" s="5">
        <f t="shared" ref="D226:D228" si="0">+D210</f>
        <v>160</v>
      </c>
      <c r="E226" s="5">
        <f t="shared" ref="E226:E228" si="1">+C226*D226</f>
        <v>7200</v>
      </c>
      <c r="F226" s="5"/>
    </row>
    <row r="227" spans="2:6" x14ac:dyDescent="0.25">
      <c r="B227" t="s">
        <v>156</v>
      </c>
      <c r="C227">
        <v>4</v>
      </c>
      <c r="D227" s="5">
        <f t="shared" si="0"/>
        <v>240</v>
      </c>
      <c r="E227" s="5">
        <f t="shared" si="1"/>
        <v>960</v>
      </c>
      <c r="F227" s="5"/>
    </row>
    <row r="228" spans="2:6" x14ac:dyDescent="0.25">
      <c r="B228" t="s">
        <v>155</v>
      </c>
      <c r="C228">
        <v>2</v>
      </c>
      <c r="D228" s="5">
        <f t="shared" si="0"/>
        <v>350</v>
      </c>
      <c r="E228" s="5">
        <f t="shared" si="1"/>
        <v>700</v>
      </c>
      <c r="F228" s="5"/>
    </row>
    <row r="229" spans="2:6" ht="15.75" thickBot="1" x14ac:dyDescent="0.3">
      <c r="D229" s="5"/>
      <c r="E229" s="26">
        <f>SUM(E225:E228)</f>
        <v>22060</v>
      </c>
      <c r="F229" s="5"/>
    </row>
    <row r="230" spans="2:6" ht="15.75" thickTop="1" x14ac:dyDescent="0.25">
      <c r="D230" s="5"/>
      <c r="E230" s="5"/>
      <c r="F230" s="5"/>
    </row>
    <row r="231" spans="2:6" x14ac:dyDescent="0.25">
      <c r="B231" t="s">
        <v>38</v>
      </c>
      <c r="D231" s="5"/>
      <c r="E231" s="5">
        <f>+E229</f>
        <v>22060</v>
      </c>
      <c r="F231" s="5"/>
    </row>
    <row r="232" spans="2:6" x14ac:dyDescent="0.25">
      <c r="C232" t="s">
        <v>71</v>
      </c>
      <c r="D232" s="5"/>
      <c r="E232" s="5"/>
      <c r="F232" s="5">
        <f>+E231</f>
        <v>22060</v>
      </c>
    </row>
    <row r="233" spans="2:6" x14ac:dyDescent="0.25">
      <c r="B233" t="s">
        <v>163</v>
      </c>
    </row>
    <row r="260" spans="2:6" x14ac:dyDescent="0.25">
      <c r="B260" t="s">
        <v>191</v>
      </c>
      <c r="D260" s="5">
        <v>5000</v>
      </c>
    </row>
    <row r="261" spans="2:6" x14ac:dyDescent="0.25">
      <c r="B261" t="s">
        <v>192</v>
      </c>
      <c r="D261" s="28">
        <v>-2000</v>
      </c>
    </row>
    <row r="262" spans="2:6" x14ac:dyDescent="0.25">
      <c r="B262" t="s">
        <v>195</v>
      </c>
      <c r="D262" s="5">
        <f>SUM(D260:D261)</f>
        <v>3000</v>
      </c>
    </row>
    <row r="263" spans="2:6" x14ac:dyDescent="0.25">
      <c r="B263" t="s">
        <v>194</v>
      </c>
      <c r="D263" s="5">
        <v>3850</v>
      </c>
    </row>
    <row r="264" spans="2:6" ht="15.75" thickBot="1" x14ac:dyDescent="0.3">
      <c r="B264" t="s">
        <v>193</v>
      </c>
      <c r="D264" s="26">
        <f>+D263-D262</f>
        <v>850</v>
      </c>
    </row>
    <row r="265" spans="2:6" ht="15.75" thickTop="1" x14ac:dyDescent="0.25"/>
    <row r="266" spans="2:6" x14ac:dyDescent="0.25">
      <c r="B266" t="s">
        <v>196</v>
      </c>
      <c r="E266" s="5">
        <f>+D264</f>
        <v>850</v>
      </c>
    </row>
    <row r="267" spans="2:6" x14ac:dyDescent="0.25">
      <c r="C267" t="s">
        <v>197</v>
      </c>
      <c r="F267" s="5">
        <f>+E266</f>
        <v>850</v>
      </c>
    </row>
    <row r="268" spans="2:6" x14ac:dyDescent="0.25">
      <c r="B268" t="s">
        <v>198</v>
      </c>
    </row>
    <row r="270" spans="2:6" x14ac:dyDescent="0.25">
      <c r="B270" t="s">
        <v>199</v>
      </c>
    </row>
    <row r="271" spans="2:6" x14ac:dyDescent="0.25">
      <c r="D271" s="29" t="s">
        <v>208</v>
      </c>
      <c r="E271" s="29" t="s">
        <v>209</v>
      </c>
    </row>
    <row r="272" spans="2:6" x14ac:dyDescent="0.25">
      <c r="B272" t="s">
        <v>207</v>
      </c>
      <c r="D272" s="5">
        <v>800</v>
      </c>
      <c r="E272" s="5">
        <v>400</v>
      </c>
    </row>
    <row r="273" spans="2:6" x14ac:dyDescent="0.25">
      <c r="B273" t="s">
        <v>206</v>
      </c>
      <c r="D273" s="5">
        <v>200</v>
      </c>
      <c r="E273" s="5">
        <v>5</v>
      </c>
    </row>
    <row r="274" spans="2:6" x14ac:dyDescent="0.25">
      <c r="B274" t="s">
        <v>205</v>
      </c>
      <c r="D274" s="5">
        <v>290</v>
      </c>
      <c r="E274" s="5">
        <v>20</v>
      </c>
    </row>
    <row r="275" spans="2:6" x14ac:dyDescent="0.25">
      <c r="B275" t="s">
        <v>204</v>
      </c>
      <c r="D275" s="5">
        <v>10</v>
      </c>
      <c r="E275" s="5">
        <v>5</v>
      </c>
      <c r="F275" t="s">
        <v>210</v>
      </c>
    </row>
    <row r="276" spans="2:6" s="30" customFormat="1" x14ac:dyDescent="0.25">
      <c r="B276" s="30" t="s">
        <v>203</v>
      </c>
      <c r="D276" s="31">
        <v>22</v>
      </c>
      <c r="E276" s="31">
        <v>3</v>
      </c>
    </row>
    <row r="277" spans="2:6" x14ac:dyDescent="0.25">
      <c r="B277" t="s">
        <v>202</v>
      </c>
      <c r="D277" s="5">
        <v>90</v>
      </c>
      <c r="E277" s="5">
        <v>270</v>
      </c>
    </row>
    <row r="278" spans="2:6" x14ac:dyDescent="0.25">
      <c r="B278" t="s">
        <v>201</v>
      </c>
      <c r="D278" s="5">
        <v>600</v>
      </c>
      <c r="E278" s="5">
        <v>75</v>
      </c>
    </row>
    <row r="279" spans="2:6" x14ac:dyDescent="0.25">
      <c r="B279" t="s">
        <v>200</v>
      </c>
      <c r="D279" s="5">
        <v>510</v>
      </c>
      <c r="E279" s="5">
        <v>0</v>
      </c>
    </row>
    <row r="281" spans="2:6" x14ac:dyDescent="0.25">
      <c r="B281" t="s">
        <v>211</v>
      </c>
      <c r="D281" s="5">
        <f>+D277+D275+D274+D273</f>
        <v>590</v>
      </c>
      <c r="E281" s="5">
        <f>+E277+E275+E274+E273</f>
        <v>300</v>
      </c>
    </row>
    <row r="282" spans="2:6" x14ac:dyDescent="0.25">
      <c r="B282" t="s">
        <v>212</v>
      </c>
      <c r="D282" s="5">
        <f>+D273+D274+D275</f>
        <v>500</v>
      </c>
      <c r="E282" s="5">
        <f>+E273+E274+E275</f>
        <v>30</v>
      </c>
      <c r="F282" s="5">
        <f>SUM(D282:E282)</f>
        <v>530</v>
      </c>
    </row>
    <row r="283" spans="2:6" x14ac:dyDescent="0.25">
      <c r="B283" t="s">
        <v>150</v>
      </c>
      <c r="D283" s="25">
        <f>+D282/D281</f>
        <v>0.84745762711864403</v>
      </c>
      <c r="E283" s="25">
        <f>+E282/E281</f>
        <v>0.1</v>
      </c>
    </row>
    <row r="284" spans="2:6" x14ac:dyDescent="0.25">
      <c r="D284" s="25"/>
      <c r="E284" s="25"/>
    </row>
    <row r="285" spans="2:6" x14ac:dyDescent="0.25">
      <c r="B285" t="s">
        <v>215</v>
      </c>
      <c r="D285" s="32">
        <f>+D272-D281</f>
        <v>210</v>
      </c>
      <c r="E285" s="32">
        <f>+E272-E281</f>
        <v>100</v>
      </c>
      <c r="F285" t="s">
        <v>216</v>
      </c>
    </row>
    <row r="286" spans="2:6" x14ac:dyDescent="0.25">
      <c r="D286" s="25"/>
      <c r="E286" s="25"/>
    </row>
    <row r="287" spans="2:6" x14ac:dyDescent="0.25">
      <c r="B287" t="s">
        <v>217</v>
      </c>
      <c r="D287" s="5">
        <f>+D283*D272</f>
        <v>677.96610169491521</v>
      </c>
      <c r="E287" s="5">
        <f>+E283*E272</f>
        <v>40</v>
      </c>
      <c r="F287" s="5">
        <f>SUM(D287:E287)</f>
        <v>717.96610169491521</v>
      </c>
    </row>
    <row r="289" spans="2:6" x14ac:dyDescent="0.25">
      <c r="B289" t="s">
        <v>213</v>
      </c>
      <c r="D289" s="5">
        <f>+D278</f>
        <v>600</v>
      </c>
      <c r="E289" s="5">
        <f>+E278</f>
        <v>75</v>
      </c>
      <c r="F289" s="5">
        <f>SUM(D289:E289)</f>
        <v>675</v>
      </c>
    </row>
    <row r="290" spans="2:6" x14ac:dyDescent="0.25">
      <c r="B290" t="s">
        <v>214</v>
      </c>
      <c r="D290" s="5">
        <f>+D279</f>
        <v>510</v>
      </c>
      <c r="E290" s="5">
        <f>+E279</f>
        <v>0</v>
      </c>
      <c r="F290" s="5">
        <f>SUM(D290:E290)</f>
        <v>510</v>
      </c>
    </row>
    <row r="291" spans="2:6" x14ac:dyDescent="0.25">
      <c r="B291" t="s">
        <v>57</v>
      </c>
      <c r="D291" s="5">
        <f>+D289-D290</f>
        <v>90</v>
      </c>
      <c r="E291" s="5">
        <f>+E289-E290</f>
        <v>75</v>
      </c>
    </row>
    <row r="293" spans="2:6" x14ac:dyDescent="0.25">
      <c r="B293" t="s">
        <v>222</v>
      </c>
    </row>
    <row r="294" spans="2:6" x14ac:dyDescent="0.25">
      <c r="B294" t="s">
        <v>218</v>
      </c>
      <c r="E294" s="5">
        <f>+D287</f>
        <v>677.96610169491521</v>
      </c>
    </row>
    <row r="295" spans="2:6" x14ac:dyDescent="0.25">
      <c r="B295" t="s">
        <v>219</v>
      </c>
      <c r="E295" s="5">
        <f>+E287</f>
        <v>40</v>
      </c>
    </row>
    <row r="296" spans="2:6" x14ac:dyDescent="0.25">
      <c r="C296" t="s">
        <v>220</v>
      </c>
      <c r="F296" s="5">
        <f>+F287</f>
        <v>717.96610169491521</v>
      </c>
    </row>
    <row r="297" spans="2:6" x14ac:dyDescent="0.25">
      <c r="B297" t="s">
        <v>221</v>
      </c>
    </row>
    <row r="299" spans="2:6" x14ac:dyDescent="0.25">
      <c r="B299" t="s">
        <v>223</v>
      </c>
    </row>
    <row r="300" spans="2:6" x14ac:dyDescent="0.25">
      <c r="B300" t="s">
        <v>224</v>
      </c>
      <c r="E300" s="5">
        <f>+F282</f>
        <v>530</v>
      </c>
    </row>
    <row r="301" spans="2:6" x14ac:dyDescent="0.25">
      <c r="C301" t="s">
        <v>33</v>
      </c>
      <c r="F301" s="5">
        <f>+E300</f>
        <v>530</v>
      </c>
    </row>
    <row r="302" spans="2:6" x14ac:dyDescent="0.25">
      <c r="B302" t="s">
        <v>225</v>
      </c>
    </row>
    <row r="304" spans="2:6" x14ac:dyDescent="0.25">
      <c r="B304" t="s">
        <v>226</v>
      </c>
    </row>
    <row r="305" spans="2:6" x14ac:dyDescent="0.25">
      <c r="B305" t="s">
        <v>31</v>
      </c>
      <c r="E305" s="5">
        <f>+F289</f>
        <v>675</v>
      </c>
    </row>
    <row r="306" spans="2:6" x14ac:dyDescent="0.25">
      <c r="C306" t="s">
        <v>227</v>
      </c>
      <c r="F306" s="5">
        <f>+D289</f>
        <v>600</v>
      </c>
    </row>
    <row r="307" spans="2:6" x14ac:dyDescent="0.25">
      <c r="C307" t="s">
        <v>228</v>
      </c>
      <c r="F307" s="5">
        <f>+E289</f>
        <v>75</v>
      </c>
    </row>
    <row r="308" spans="2:6" x14ac:dyDescent="0.25">
      <c r="B308" t="s">
        <v>229</v>
      </c>
    </row>
    <row r="310" spans="2:6" x14ac:dyDescent="0.25">
      <c r="B310" t="s">
        <v>37</v>
      </c>
      <c r="E310" s="5">
        <f>+F290</f>
        <v>510</v>
      </c>
    </row>
    <row r="311" spans="2:6" x14ac:dyDescent="0.25">
      <c r="C311" t="s">
        <v>33</v>
      </c>
      <c r="F311" s="5">
        <f>+F290</f>
        <v>510</v>
      </c>
    </row>
    <row r="312" spans="2:6" x14ac:dyDescent="0.25">
      <c r="B312" t="s">
        <v>230</v>
      </c>
    </row>
    <row r="314" spans="2:6" x14ac:dyDescent="0.25">
      <c r="D314" t="str">
        <f>+'Module 23'!D271</f>
        <v>Contract A</v>
      </c>
      <c r="E314" t="str">
        <f>+'Module 23'!E271</f>
        <v>Contract B</v>
      </c>
    </row>
    <row r="315" spans="2:6" x14ac:dyDescent="0.25">
      <c r="B315" t="s">
        <v>231</v>
      </c>
      <c r="D315" s="5">
        <f>+D287</f>
        <v>677.96610169491521</v>
      </c>
      <c r="E315" s="5">
        <f>+E287</f>
        <v>40</v>
      </c>
    </row>
    <row r="316" spans="2:6" x14ac:dyDescent="0.25">
      <c r="B316" t="s">
        <v>233</v>
      </c>
      <c r="D316" s="5">
        <f>+D289</f>
        <v>600</v>
      </c>
      <c r="E316" s="5">
        <f>+E289</f>
        <v>75</v>
      </c>
    </row>
    <row r="317" spans="2:6" x14ac:dyDescent="0.25">
      <c r="B317" t="s">
        <v>232</v>
      </c>
      <c r="D317" s="5">
        <f>+D316-D315</f>
        <v>-77.96610169491521</v>
      </c>
      <c r="E317" s="5">
        <f>+E316-E315</f>
        <v>35</v>
      </c>
    </row>
    <row r="319" spans="2:6" x14ac:dyDescent="0.25">
      <c r="B319" t="s">
        <v>233</v>
      </c>
      <c r="D319" s="5">
        <f>+D316</f>
        <v>600</v>
      </c>
      <c r="E319" s="5">
        <f>+E316</f>
        <v>75</v>
      </c>
    </row>
    <row r="320" spans="2:6" x14ac:dyDescent="0.25">
      <c r="B320" t="s">
        <v>235</v>
      </c>
      <c r="D320" s="5">
        <f>+D290</f>
        <v>510</v>
      </c>
      <c r="E320" s="5">
        <f>+E290</f>
        <v>0</v>
      </c>
    </row>
    <row r="321" spans="2:5" x14ac:dyDescent="0.25">
      <c r="B321" t="s">
        <v>234</v>
      </c>
      <c r="D321" s="5">
        <f>+D320-D319</f>
        <v>-90</v>
      </c>
      <c r="E321" s="5">
        <f>+E320-E319</f>
        <v>-75</v>
      </c>
    </row>
  </sheetData>
  <hyperlinks>
    <hyperlink ref="A1" location="Main!A1" display="Main" xr:uid="{76E43222-3973-4661-8162-6E4A704BBF4C}"/>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74C6-7A71-4289-959B-858C9735F797}">
  <dimension ref="A1:E60"/>
  <sheetViews>
    <sheetView zoomScale="175" zoomScaleNormal="175" workbookViewId="0">
      <selection activeCell="F30" sqref="F30"/>
    </sheetView>
  </sheetViews>
  <sheetFormatPr defaultRowHeight="12" x14ac:dyDescent="0.2"/>
  <cols>
    <col min="1" max="16384" width="9.140625" style="2"/>
  </cols>
  <sheetData>
    <row r="1" spans="1:3" ht="15" x14ac:dyDescent="0.25">
      <c r="A1" s="3" t="s">
        <v>0</v>
      </c>
    </row>
    <row r="3" spans="1:3" x14ac:dyDescent="0.2">
      <c r="B3" s="2" t="s">
        <v>141</v>
      </c>
      <c r="C3" s="24" t="s">
        <v>190</v>
      </c>
    </row>
    <row r="6" spans="1:3" x14ac:dyDescent="0.2">
      <c r="B6" s="2" t="s">
        <v>142</v>
      </c>
    </row>
    <row r="25" spans="2:5" x14ac:dyDescent="0.2">
      <c r="B25" s="20" t="s">
        <v>143</v>
      </c>
    </row>
    <row r="26" spans="2:5" ht="15" x14ac:dyDescent="0.25">
      <c r="B26" s="1" t="s">
        <v>17</v>
      </c>
      <c r="E26" s="2" t="s">
        <v>170</v>
      </c>
    </row>
    <row r="27" spans="2:5" ht="15" x14ac:dyDescent="0.25">
      <c r="B27" s="1" t="s">
        <v>19</v>
      </c>
      <c r="E27" s="2" t="s">
        <v>170</v>
      </c>
    </row>
    <row r="28" spans="2:5" ht="15" x14ac:dyDescent="0.25">
      <c r="B28" s="1" t="s">
        <v>20</v>
      </c>
      <c r="E28" s="2" t="s">
        <v>170</v>
      </c>
    </row>
    <row r="29" spans="2:5" ht="15" x14ac:dyDescent="0.25">
      <c r="B29" s="1" t="s">
        <v>22</v>
      </c>
      <c r="E29" s="2" t="s">
        <v>170</v>
      </c>
    </row>
    <row r="30" spans="2:5" ht="15" x14ac:dyDescent="0.25">
      <c r="B30" s="1" t="s">
        <v>23</v>
      </c>
      <c r="E30" s="2" t="s">
        <v>170</v>
      </c>
    </row>
    <row r="32" spans="2:5" x14ac:dyDescent="0.2">
      <c r="B32" s="2" t="s">
        <v>171</v>
      </c>
    </row>
    <row r="33" spans="2:5" x14ac:dyDescent="0.2">
      <c r="B33" s="13" t="s">
        <v>181</v>
      </c>
    </row>
    <row r="34" spans="2:5" x14ac:dyDescent="0.2">
      <c r="B34" s="13" t="s">
        <v>182</v>
      </c>
    </row>
    <row r="37" spans="2:5" x14ac:dyDescent="0.2">
      <c r="B37" s="20" t="s">
        <v>172</v>
      </c>
    </row>
    <row r="38" spans="2:5" ht="15" x14ac:dyDescent="0.25">
      <c r="B38" s="1" t="s">
        <v>17</v>
      </c>
      <c r="E38" s="2" t="s">
        <v>173</v>
      </c>
    </row>
    <row r="39" spans="2:5" ht="15" x14ac:dyDescent="0.25">
      <c r="B39" s="1" t="s">
        <v>19</v>
      </c>
      <c r="E39" s="2" t="s">
        <v>174</v>
      </c>
    </row>
    <row r="40" spans="2:5" ht="15" x14ac:dyDescent="0.25">
      <c r="B40" s="1" t="s">
        <v>20</v>
      </c>
    </row>
    <row r="41" spans="2:5" ht="15" x14ac:dyDescent="0.25">
      <c r="B41" s="1" t="s">
        <v>22</v>
      </c>
    </row>
    <row r="42" spans="2:5" ht="15" x14ac:dyDescent="0.25">
      <c r="B42" s="1" t="s">
        <v>23</v>
      </c>
    </row>
    <row r="44" spans="2:5" x14ac:dyDescent="0.2">
      <c r="B44" s="2" t="s">
        <v>175</v>
      </c>
    </row>
    <row r="45" spans="2:5" x14ac:dyDescent="0.2">
      <c r="B45" s="13" t="s">
        <v>183</v>
      </c>
    </row>
    <row r="46" spans="2:5" x14ac:dyDescent="0.2">
      <c r="B46" s="13" t="s">
        <v>184</v>
      </c>
    </row>
    <row r="47" spans="2:5" x14ac:dyDescent="0.2">
      <c r="B47" s="13" t="s">
        <v>185</v>
      </c>
    </row>
    <row r="48" spans="2:5" x14ac:dyDescent="0.2">
      <c r="B48" s="13" t="s">
        <v>186</v>
      </c>
    </row>
    <row r="50" spans="2:2" x14ac:dyDescent="0.2">
      <c r="B50" s="20" t="s">
        <v>176</v>
      </c>
    </row>
    <row r="51" spans="2:2" x14ac:dyDescent="0.2">
      <c r="B51" s="2" t="s">
        <v>177</v>
      </c>
    </row>
    <row r="52" spans="2:2" x14ac:dyDescent="0.2">
      <c r="B52" s="2" t="s">
        <v>178</v>
      </c>
    </row>
    <row r="54" spans="2:2" x14ac:dyDescent="0.2">
      <c r="B54" s="2" t="s">
        <v>187</v>
      </c>
    </row>
    <row r="55" spans="2:2" x14ac:dyDescent="0.2">
      <c r="B55" s="2" t="s">
        <v>188</v>
      </c>
    </row>
    <row r="57" spans="2:2" x14ac:dyDescent="0.2">
      <c r="B57" s="20" t="s">
        <v>179</v>
      </c>
    </row>
    <row r="58" spans="2:2" x14ac:dyDescent="0.2">
      <c r="B58" s="2" t="s">
        <v>180</v>
      </c>
    </row>
    <row r="60" spans="2:2" x14ac:dyDescent="0.2">
      <c r="B60" s="2" t="s">
        <v>189</v>
      </c>
    </row>
  </sheetData>
  <hyperlinks>
    <hyperlink ref="A1" location="Main!A1" display="Main" xr:uid="{197B2E97-85A8-47B6-84DE-65CBA38723A6}"/>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028C-DDD7-4E28-A042-AE8761EEA781}">
  <dimension ref="A1:H64"/>
  <sheetViews>
    <sheetView zoomScale="175" zoomScaleNormal="175" workbookViewId="0">
      <selection activeCell="J63" sqref="J63"/>
    </sheetView>
  </sheetViews>
  <sheetFormatPr defaultRowHeight="12" x14ac:dyDescent="0.2"/>
  <cols>
    <col min="1" max="4" width="9.140625" style="2"/>
    <col min="5" max="5" width="12" style="2" bestFit="1" customWidth="1"/>
    <col min="6" max="7" width="9.140625" style="2"/>
    <col min="8" max="8" width="10.140625" style="2" bestFit="1" customWidth="1"/>
    <col min="9" max="9" width="10.7109375" style="2" bestFit="1" customWidth="1"/>
    <col min="10" max="10" width="10.42578125" style="2" bestFit="1" customWidth="1"/>
    <col min="11" max="11" width="12.28515625" style="2" bestFit="1" customWidth="1"/>
    <col min="12" max="16384" width="9.140625" style="2"/>
  </cols>
  <sheetData>
    <row r="1" spans="1:3" ht="15" x14ac:dyDescent="0.25">
      <c r="A1" s="3" t="s">
        <v>0</v>
      </c>
    </row>
    <row r="4" spans="1:3" x14ac:dyDescent="0.2">
      <c r="B4" s="2" t="s">
        <v>84</v>
      </c>
    </row>
    <row r="5" spans="1:3" x14ac:dyDescent="0.2">
      <c r="B5" s="2" t="s">
        <v>65</v>
      </c>
      <c r="C5" s="10">
        <v>45016</v>
      </c>
    </row>
    <row r="6" spans="1:3" x14ac:dyDescent="0.2">
      <c r="B6" s="2" t="s">
        <v>85</v>
      </c>
    </row>
    <row r="8" spans="1:3" x14ac:dyDescent="0.2">
      <c r="B8" s="13" t="s">
        <v>130</v>
      </c>
    </row>
    <row r="9" spans="1:3" x14ac:dyDescent="0.2">
      <c r="B9" s="13" t="s">
        <v>131</v>
      </c>
    </row>
    <row r="11" spans="1:3" x14ac:dyDescent="0.2">
      <c r="B11" s="20" t="s">
        <v>86</v>
      </c>
    </row>
    <row r="13" spans="1:3" x14ac:dyDescent="0.2">
      <c r="B13" s="13" t="s">
        <v>132</v>
      </c>
    </row>
    <row r="14" spans="1:3" x14ac:dyDescent="0.2">
      <c r="B14" s="13" t="s">
        <v>133</v>
      </c>
    </row>
    <row r="15" spans="1:3" x14ac:dyDescent="0.2">
      <c r="B15" s="13" t="s">
        <v>134</v>
      </c>
    </row>
    <row r="16" spans="1:3" x14ac:dyDescent="0.2">
      <c r="B16" s="13" t="s">
        <v>135</v>
      </c>
    </row>
    <row r="19" spans="2:6" x14ac:dyDescent="0.2">
      <c r="B19" s="2" t="s">
        <v>87</v>
      </c>
      <c r="C19" s="2">
        <v>12</v>
      </c>
      <c r="D19" s="2" t="s">
        <v>88</v>
      </c>
    </row>
    <row r="20" spans="2:6" x14ac:dyDescent="0.2">
      <c r="B20" s="2" t="s">
        <v>89</v>
      </c>
      <c r="C20" s="10">
        <v>44743</v>
      </c>
    </row>
    <row r="21" spans="2:6" x14ac:dyDescent="0.2">
      <c r="B21" s="2" t="s">
        <v>49</v>
      </c>
      <c r="C21" s="15">
        <v>5</v>
      </c>
      <c r="D21" s="2" t="s">
        <v>90</v>
      </c>
    </row>
    <row r="22" spans="2:6" x14ac:dyDescent="0.2">
      <c r="B22" s="2" t="s">
        <v>107</v>
      </c>
      <c r="C22" s="2">
        <v>1000000</v>
      </c>
      <c r="D22" s="2" t="s">
        <v>108</v>
      </c>
      <c r="E22" s="2" t="s">
        <v>109</v>
      </c>
      <c r="F22" s="10">
        <v>45107</v>
      </c>
    </row>
    <row r="23" spans="2:6" x14ac:dyDescent="0.2">
      <c r="B23" s="2" t="s">
        <v>110</v>
      </c>
      <c r="C23" s="2">
        <v>0.5</v>
      </c>
    </row>
    <row r="25" spans="2:6" x14ac:dyDescent="0.2">
      <c r="B25" s="2" t="s">
        <v>111</v>
      </c>
    </row>
    <row r="27" spans="2:6" x14ac:dyDescent="0.2">
      <c r="B27" s="2" t="s">
        <v>112</v>
      </c>
      <c r="C27" s="12">
        <v>768000</v>
      </c>
    </row>
    <row r="28" spans="2:6" x14ac:dyDescent="0.2">
      <c r="C28" s="12">
        <f>SUM(C27:C27)</f>
        <v>768000</v>
      </c>
    </row>
    <row r="30" spans="2:6" x14ac:dyDescent="0.2">
      <c r="B30" s="2" t="s">
        <v>32</v>
      </c>
      <c r="E30" s="12">
        <f>+C23*C28</f>
        <v>384000</v>
      </c>
      <c r="F30" s="12"/>
    </row>
    <row r="31" spans="2:6" x14ac:dyDescent="0.2">
      <c r="C31" s="2" t="s">
        <v>113</v>
      </c>
      <c r="E31" s="12"/>
      <c r="F31" s="12">
        <f>+C23*C28</f>
        <v>384000</v>
      </c>
    </row>
    <row r="32" spans="2:6" x14ac:dyDescent="0.2">
      <c r="B32" s="2" t="s">
        <v>125</v>
      </c>
    </row>
    <row r="34" spans="2:8" x14ac:dyDescent="0.2">
      <c r="B34" s="20" t="s">
        <v>144</v>
      </c>
    </row>
    <row r="35" spans="2:8" x14ac:dyDescent="0.2">
      <c r="B35" s="2" t="s">
        <v>129</v>
      </c>
    </row>
    <row r="36" spans="2:8" x14ac:dyDescent="0.2">
      <c r="B36" s="14" t="s">
        <v>126</v>
      </c>
    </row>
    <row r="37" spans="2:8" x14ac:dyDescent="0.2">
      <c r="B37" s="14" t="s">
        <v>127</v>
      </c>
    </row>
    <row r="38" spans="2:8" x14ac:dyDescent="0.2">
      <c r="B38" s="14" t="s">
        <v>128</v>
      </c>
    </row>
    <row r="40" spans="2:8" x14ac:dyDescent="0.2">
      <c r="B40" s="2" t="s">
        <v>114</v>
      </c>
      <c r="C40" s="21">
        <v>9</v>
      </c>
      <c r="D40" s="12">
        <f>+C43-D41</f>
        <v>9835</v>
      </c>
      <c r="E40" s="12">
        <f>+C40*D40</f>
        <v>88515</v>
      </c>
    </row>
    <row r="41" spans="2:8" x14ac:dyDescent="0.2">
      <c r="B41" s="2" t="s">
        <v>121</v>
      </c>
      <c r="C41" s="21">
        <v>4.5</v>
      </c>
      <c r="D41" s="12">
        <v>165</v>
      </c>
      <c r="E41" s="12">
        <f>+C41*D41</f>
        <v>742.5</v>
      </c>
    </row>
    <row r="42" spans="2:8" x14ac:dyDescent="0.2">
      <c r="D42" s="12"/>
      <c r="E42" s="12">
        <f>SUM(E40:E41)</f>
        <v>89257.5</v>
      </c>
    </row>
    <row r="43" spans="2:8" x14ac:dyDescent="0.2">
      <c r="B43" s="2" t="s">
        <v>115</v>
      </c>
      <c r="C43" s="2">
        <v>10000</v>
      </c>
      <c r="D43" s="2" t="s">
        <v>116</v>
      </c>
    </row>
    <row r="44" spans="2:8" x14ac:dyDescent="0.2">
      <c r="B44" s="2" t="s">
        <v>117</v>
      </c>
      <c r="C44" s="10">
        <v>45013</v>
      </c>
    </row>
    <row r="45" spans="2:8" x14ac:dyDescent="0.2">
      <c r="C45" s="12">
        <f>+C43*C40</f>
        <v>90000</v>
      </c>
    </row>
    <row r="47" spans="2:8" x14ac:dyDescent="0.2">
      <c r="B47" s="2" t="s">
        <v>118</v>
      </c>
      <c r="C47" s="2" t="s">
        <v>119</v>
      </c>
      <c r="G47" s="2" t="s">
        <v>120</v>
      </c>
    </row>
    <row r="48" spans="2:8" x14ac:dyDescent="0.2">
      <c r="B48" s="2">
        <v>0.5</v>
      </c>
      <c r="C48" s="12">
        <v>100</v>
      </c>
      <c r="D48" s="12">
        <f>+$C$43-C48</f>
        <v>9900</v>
      </c>
      <c r="E48" s="12">
        <f>+D48*$C$40</f>
        <v>89100</v>
      </c>
      <c r="F48" s="12">
        <f>+C48*$C$41</f>
        <v>450</v>
      </c>
      <c r="G48" s="12">
        <f>(E48-F48)*B48</f>
        <v>44325</v>
      </c>
      <c r="H48" s="2" t="str">
        <f ca="1">_xlfn.FORMULATEXT(G48)</f>
        <v>=(E48-F48)*B48</v>
      </c>
    </row>
    <row r="49" spans="2:8" x14ac:dyDescent="0.2">
      <c r="B49" s="2">
        <v>0.35</v>
      </c>
      <c r="C49" s="12">
        <v>200</v>
      </c>
      <c r="D49" s="12">
        <f t="shared" ref="D49:D50" si="0">+$C$43-C49</f>
        <v>9800</v>
      </c>
      <c r="E49" s="12">
        <f t="shared" ref="E49:E50" si="1">+D49*$C$40</f>
        <v>88200</v>
      </c>
      <c r="F49" s="12">
        <f t="shared" ref="F49:F50" si="2">+C49*$C$41</f>
        <v>900</v>
      </c>
      <c r="G49" s="12">
        <f t="shared" ref="G49:G50" si="3">(E49-F49)*B49</f>
        <v>30554.999999999996</v>
      </c>
      <c r="H49" s="2" t="str">
        <f t="shared" ref="H49:H50" ca="1" si="4">_xlfn.FORMULATEXT(G49)</f>
        <v>=(E49-F49)*B49</v>
      </c>
    </row>
    <row r="50" spans="2:8" x14ac:dyDescent="0.2">
      <c r="B50" s="2">
        <v>0.15</v>
      </c>
      <c r="C50" s="12">
        <v>300</v>
      </c>
      <c r="D50" s="12">
        <f t="shared" si="0"/>
        <v>9700</v>
      </c>
      <c r="E50" s="12">
        <f t="shared" si="1"/>
        <v>87300</v>
      </c>
      <c r="F50" s="12">
        <f t="shared" si="2"/>
        <v>1350</v>
      </c>
      <c r="G50" s="23">
        <f t="shared" si="3"/>
        <v>12892.5</v>
      </c>
      <c r="H50" s="2" t="str">
        <f t="shared" ca="1" si="4"/>
        <v>=(E50-F50)*B50</v>
      </c>
    </row>
    <row r="51" spans="2:8" x14ac:dyDescent="0.2">
      <c r="C51" s="12"/>
      <c r="D51" s="12"/>
      <c r="E51" s="12"/>
      <c r="F51" s="12"/>
      <c r="G51" s="12">
        <f>SUM(G48:G50)</f>
        <v>87772.5</v>
      </c>
    </row>
    <row r="52" spans="2:8" x14ac:dyDescent="0.2">
      <c r="C52" s="12"/>
      <c r="D52" s="12"/>
      <c r="E52" s="12"/>
      <c r="F52" s="12"/>
      <c r="G52" s="12">
        <f>+C45</f>
        <v>90000</v>
      </c>
    </row>
    <row r="53" spans="2:8" ht="12.75" thickBot="1" x14ac:dyDescent="0.25">
      <c r="B53" s="2" t="s">
        <v>122</v>
      </c>
      <c r="C53" s="12"/>
      <c r="D53" s="12"/>
      <c r="E53" s="12"/>
      <c r="F53" s="12"/>
      <c r="G53" s="22">
        <f>+G52-G51</f>
        <v>2227.5</v>
      </c>
    </row>
    <row r="54" spans="2:8" ht="12.75" thickTop="1" x14ac:dyDescent="0.2"/>
    <row r="55" spans="2:8" x14ac:dyDescent="0.2">
      <c r="B55" s="2" t="s">
        <v>123</v>
      </c>
      <c r="E55" s="21">
        <f>+G53</f>
        <v>2227.5</v>
      </c>
    </row>
    <row r="56" spans="2:8" x14ac:dyDescent="0.2">
      <c r="B56" s="2" t="s">
        <v>38</v>
      </c>
      <c r="E56" s="12">
        <f>+G51</f>
        <v>87772.5</v>
      </c>
      <c r="F56" s="12"/>
    </row>
    <row r="57" spans="2:8" x14ac:dyDescent="0.2">
      <c r="C57" s="2" t="s">
        <v>33</v>
      </c>
      <c r="F57" s="12">
        <f>+G52</f>
        <v>90000</v>
      </c>
    </row>
    <row r="58" spans="2:8" x14ac:dyDescent="0.2">
      <c r="B58" s="2" t="s">
        <v>124</v>
      </c>
    </row>
    <row r="61" spans="2:8" x14ac:dyDescent="0.2">
      <c r="B61" s="24" t="s">
        <v>146</v>
      </c>
    </row>
    <row r="62" spans="2:8" x14ac:dyDescent="0.2">
      <c r="B62" s="24" t="s">
        <v>126</v>
      </c>
    </row>
    <row r="63" spans="2:8" x14ac:dyDescent="0.2">
      <c r="B63" s="24" t="s">
        <v>145</v>
      </c>
    </row>
    <row r="64" spans="2:8" x14ac:dyDescent="0.2">
      <c r="B64" s="24" t="s">
        <v>128</v>
      </c>
    </row>
  </sheetData>
  <hyperlinks>
    <hyperlink ref="A1" location="Main!A1" display="Main" xr:uid="{EB74E6F2-6FD7-4303-90B4-EEAEA2B5CE6B}"/>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007-12DC-4E00-9F27-193563EA438F}">
  <dimension ref="A1:F36"/>
  <sheetViews>
    <sheetView zoomScale="160" zoomScaleNormal="160" workbookViewId="0">
      <selection activeCell="B27" sqref="B27"/>
    </sheetView>
  </sheetViews>
  <sheetFormatPr defaultRowHeight="12" x14ac:dyDescent="0.2"/>
  <cols>
    <col min="1" max="2" width="9.140625" style="2"/>
    <col min="3" max="3" width="11" style="2" bestFit="1" customWidth="1"/>
    <col min="4" max="6" width="9.7109375" style="2" bestFit="1" customWidth="1"/>
    <col min="7" max="16384" width="9.140625" style="2"/>
  </cols>
  <sheetData>
    <row r="1" spans="1:6" ht="15" x14ac:dyDescent="0.25">
      <c r="A1" s="3" t="s">
        <v>0</v>
      </c>
    </row>
    <row r="3" spans="1:6" x14ac:dyDescent="0.2">
      <c r="B3" s="2" t="s">
        <v>64</v>
      </c>
    </row>
    <row r="4" spans="1:6" x14ac:dyDescent="0.2">
      <c r="B4" s="2" t="s">
        <v>65</v>
      </c>
      <c r="C4" s="10">
        <v>45838</v>
      </c>
    </row>
    <row r="5" spans="1:6" x14ac:dyDescent="0.2">
      <c r="B5" s="2" t="s">
        <v>66</v>
      </c>
    </row>
    <row r="6" spans="1:6" x14ac:dyDescent="0.2">
      <c r="B6" s="2" t="s">
        <v>67</v>
      </c>
      <c r="C6" s="10">
        <v>45658</v>
      </c>
    </row>
    <row r="7" spans="1:6" x14ac:dyDescent="0.2">
      <c r="B7" s="2" t="s">
        <v>68</v>
      </c>
      <c r="C7" s="10">
        <v>45658</v>
      </c>
      <c r="D7" s="2">
        <v>561800</v>
      </c>
    </row>
    <row r="9" spans="1:6" x14ac:dyDescent="0.2">
      <c r="B9" s="2" t="s">
        <v>69</v>
      </c>
    </row>
    <row r="10" spans="1:6" x14ac:dyDescent="0.2">
      <c r="B10" s="2" t="s">
        <v>31</v>
      </c>
      <c r="E10" s="2">
        <f>+D7</f>
        <v>561800</v>
      </c>
    </row>
    <row r="11" spans="1:6" x14ac:dyDescent="0.2">
      <c r="C11" s="2" t="s">
        <v>53</v>
      </c>
      <c r="F11" s="2">
        <f>+E10</f>
        <v>561800</v>
      </c>
    </row>
    <row r="13" spans="1:6" x14ac:dyDescent="0.2">
      <c r="B13" s="2" t="s">
        <v>83</v>
      </c>
    </row>
    <row r="14" spans="1:6" x14ac:dyDescent="0.2">
      <c r="B14" s="14" t="s">
        <v>80</v>
      </c>
    </row>
    <row r="15" spans="1:6" x14ac:dyDescent="0.2">
      <c r="B15" s="14" t="s">
        <v>81</v>
      </c>
    </row>
    <row r="16" spans="1:6" x14ac:dyDescent="0.2">
      <c r="B16" s="14" t="s">
        <v>82</v>
      </c>
    </row>
    <row r="18" spans="2:6" x14ac:dyDescent="0.2">
      <c r="B18" s="2" t="s">
        <v>70</v>
      </c>
    </row>
    <row r="20" spans="2:6" x14ac:dyDescent="0.2">
      <c r="B20" s="10">
        <v>46023</v>
      </c>
      <c r="C20" s="2">
        <v>0</v>
      </c>
    </row>
    <row r="21" spans="2:6" x14ac:dyDescent="0.2">
      <c r="B21" s="10">
        <v>46388</v>
      </c>
      <c r="C21" s="12">
        <f>+F11</f>
        <v>561800</v>
      </c>
      <c r="D21" s="12"/>
    </row>
    <row r="22" spans="2:6" x14ac:dyDescent="0.2">
      <c r="B22" s="2" t="s">
        <v>34</v>
      </c>
      <c r="C22" s="12"/>
      <c r="D22" s="12">
        <f>NPV(0.06,C20:C21)</f>
        <v>500000</v>
      </c>
    </row>
    <row r="23" spans="2:6" x14ac:dyDescent="0.2">
      <c r="B23" s="2" t="s">
        <v>73</v>
      </c>
      <c r="C23" s="12"/>
      <c r="D23" s="12">
        <f>+C21-D22</f>
        <v>61800</v>
      </c>
    </row>
    <row r="25" spans="2:6" x14ac:dyDescent="0.2">
      <c r="B25" s="2" t="s">
        <v>72</v>
      </c>
      <c r="E25" s="11">
        <f>+D23</f>
        <v>61800</v>
      </c>
    </row>
    <row r="26" spans="2:6" x14ac:dyDescent="0.2">
      <c r="C26" s="2" t="s">
        <v>74</v>
      </c>
      <c r="F26" s="11">
        <f>+E25</f>
        <v>61800</v>
      </c>
    </row>
    <row r="27" spans="2:6" x14ac:dyDescent="0.2">
      <c r="B27" s="2" t="s">
        <v>75</v>
      </c>
      <c r="F27" s="11"/>
    </row>
    <row r="28" spans="2:6" x14ac:dyDescent="0.2">
      <c r="F28" s="11"/>
    </row>
    <row r="29" spans="2:6" x14ac:dyDescent="0.2">
      <c r="B29" s="2" t="s">
        <v>76</v>
      </c>
      <c r="F29" s="11"/>
    </row>
    <row r="30" spans="2:6" x14ac:dyDescent="0.2">
      <c r="C30" s="11">
        <f>+D23</f>
        <v>61800</v>
      </c>
    </row>
    <row r="31" spans="2:6" x14ac:dyDescent="0.2">
      <c r="C31" s="12">
        <f>YEARFRAC(C6,C4)*12</f>
        <v>5.9666666666666668</v>
      </c>
    </row>
    <row r="32" spans="2:6" x14ac:dyDescent="0.2">
      <c r="C32" s="11">
        <f>+C31/24*C30</f>
        <v>15364.166666666668</v>
      </c>
    </row>
    <row r="34" spans="2:6" x14ac:dyDescent="0.2">
      <c r="B34" s="2" t="s">
        <v>77</v>
      </c>
      <c r="E34" s="11">
        <f>+C32</f>
        <v>15364.166666666668</v>
      </c>
    </row>
    <row r="35" spans="2:6" x14ac:dyDescent="0.2">
      <c r="C35" s="2" t="s">
        <v>78</v>
      </c>
      <c r="F35" s="11">
        <f>+E34</f>
        <v>15364.166666666668</v>
      </c>
    </row>
    <row r="36" spans="2:6" x14ac:dyDescent="0.2">
      <c r="B36" s="2" t="s">
        <v>79</v>
      </c>
    </row>
  </sheetData>
  <hyperlinks>
    <hyperlink ref="A1" location="Main!A1" display="Main" xr:uid="{CAA9EA8B-8640-45F6-B799-6D997C1AB9A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10F1-FBEB-40F8-9CDF-8EA0E597808A}">
  <dimension ref="A1:F40"/>
  <sheetViews>
    <sheetView zoomScale="175" zoomScaleNormal="175" workbookViewId="0"/>
  </sheetViews>
  <sheetFormatPr defaultRowHeight="12" x14ac:dyDescent="0.2"/>
  <cols>
    <col min="1" max="16384" width="9.140625" style="2"/>
  </cols>
  <sheetData>
    <row r="1" spans="1:4" ht="15" x14ac:dyDescent="0.25">
      <c r="A1" s="3" t="s">
        <v>0</v>
      </c>
    </row>
    <row r="4" spans="1:4" x14ac:dyDescent="0.2">
      <c r="B4" s="2" t="s">
        <v>288</v>
      </c>
    </row>
    <row r="5" spans="1:4" x14ac:dyDescent="0.2">
      <c r="B5" s="2" t="s">
        <v>65</v>
      </c>
      <c r="C5" s="10">
        <v>44804</v>
      </c>
    </row>
    <row r="7" spans="1:4" x14ac:dyDescent="0.2">
      <c r="B7" s="20" t="s">
        <v>289</v>
      </c>
    </row>
    <row r="8" spans="1:4" x14ac:dyDescent="0.2">
      <c r="B8" s="2" t="s">
        <v>295</v>
      </c>
    </row>
    <row r="9" spans="1:4" x14ac:dyDescent="0.2">
      <c r="B9" s="13" t="s">
        <v>290</v>
      </c>
    </row>
    <row r="10" spans="1:4" x14ac:dyDescent="0.2">
      <c r="B10" s="2" t="s">
        <v>291</v>
      </c>
    </row>
    <row r="11" spans="1:4" x14ac:dyDescent="0.2">
      <c r="B11" s="2" t="s">
        <v>292</v>
      </c>
      <c r="D11" s="12">
        <v>124000</v>
      </c>
    </row>
    <row r="12" spans="1:4" x14ac:dyDescent="0.2">
      <c r="B12" s="2" t="s">
        <v>293</v>
      </c>
      <c r="D12" s="12">
        <v>129000</v>
      </c>
    </row>
    <row r="14" spans="1:4" x14ac:dyDescent="0.2">
      <c r="B14" s="2" t="s">
        <v>294</v>
      </c>
    </row>
    <row r="15" spans="1:4" ht="12.75" thickBot="1" x14ac:dyDescent="0.25">
      <c r="B15" s="2" t="s">
        <v>34</v>
      </c>
      <c r="D15" s="22">
        <f>+D12</f>
        <v>129000</v>
      </c>
    </row>
    <row r="16" spans="1:4" ht="12.75" thickTop="1" x14ac:dyDescent="0.2">
      <c r="D16" s="35"/>
    </row>
    <row r="17" spans="2:6" x14ac:dyDescent="0.2">
      <c r="B17" s="2" t="s">
        <v>297</v>
      </c>
      <c r="E17" s="12">
        <f>+F18</f>
        <v>129000</v>
      </c>
    </row>
    <row r="18" spans="2:6" x14ac:dyDescent="0.2">
      <c r="C18" s="2" t="s">
        <v>71</v>
      </c>
      <c r="D18" s="35"/>
      <c r="F18" s="12">
        <f>+D15</f>
        <v>129000</v>
      </c>
    </row>
    <row r="19" spans="2:6" x14ac:dyDescent="0.2">
      <c r="B19" s="2" t="s">
        <v>310</v>
      </c>
      <c r="D19" s="35"/>
      <c r="F19" s="12"/>
    </row>
    <row r="21" spans="2:6" x14ac:dyDescent="0.2">
      <c r="B21" s="13" t="s">
        <v>296</v>
      </c>
    </row>
    <row r="22" spans="2:6" x14ac:dyDescent="0.2">
      <c r="B22" s="2" t="s">
        <v>298</v>
      </c>
      <c r="C22" s="12">
        <v>10000</v>
      </c>
    </row>
    <row r="23" spans="2:6" x14ac:dyDescent="0.2">
      <c r="B23" s="2" t="s">
        <v>308</v>
      </c>
      <c r="C23" s="12">
        <v>11000</v>
      </c>
    </row>
    <row r="24" spans="2:6" x14ac:dyDescent="0.2">
      <c r="B24" s="2" t="s">
        <v>299</v>
      </c>
    </row>
    <row r="25" spans="2:6" x14ac:dyDescent="0.2">
      <c r="B25" s="2" t="s">
        <v>300</v>
      </c>
    </row>
    <row r="26" spans="2:6" x14ac:dyDescent="0.2">
      <c r="B26" s="2" t="s">
        <v>301</v>
      </c>
    </row>
    <row r="29" spans="2:6" x14ac:dyDescent="0.2">
      <c r="B29" s="2" t="s">
        <v>302</v>
      </c>
      <c r="E29" s="12">
        <f>+C23</f>
        <v>11000</v>
      </c>
      <c r="F29" s="12"/>
    </row>
    <row r="30" spans="2:6" x14ac:dyDescent="0.2">
      <c r="C30" s="2" t="s">
        <v>71</v>
      </c>
      <c r="E30" s="12"/>
      <c r="F30" s="12">
        <f>+E29</f>
        <v>11000</v>
      </c>
    </row>
    <row r="31" spans="2:6" x14ac:dyDescent="0.2">
      <c r="B31" s="2" t="s">
        <v>311</v>
      </c>
    </row>
    <row r="33" spans="2:4" x14ac:dyDescent="0.2">
      <c r="B33" s="13" t="s">
        <v>303</v>
      </c>
    </row>
    <row r="35" spans="2:4" x14ac:dyDescent="0.2">
      <c r="B35" s="2" t="s">
        <v>304</v>
      </c>
      <c r="C35" s="2">
        <v>13800</v>
      </c>
      <c r="D35" s="10">
        <v>44562</v>
      </c>
    </row>
    <row r="37" spans="2:4" x14ac:dyDescent="0.2">
      <c r="B37" s="2" t="s">
        <v>305</v>
      </c>
    </row>
    <row r="38" spans="2:4" x14ac:dyDescent="0.2">
      <c r="B38" s="2" t="s">
        <v>306</v>
      </c>
    </row>
    <row r="39" spans="2:4" x14ac:dyDescent="0.2">
      <c r="B39" s="2" t="s">
        <v>307</v>
      </c>
    </row>
    <row r="40" spans="2:4" x14ac:dyDescent="0.2">
      <c r="B40" s="2" t="s">
        <v>309</v>
      </c>
    </row>
  </sheetData>
  <hyperlinks>
    <hyperlink ref="A1" location="Main!A1" display="Main" xr:uid="{8D371143-F0F2-40C9-AD22-92C186717F52}"/>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4676-45E0-48F0-B04F-95DE2F2652C3}">
  <dimension ref="A1:F48"/>
  <sheetViews>
    <sheetView zoomScale="175" zoomScaleNormal="175" workbookViewId="0"/>
  </sheetViews>
  <sheetFormatPr defaultRowHeight="12" x14ac:dyDescent="0.2"/>
  <cols>
    <col min="1" max="16384" width="9.140625" style="2"/>
  </cols>
  <sheetData>
    <row r="1" spans="1:4" ht="15" x14ac:dyDescent="0.25">
      <c r="A1" s="3" t="s">
        <v>0</v>
      </c>
    </row>
    <row r="3" spans="1:4" x14ac:dyDescent="0.2">
      <c r="B3" s="2" t="s">
        <v>312</v>
      </c>
      <c r="D3" s="24" t="s">
        <v>338</v>
      </c>
    </row>
    <row r="4" spans="1:4" x14ac:dyDescent="0.2">
      <c r="B4" s="2" t="s">
        <v>65</v>
      </c>
      <c r="C4" s="10">
        <v>47118</v>
      </c>
    </row>
    <row r="7" spans="1:4" x14ac:dyDescent="0.2">
      <c r="B7" s="20" t="s">
        <v>289</v>
      </c>
    </row>
    <row r="8" spans="1:4" x14ac:dyDescent="0.2">
      <c r="B8" s="2" t="s">
        <v>313</v>
      </c>
      <c r="C8" s="10">
        <v>46905</v>
      </c>
    </row>
    <row r="9" spans="1:4" x14ac:dyDescent="0.2">
      <c r="B9" s="2" t="s">
        <v>314</v>
      </c>
      <c r="C9" s="2">
        <v>10</v>
      </c>
    </row>
    <row r="10" spans="1:4" x14ac:dyDescent="0.2">
      <c r="B10" s="2" t="s">
        <v>315</v>
      </c>
    </row>
    <row r="11" spans="1:4" x14ac:dyDescent="0.2">
      <c r="B11" s="2" t="s">
        <v>316</v>
      </c>
    </row>
    <row r="12" spans="1:4" x14ac:dyDescent="0.2">
      <c r="B12" s="2" t="s">
        <v>317</v>
      </c>
      <c r="C12" s="10">
        <v>46996</v>
      </c>
    </row>
    <row r="13" spans="1:4" x14ac:dyDescent="0.2">
      <c r="C13" s="10"/>
    </row>
    <row r="14" spans="1:4" x14ac:dyDescent="0.2">
      <c r="B14" s="2" t="s">
        <v>321</v>
      </c>
      <c r="C14" s="10"/>
    </row>
    <row r="15" spans="1:4" x14ac:dyDescent="0.2">
      <c r="B15" s="2" t="s">
        <v>336</v>
      </c>
      <c r="C15" s="10"/>
    </row>
    <row r="16" spans="1:4" x14ac:dyDescent="0.2">
      <c r="B16" s="2" t="s">
        <v>337</v>
      </c>
      <c r="C16" s="10"/>
    </row>
    <row r="18" spans="2:4" x14ac:dyDescent="0.2">
      <c r="B18" s="2" t="s">
        <v>49</v>
      </c>
      <c r="C18" s="12">
        <v>150000</v>
      </c>
      <c r="D18" s="2" t="s">
        <v>318</v>
      </c>
    </row>
    <row r="19" spans="2:4" x14ac:dyDescent="0.2">
      <c r="C19" s="12">
        <f>+C9*C18</f>
        <v>1500000</v>
      </c>
    </row>
    <row r="21" spans="2:4" x14ac:dyDescent="0.2">
      <c r="B21" s="2" t="s">
        <v>319</v>
      </c>
      <c r="C21" s="12">
        <v>100000</v>
      </c>
      <c r="D21" s="2" t="s">
        <v>318</v>
      </c>
    </row>
    <row r="22" spans="2:4" x14ac:dyDescent="0.2">
      <c r="C22" s="12">
        <f>+C9*C21</f>
        <v>1000000</v>
      </c>
    </row>
    <row r="24" spans="2:4" x14ac:dyDescent="0.2">
      <c r="B24" s="2" t="s">
        <v>320</v>
      </c>
    </row>
    <row r="25" spans="2:4" x14ac:dyDescent="0.2">
      <c r="B25" s="2" t="s">
        <v>333</v>
      </c>
    </row>
    <row r="28" spans="2:4" x14ac:dyDescent="0.2">
      <c r="B28" s="2" t="s">
        <v>322</v>
      </c>
      <c r="C28" s="10">
        <v>47083</v>
      </c>
      <c r="D28" s="2">
        <v>10</v>
      </c>
    </row>
    <row r="29" spans="2:4" x14ac:dyDescent="0.2">
      <c r="B29" s="2" t="s">
        <v>117</v>
      </c>
      <c r="C29" s="10">
        <v>47087</v>
      </c>
    </row>
    <row r="30" spans="2:4" x14ac:dyDescent="0.2">
      <c r="B30" s="2" t="s">
        <v>323</v>
      </c>
      <c r="C30" s="10">
        <v>47087</v>
      </c>
    </row>
    <row r="31" spans="2:4" x14ac:dyDescent="0.2">
      <c r="B31" s="2" t="s">
        <v>324</v>
      </c>
      <c r="C31" s="12">
        <v>8000</v>
      </c>
      <c r="D31" s="2" t="s">
        <v>325</v>
      </c>
    </row>
    <row r="32" spans="2:4" x14ac:dyDescent="0.2">
      <c r="B32" s="2" t="s">
        <v>326</v>
      </c>
      <c r="C32" s="12">
        <v>8000</v>
      </c>
      <c r="D32" s="2" t="s">
        <v>327</v>
      </c>
    </row>
    <row r="33" spans="2:6" x14ac:dyDescent="0.2">
      <c r="C33" s="12"/>
    </row>
    <row r="34" spans="2:6" x14ac:dyDescent="0.2">
      <c r="B34" s="2" t="s">
        <v>148</v>
      </c>
      <c r="C34" s="12">
        <v>145000</v>
      </c>
    </row>
    <row r="35" spans="2:6" x14ac:dyDescent="0.2">
      <c r="B35" s="2" t="s">
        <v>328</v>
      </c>
      <c r="C35" s="2">
        <v>60</v>
      </c>
      <c r="D35" s="2" t="s">
        <v>329</v>
      </c>
    </row>
    <row r="36" spans="2:6" x14ac:dyDescent="0.2">
      <c r="B36" s="2" t="s">
        <v>330</v>
      </c>
    </row>
    <row r="38" spans="2:6" x14ac:dyDescent="0.2">
      <c r="B38" s="2" t="s">
        <v>34</v>
      </c>
      <c r="D38" s="12">
        <f>+C34</f>
        <v>145000</v>
      </c>
    </row>
    <row r="39" spans="2:6" x14ac:dyDescent="0.2">
      <c r="B39" s="2" t="s">
        <v>331</v>
      </c>
    </row>
    <row r="41" spans="2:6" x14ac:dyDescent="0.2">
      <c r="E41" s="36" t="s">
        <v>54</v>
      </c>
      <c r="F41" s="36" t="s">
        <v>54</v>
      </c>
    </row>
    <row r="42" spans="2:6" x14ac:dyDescent="0.2">
      <c r="B42" s="2" t="s">
        <v>332</v>
      </c>
      <c r="E42" s="12">
        <f>(+C21)*(10/1000)</f>
        <v>1000</v>
      </c>
      <c r="F42" s="12"/>
    </row>
    <row r="43" spans="2:6" x14ac:dyDescent="0.2">
      <c r="B43" s="2" t="s">
        <v>332</v>
      </c>
      <c r="E43" s="12">
        <f>+C32/1000</f>
        <v>8</v>
      </c>
      <c r="F43" s="12"/>
    </row>
    <row r="44" spans="2:6" x14ac:dyDescent="0.2">
      <c r="B44" s="2" t="s">
        <v>31</v>
      </c>
      <c r="E44" s="12">
        <f>(+F45)</f>
        <v>1450</v>
      </c>
      <c r="F44" s="12"/>
    </row>
    <row r="45" spans="2:6" x14ac:dyDescent="0.2">
      <c r="C45" s="2" t="s">
        <v>71</v>
      </c>
      <c r="E45" s="12"/>
      <c r="F45" s="12">
        <f>(+D38)*(10/1000)</f>
        <v>1450</v>
      </c>
    </row>
    <row r="46" spans="2:6" x14ac:dyDescent="0.2">
      <c r="C46" s="2" t="s">
        <v>327</v>
      </c>
      <c r="E46" s="12"/>
      <c r="F46" s="12">
        <f>(+E43)</f>
        <v>8</v>
      </c>
    </row>
    <row r="47" spans="2:6" x14ac:dyDescent="0.2">
      <c r="C47" s="2" t="s">
        <v>334</v>
      </c>
      <c r="E47" s="12"/>
      <c r="F47" s="12">
        <f>(+E42)</f>
        <v>1000</v>
      </c>
    </row>
    <row r="48" spans="2:6" x14ac:dyDescent="0.2">
      <c r="B48" s="2" t="s">
        <v>335</v>
      </c>
    </row>
  </sheetData>
  <hyperlinks>
    <hyperlink ref="A1" location="Main!A1" display="Main" xr:uid="{E7411FA6-0980-42AA-B5F6-54355F8D7737}"/>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2540-C980-4D2C-9C43-DEB708B8541E}">
  <dimension ref="A1:F54"/>
  <sheetViews>
    <sheetView topLeftCell="A2" zoomScale="175" zoomScaleNormal="175" workbookViewId="0">
      <selection activeCell="A2" sqref="A2"/>
    </sheetView>
  </sheetViews>
  <sheetFormatPr defaultRowHeight="12" x14ac:dyDescent="0.2"/>
  <cols>
    <col min="1" max="16384" width="9.140625" style="2"/>
  </cols>
  <sheetData>
    <row r="1" spans="1:4" ht="15" x14ac:dyDescent="0.25">
      <c r="A1" s="3" t="s">
        <v>0</v>
      </c>
    </row>
    <row r="3" spans="1:4" x14ac:dyDescent="0.2">
      <c r="B3" s="2" t="s">
        <v>339</v>
      </c>
      <c r="C3" s="24" t="s">
        <v>364</v>
      </c>
    </row>
    <row r="4" spans="1:4" x14ac:dyDescent="0.2">
      <c r="B4" s="2" t="s">
        <v>65</v>
      </c>
      <c r="C4" s="10">
        <v>46811</v>
      </c>
    </row>
    <row r="6" spans="1:4" x14ac:dyDescent="0.2">
      <c r="B6" s="2" t="s">
        <v>49</v>
      </c>
      <c r="C6" s="2">
        <v>5.99</v>
      </c>
      <c r="D6" s="2" t="s">
        <v>340</v>
      </c>
    </row>
    <row r="7" spans="1:4" x14ac:dyDescent="0.2">
      <c r="D7" s="2" t="s">
        <v>341</v>
      </c>
    </row>
    <row r="8" spans="1:4" x14ac:dyDescent="0.2">
      <c r="B8" s="10">
        <v>46447</v>
      </c>
      <c r="C8" s="2">
        <v>840</v>
      </c>
      <c r="D8" s="2" t="s">
        <v>342</v>
      </c>
    </row>
    <row r="9" spans="1:4" x14ac:dyDescent="0.2">
      <c r="B9" s="10">
        <v>46568</v>
      </c>
      <c r="C9" s="2">
        <v>952</v>
      </c>
      <c r="D9" s="2" t="s">
        <v>343</v>
      </c>
    </row>
    <row r="10" spans="1:4" x14ac:dyDescent="0.2">
      <c r="B10" s="10">
        <v>46660</v>
      </c>
      <c r="C10" s="2">
        <v>1030</v>
      </c>
      <c r="D10" s="2" t="s">
        <v>343</v>
      </c>
    </row>
    <row r="11" spans="1:4" x14ac:dyDescent="0.2">
      <c r="B11" s="10">
        <v>46752</v>
      </c>
      <c r="C11" s="2">
        <v>1125</v>
      </c>
      <c r="D11" s="2" t="s">
        <v>343</v>
      </c>
    </row>
    <row r="13" spans="1:4" x14ac:dyDescent="0.2">
      <c r="B13" s="2" t="s">
        <v>344</v>
      </c>
      <c r="C13" s="2" t="s">
        <v>345</v>
      </c>
    </row>
    <row r="16" spans="1:4" x14ac:dyDescent="0.2">
      <c r="B16" s="20" t="s">
        <v>289</v>
      </c>
    </row>
    <row r="17" spans="2:5" x14ac:dyDescent="0.2">
      <c r="B17" s="2" t="s">
        <v>346</v>
      </c>
    </row>
    <row r="18" spans="2:5" x14ac:dyDescent="0.2">
      <c r="B18" s="2" t="s">
        <v>17</v>
      </c>
      <c r="D18" s="2" t="s">
        <v>347</v>
      </c>
    </row>
    <row r="19" spans="2:5" x14ac:dyDescent="0.2">
      <c r="B19" s="2" t="s">
        <v>19</v>
      </c>
      <c r="D19" s="2" t="s">
        <v>348</v>
      </c>
    </row>
    <row r="20" spans="2:5" x14ac:dyDescent="0.2">
      <c r="B20" s="2" t="s">
        <v>20</v>
      </c>
      <c r="D20" s="2" t="s">
        <v>349</v>
      </c>
    </row>
    <row r="21" spans="2:5" x14ac:dyDescent="0.2">
      <c r="B21" s="2" t="s">
        <v>22</v>
      </c>
      <c r="D21" s="2" t="s">
        <v>359</v>
      </c>
    </row>
    <row r="22" spans="2:5" x14ac:dyDescent="0.2">
      <c r="B22" s="2" t="s">
        <v>23</v>
      </c>
      <c r="D22" s="2" t="s">
        <v>350</v>
      </c>
    </row>
    <row r="24" spans="2:5" x14ac:dyDescent="0.2">
      <c r="B24" s="20" t="s">
        <v>351</v>
      </c>
    </row>
    <row r="26" spans="2:5" x14ac:dyDescent="0.2">
      <c r="B26" s="2" t="s">
        <v>352</v>
      </c>
    </row>
    <row r="27" spans="2:5" x14ac:dyDescent="0.2">
      <c r="B27" s="2" t="s">
        <v>353</v>
      </c>
    </row>
    <row r="28" spans="2:5" x14ac:dyDescent="0.2">
      <c r="B28" s="2" t="s">
        <v>354</v>
      </c>
    </row>
    <row r="31" spans="2:5" x14ac:dyDescent="0.2">
      <c r="E31" s="2" t="s">
        <v>355</v>
      </c>
    </row>
    <row r="32" spans="2:5" x14ac:dyDescent="0.2">
      <c r="B32" s="10">
        <v>46477</v>
      </c>
      <c r="C32" s="2">
        <v>840</v>
      </c>
      <c r="D32" s="2" t="s">
        <v>343</v>
      </c>
      <c r="E32" s="2">
        <f>+C32</f>
        <v>840</v>
      </c>
    </row>
    <row r="33" spans="2:5" x14ac:dyDescent="0.2">
      <c r="B33" s="10">
        <v>46568</v>
      </c>
      <c r="C33" s="2">
        <v>952</v>
      </c>
      <c r="D33" s="2" t="s">
        <v>343</v>
      </c>
      <c r="E33" s="2">
        <f>+C33-E32</f>
        <v>112</v>
      </c>
    </row>
    <row r="34" spans="2:5" x14ac:dyDescent="0.2">
      <c r="B34" s="10">
        <v>46660</v>
      </c>
      <c r="C34" s="2">
        <v>1030</v>
      </c>
      <c r="D34" s="2" t="s">
        <v>343</v>
      </c>
      <c r="E34" s="2">
        <f t="shared" ref="E34:E35" si="0">+C34-E33</f>
        <v>918</v>
      </c>
    </row>
    <row r="35" spans="2:5" x14ac:dyDescent="0.2">
      <c r="B35" s="10">
        <v>46752</v>
      </c>
      <c r="C35" s="2">
        <v>1125</v>
      </c>
      <c r="D35" s="2" t="s">
        <v>343</v>
      </c>
      <c r="E35" s="2">
        <f t="shared" si="0"/>
        <v>207</v>
      </c>
    </row>
    <row r="36" spans="2:5" x14ac:dyDescent="0.2">
      <c r="B36" s="10">
        <v>46843</v>
      </c>
      <c r="C36" s="2">
        <v>220</v>
      </c>
    </row>
    <row r="38" spans="2:5" x14ac:dyDescent="0.2">
      <c r="B38" s="2" t="s">
        <v>356</v>
      </c>
    </row>
    <row r="39" spans="2:5" x14ac:dyDescent="0.2">
      <c r="B39" s="10">
        <v>46477</v>
      </c>
      <c r="C39" s="12">
        <f>+C32*$C$6</f>
        <v>5031.6000000000004</v>
      </c>
    </row>
    <row r="40" spans="2:5" x14ac:dyDescent="0.2">
      <c r="B40" s="10">
        <v>46568</v>
      </c>
      <c r="C40" s="12">
        <f t="shared" ref="C40:C42" si="1">+C33*$C$6</f>
        <v>5702.4800000000005</v>
      </c>
    </row>
    <row r="41" spans="2:5" x14ac:dyDescent="0.2">
      <c r="B41" s="10">
        <v>46660</v>
      </c>
      <c r="C41" s="12">
        <f t="shared" si="1"/>
        <v>6169.7</v>
      </c>
    </row>
    <row r="42" spans="2:5" x14ac:dyDescent="0.2">
      <c r="B42" s="10">
        <v>46752</v>
      </c>
      <c r="C42" s="12">
        <f t="shared" si="1"/>
        <v>6738.75</v>
      </c>
    </row>
    <row r="43" spans="2:5" x14ac:dyDescent="0.2">
      <c r="C43" s="12">
        <f>SUM(C39:C42)</f>
        <v>23642.530000000002</v>
      </c>
    </row>
    <row r="44" spans="2:5" x14ac:dyDescent="0.2">
      <c r="B44" s="2" t="s">
        <v>362</v>
      </c>
      <c r="C44" s="12">
        <f>+C35*$C$6*0.666666666666667</f>
        <v>4492.5</v>
      </c>
    </row>
    <row r="45" spans="2:5" x14ac:dyDescent="0.2">
      <c r="C45" s="12">
        <f>100*$C$6*2/3</f>
        <v>399.33333333333331</v>
      </c>
      <c r="D45" s="37" t="s">
        <v>360</v>
      </c>
    </row>
    <row r="46" spans="2:5" x14ac:dyDescent="0.2">
      <c r="B46" s="10">
        <v>46843</v>
      </c>
      <c r="C46" s="12">
        <f>120*$C$6*1/2</f>
        <v>359.40000000000003</v>
      </c>
      <c r="D46" s="37" t="s">
        <v>361</v>
      </c>
    </row>
    <row r="47" spans="2:5" x14ac:dyDescent="0.2">
      <c r="C47" s="12">
        <f>SUM(C43:C46)</f>
        <v>28893.763333333336</v>
      </c>
    </row>
    <row r="49" spans="2:6" x14ac:dyDescent="0.2">
      <c r="B49" s="2" t="s">
        <v>357</v>
      </c>
      <c r="C49" s="12">
        <f>+C47</f>
        <v>28893.763333333336</v>
      </c>
    </row>
    <row r="51" spans="2:6" x14ac:dyDescent="0.2">
      <c r="B51" s="2" t="s">
        <v>358</v>
      </c>
      <c r="E51" s="12">
        <f>+C43</f>
        <v>23642.530000000002</v>
      </c>
    </row>
    <row r="52" spans="2:6" x14ac:dyDescent="0.2">
      <c r="B52" s="2" t="s">
        <v>38</v>
      </c>
      <c r="E52" s="12">
        <f>SUM(C44:C46)</f>
        <v>5251.2333333333327</v>
      </c>
    </row>
    <row r="53" spans="2:6" x14ac:dyDescent="0.2">
      <c r="C53" s="2" t="s">
        <v>71</v>
      </c>
      <c r="F53" s="12">
        <f>+C49</f>
        <v>28893.763333333336</v>
      </c>
    </row>
    <row r="54" spans="2:6" x14ac:dyDescent="0.2">
      <c r="B54" s="2" t="s">
        <v>363</v>
      </c>
    </row>
  </sheetData>
  <hyperlinks>
    <hyperlink ref="A1" location="Main!A1" display="Main" xr:uid="{A304FE07-DC2C-444D-9B54-C90B5E4D7FA6}"/>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2B076-9E3A-40D6-B325-F5B16DCA5A1E}">
  <dimension ref="A1:F71"/>
  <sheetViews>
    <sheetView topLeftCell="A4" zoomScale="175" zoomScaleNormal="175" workbookViewId="0">
      <selection activeCell="C11" sqref="C11"/>
    </sheetView>
  </sheetViews>
  <sheetFormatPr defaultRowHeight="12" x14ac:dyDescent="0.2"/>
  <cols>
    <col min="1" max="16384" width="9.140625" style="2"/>
  </cols>
  <sheetData>
    <row r="1" spans="1:5" ht="15" x14ac:dyDescent="0.25">
      <c r="A1" s="3" t="s">
        <v>0</v>
      </c>
    </row>
    <row r="3" spans="1:5" x14ac:dyDescent="0.2">
      <c r="B3" s="2" t="s">
        <v>237</v>
      </c>
    </row>
    <row r="4" spans="1:5" x14ac:dyDescent="0.2">
      <c r="B4" s="2" t="s">
        <v>65</v>
      </c>
      <c r="C4" s="10">
        <v>46477</v>
      </c>
    </row>
    <row r="6" spans="1:5" x14ac:dyDescent="0.2">
      <c r="B6" s="2" t="s">
        <v>89</v>
      </c>
      <c r="C6" s="10">
        <v>46174</v>
      </c>
    </row>
    <row r="7" spans="1:5" x14ac:dyDescent="0.2">
      <c r="B7" s="2" t="s">
        <v>238</v>
      </c>
      <c r="C7" s="10">
        <v>46904</v>
      </c>
    </row>
    <row r="8" spans="1:5" x14ac:dyDescent="0.2">
      <c r="B8" s="2" t="s">
        <v>148</v>
      </c>
      <c r="C8" s="2">
        <v>11000000</v>
      </c>
    </row>
    <row r="9" spans="1:5" x14ac:dyDescent="0.2">
      <c r="B9" s="2" t="s">
        <v>239</v>
      </c>
      <c r="C9" s="33">
        <v>0.05</v>
      </c>
      <c r="D9" s="2" t="s">
        <v>240</v>
      </c>
    </row>
    <row r="10" spans="1:5" x14ac:dyDescent="0.2">
      <c r="B10" s="2" t="s">
        <v>239</v>
      </c>
      <c r="C10" s="12">
        <f>+C9*C8</f>
        <v>550000</v>
      </c>
      <c r="D10" s="2" t="s">
        <v>241</v>
      </c>
    </row>
    <row r="11" spans="1:5" x14ac:dyDescent="0.2">
      <c r="B11" s="2" t="s">
        <v>121</v>
      </c>
      <c r="C11" s="2">
        <v>50000</v>
      </c>
      <c r="D11" s="2" t="s">
        <v>241</v>
      </c>
      <c r="E11" s="2" t="s">
        <v>242</v>
      </c>
    </row>
    <row r="13" spans="1:5" x14ac:dyDescent="0.2">
      <c r="B13" s="2" t="s">
        <v>243</v>
      </c>
    </row>
    <row r="14" spans="1:5" x14ac:dyDescent="0.2">
      <c r="B14" s="2" t="s">
        <v>244</v>
      </c>
    </row>
    <row r="15" spans="1:5" x14ac:dyDescent="0.2">
      <c r="B15" s="2" t="s">
        <v>245</v>
      </c>
    </row>
    <row r="16" spans="1:5" x14ac:dyDescent="0.2">
      <c r="B16" s="2" t="s">
        <v>246</v>
      </c>
    </row>
    <row r="17" spans="2:4" x14ac:dyDescent="0.2">
      <c r="B17" s="2" t="s">
        <v>247</v>
      </c>
    </row>
    <row r="19" spans="2:4" x14ac:dyDescent="0.2">
      <c r="B19" s="2" t="s">
        <v>248</v>
      </c>
    </row>
    <row r="20" spans="2:4" x14ac:dyDescent="0.2">
      <c r="C20" s="2" t="s">
        <v>54</v>
      </c>
    </row>
    <row r="21" spans="2:4" x14ac:dyDescent="0.2">
      <c r="B21" s="2" t="s">
        <v>256</v>
      </c>
      <c r="C21" s="12">
        <v>4200</v>
      </c>
    </row>
    <row r="22" spans="2:4" x14ac:dyDescent="0.2">
      <c r="B22" s="2" t="s">
        <v>255</v>
      </c>
      <c r="C22" s="12">
        <v>2650</v>
      </c>
    </row>
    <row r="23" spans="2:4" x14ac:dyDescent="0.2">
      <c r="B23" s="2" t="s">
        <v>254</v>
      </c>
      <c r="C23" s="12">
        <v>240</v>
      </c>
    </row>
    <row r="24" spans="2:4" x14ac:dyDescent="0.2">
      <c r="B24" s="2" t="s">
        <v>253</v>
      </c>
      <c r="C24" s="12">
        <v>330</v>
      </c>
    </row>
    <row r="25" spans="2:4" x14ac:dyDescent="0.2">
      <c r="B25" s="2" t="s">
        <v>252</v>
      </c>
      <c r="C25" s="34">
        <v>320</v>
      </c>
    </row>
    <row r="26" spans="2:4" x14ac:dyDescent="0.2">
      <c r="B26" s="2" t="s">
        <v>251</v>
      </c>
      <c r="C26" s="34">
        <v>260</v>
      </c>
      <c r="D26" s="2" t="s">
        <v>264</v>
      </c>
    </row>
    <row r="27" spans="2:4" x14ac:dyDescent="0.2">
      <c r="B27" s="2" t="s">
        <v>250</v>
      </c>
      <c r="C27" s="12">
        <v>34</v>
      </c>
    </row>
    <row r="28" spans="2:4" x14ac:dyDescent="0.2">
      <c r="B28" s="2" t="s">
        <v>249</v>
      </c>
      <c r="C28" s="12">
        <v>2100</v>
      </c>
    </row>
    <row r="29" spans="2:4" x14ac:dyDescent="0.2">
      <c r="C29" s="12"/>
    </row>
    <row r="30" spans="2:4" x14ac:dyDescent="0.2">
      <c r="B30" s="2" t="s">
        <v>257</v>
      </c>
      <c r="C30" s="12">
        <v>4300</v>
      </c>
    </row>
    <row r="31" spans="2:4" x14ac:dyDescent="0.2">
      <c r="B31" s="2" t="s">
        <v>258</v>
      </c>
      <c r="C31" s="2">
        <v>5300</v>
      </c>
      <c r="D31" s="2" t="s">
        <v>259</v>
      </c>
    </row>
    <row r="34" spans="2:4" x14ac:dyDescent="0.2">
      <c r="B34" s="2" t="s">
        <v>260</v>
      </c>
    </row>
    <row r="35" spans="2:4" x14ac:dyDescent="0.2">
      <c r="B35" s="2" t="s">
        <v>261</v>
      </c>
    </row>
    <row r="36" spans="2:4" x14ac:dyDescent="0.2">
      <c r="B36" s="2" t="s">
        <v>262</v>
      </c>
      <c r="C36" s="12">
        <f>+C21+C22+C23+C24+C27</f>
        <v>7454</v>
      </c>
    </row>
    <row r="37" spans="2:4" x14ac:dyDescent="0.2">
      <c r="B37" s="2" t="s">
        <v>263</v>
      </c>
      <c r="C37" s="12">
        <f>+C28</f>
        <v>2100</v>
      </c>
    </row>
    <row r="39" spans="2:4" x14ac:dyDescent="0.2">
      <c r="B39" s="2" t="s">
        <v>265</v>
      </c>
    </row>
    <row r="40" spans="2:4" x14ac:dyDescent="0.2">
      <c r="B40" s="2" t="s">
        <v>271</v>
      </c>
      <c r="C40" s="2">
        <f>(+C8+C10)/1000</f>
        <v>11550</v>
      </c>
      <c r="D40" s="2" t="s">
        <v>272</v>
      </c>
    </row>
    <row r="41" spans="2:4" x14ac:dyDescent="0.2">
      <c r="B41" s="2" t="s">
        <v>266</v>
      </c>
      <c r="C41" s="12">
        <f>SUM(C21:C28)-C25-C26</f>
        <v>9554</v>
      </c>
    </row>
    <row r="42" spans="2:4" x14ac:dyDescent="0.2">
      <c r="B42" s="2" t="s">
        <v>267</v>
      </c>
      <c r="C42" s="12">
        <f>+C40-C41</f>
        <v>1996</v>
      </c>
    </row>
    <row r="44" spans="2:4" x14ac:dyDescent="0.2">
      <c r="B44" s="2" t="s">
        <v>268</v>
      </c>
    </row>
    <row r="46" spans="2:4" x14ac:dyDescent="0.2">
      <c r="B46" s="2" t="s">
        <v>269</v>
      </c>
      <c r="C46" s="33">
        <f>+C30/C41</f>
        <v>0.45007326774126022</v>
      </c>
    </row>
    <row r="48" spans="2:4" x14ac:dyDescent="0.2">
      <c r="B48" s="2" t="s">
        <v>270</v>
      </c>
      <c r="C48" s="12">
        <f>+C46*C40</f>
        <v>5198.346242411556</v>
      </c>
    </row>
    <row r="50" spans="2:6" x14ac:dyDescent="0.2">
      <c r="B50" s="2" t="s">
        <v>38</v>
      </c>
      <c r="E50" s="12">
        <f>+C48</f>
        <v>5198.346242411556</v>
      </c>
    </row>
    <row r="51" spans="2:6" x14ac:dyDescent="0.2">
      <c r="C51" s="2" t="s">
        <v>273</v>
      </c>
      <c r="F51" s="12">
        <f>+E50</f>
        <v>5198.346242411556</v>
      </c>
    </row>
    <row r="52" spans="2:6" x14ac:dyDescent="0.2">
      <c r="B52" s="2" t="s">
        <v>274</v>
      </c>
    </row>
    <row r="54" spans="2:6" x14ac:dyDescent="0.2">
      <c r="B54" s="20" t="s">
        <v>275</v>
      </c>
    </row>
    <row r="55" spans="2:6" x14ac:dyDescent="0.2">
      <c r="B55" s="2" t="s">
        <v>276</v>
      </c>
    </row>
    <row r="57" spans="2:6" x14ac:dyDescent="0.2">
      <c r="B57" s="2" t="s">
        <v>196</v>
      </c>
      <c r="E57" s="12">
        <f>+C30</f>
        <v>4300</v>
      </c>
    </row>
    <row r="58" spans="2:6" x14ac:dyDescent="0.2">
      <c r="C58" s="2" t="s">
        <v>277</v>
      </c>
      <c r="F58" s="12">
        <f>+E57</f>
        <v>4300</v>
      </c>
    </row>
    <row r="60" spans="2:6" x14ac:dyDescent="0.2">
      <c r="B60" s="20" t="s">
        <v>278</v>
      </c>
    </row>
    <row r="61" spans="2:6" x14ac:dyDescent="0.2">
      <c r="B61" s="2" t="s">
        <v>279</v>
      </c>
      <c r="E61" s="2">
        <f>+C31</f>
        <v>5300</v>
      </c>
    </row>
    <row r="62" spans="2:6" x14ac:dyDescent="0.2">
      <c r="C62" s="2" t="s">
        <v>39</v>
      </c>
      <c r="F62" s="2">
        <f>+E61</f>
        <v>5300</v>
      </c>
    </row>
    <row r="63" spans="2:6" x14ac:dyDescent="0.2">
      <c r="B63" s="2" t="s">
        <v>280</v>
      </c>
    </row>
    <row r="65" spans="2:6" x14ac:dyDescent="0.2">
      <c r="B65" s="2" t="s">
        <v>281</v>
      </c>
    </row>
    <row r="66" spans="2:6" x14ac:dyDescent="0.2">
      <c r="B66" s="2" t="s">
        <v>282</v>
      </c>
    </row>
    <row r="68" spans="2:6" x14ac:dyDescent="0.2">
      <c r="B68" s="2" t="s">
        <v>283</v>
      </c>
      <c r="E68" s="12">
        <f>+C48</f>
        <v>5198.346242411556</v>
      </c>
      <c r="F68" s="2" t="s">
        <v>286</v>
      </c>
    </row>
    <row r="69" spans="2:6" x14ac:dyDescent="0.2">
      <c r="B69" s="2" t="s">
        <v>284</v>
      </c>
      <c r="E69" s="2">
        <f>+C31</f>
        <v>5300</v>
      </c>
      <c r="F69" s="2" t="s">
        <v>287</v>
      </c>
    </row>
    <row r="70" spans="2:6" ht="12.75" thickBot="1" x14ac:dyDescent="0.25">
      <c r="B70" s="2" t="s">
        <v>285</v>
      </c>
      <c r="E70" s="22">
        <f>+E69-E68</f>
        <v>101.65375758844402</v>
      </c>
      <c r="F70" s="2" t="s">
        <v>287</v>
      </c>
    </row>
    <row r="71" spans="2:6" ht="12.75" thickTop="1" x14ac:dyDescent="0.2"/>
  </sheetData>
  <hyperlinks>
    <hyperlink ref="A1" location="Main!A1" display="Main" xr:uid="{AD88FC12-C984-4B50-90A3-1F715840947D}"/>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Module 23</vt:lpstr>
      <vt:lpstr>WSE23.1</vt:lpstr>
      <vt:lpstr>WSE23.2</vt:lpstr>
      <vt:lpstr>WSE23.3</vt:lpstr>
      <vt:lpstr>WSE23.4</vt:lpstr>
      <vt:lpstr>WSE23.5</vt:lpstr>
      <vt:lpstr>WSE23.6</vt:lpstr>
      <vt:lpstr>WSE23.7</vt:lpstr>
      <vt:lpstr>WSE23.9</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2023-05-02T10:18:22Z</dcterms:created>
  <dcterms:modified xsi:type="dcterms:W3CDTF">2023-05-08T10:24:28Z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2023-05-02T10:18:23Z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2ceca12f-c865-4f0a-bc5d-b7cf17114b01</vt:lpwstr>
  </property>
  <property fmtid="{D5CDD505-2E9C-101B-9397-08002B2CF9AE}" pid="8" name="MSIP_Label_ea60d57e-af5b-4752-ac57-3e4f28ca11dc_ContentBits">
    <vt:lpwstr>0</vt:lpwstr>
  </property>
</Properties>
</file>