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22" documentId="8_{A7061520-38C6-4548-A697-98A98EC967F4}" xr6:coauthVersionLast="47" xr6:coauthVersionMax="47" xr10:uidLastSave="{449DC881-304D-425F-975E-6BA974D96B36}"/>
  <bookViews>
    <workbookView xWindow="4050" yWindow="5685" windowWidth="12420" windowHeight="11385" xr2:uid="{5DE79D18-A7DC-45EE-96BD-1AC3843D2D9E}"/>
  </bookViews>
  <sheets>
    <sheet name="Main" sheetId="1" r:id="rId1"/>
    <sheet name="Module 17" sheetId="2" r:id="rId2"/>
    <sheet name="WSE17.1" sheetId="3" r:id="rId3"/>
    <sheet name="WSE17.2" sheetId="5" r:id="rId4"/>
    <sheet name="WSE17.3" sheetId="6" r:id="rId5"/>
    <sheet name="WSE17.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D32" i="6"/>
  <c r="F37" i="6" s="1"/>
  <c r="D13" i="6"/>
  <c r="D31" i="6"/>
  <c r="F36" i="6" s="1"/>
  <c r="D12" i="6"/>
  <c r="F24" i="6" s="1"/>
  <c r="E15" i="5"/>
  <c r="D15" i="5"/>
  <c r="F15" i="5"/>
  <c r="H10" i="5"/>
  <c r="H9" i="5"/>
  <c r="G10" i="5" s="1"/>
  <c r="H8" i="5"/>
  <c r="G9" i="5" s="1"/>
  <c r="H7" i="5"/>
  <c r="G8" i="5" s="1"/>
  <c r="G7" i="5"/>
  <c r="I13" i="4"/>
  <c r="J13" i="4"/>
  <c r="J12" i="4"/>
  <c r="I12" i="4"/>
  <c r="J11" i="4"/>
  <c r="I11" i="4"/>
  <c r="E13" i="3"/>
  <c r="E14" i="3" s="1"/>
  <c r="F15" i="3" s="1"/>
  <c r="F9" i="3"/>
  <c r="F8" i="3"/>
  <c r="E11" i="4"/>
  <c r="J7" i="4"/>
  <c r="I7" i="4"/>
  <c r="I6" i="4"/>
  <c r="J6" i="4"/>
  <c r="I5" i="4"/>
  <c r="H5" i="4"/>
  <c r="G5" i="4"/>
  <c r="J5" i="4" s="1"/>
  <c r="D6" i="4"/>
  <c r="G6" i="4" s="1"/>
  <c r="F7" i="3"/>
  <c r="G9" i="3"/>
  <c r="C9" i="3"/>
  <c r="C7" i="3"/>
  <c r="F316" i="2"/>
  <c r="E315" i="2"/>
  <c r="F310" i="2"/>
  <c r="E309" i="2"/>
  <c r="F304" i="2"/>
  <c r="E303" i="2"/>
  <c r="C299" i="2"/>
  <c r="F299" i="2" s="1"/>
  <c r="G299" i="2" s="1"/>
  <c r="G298" i="2"/>
  <c r="F298" i="2"/>
  <c r="C298" i="2"/>
  <c r="F262" i="2"/>
  <c r="F261" i="2"/>
  <c r="E260" i="2"/>
  <c r="C258" i="2"/>
  <c r="F239" i="2"/>
  <c r="E238" i="2"/>
  <c r="F234" i="2"/>
  <c r="E233" i="2"/>
  <c r="F230" i="2"/>
  <c r="F229" i="2"/>
  <c r="E228" i="2"/>
  <c r="D225" i="2"/>
  <c r="D224" i="2"/>
  <c r="F191" i="2"/>
  <c r="E191" i="2"/>
  <c r="E192" i="2" s="1"/>
  <c r="C155" i="2"/>
  <c r="G155" i="2" s="1"/>
  <c r="C154" i="2"/>
  <c r="G154" i="2" s="1"/>
  <c r="C153" i="2"/>
  <c r="F153" i="2" s="1"/>
  <c r="C72" i="2"/>
  <c r="F25" i="6" l="1"/>
  <c r="E35" i="6"/>
  <c r="G8" i="3"/>
  <c r="H6" i="4"/>
  <c r="D7" i="4"/>
  <c r="G7" i="4" s="1"/>
  <c r="G7" i="3"/>
  <c r="D226" i="2"/>
  <c r="F192" i="2"/>
  <c r="F154" i="2"/>
  <c r="F155" i="2"/>
  <c r="E158" i="2"/>
  <c r="F159" i="2" s="1"/>
  <c r="G153" i="2"/>
  <c r="F12" i="4" l="1"/>
  <c r="H7" i="4"/>
</calcChain>
</file>

<file path=xl/sharedStrings.xml><?xml version="1.0" encoding="utf-8"?>
<sst xmlns="http://schemas.openxmlformats.org/spreadsheetml/2006/main" count="157" uniqueCount="115">
  <si>
    <t>Main</t>
  </si>
  <si>
    <t>Module 17 - Share-based Payment</t>
  </si>
  <si>
    <t>Module 17</t>
  </si>
  <si>
    <t>cash amount related to the value of the equity instruments is treated as a share bases payment</t>
  </si>
  <si>
    <t>cash alternatives are not in scope of ICAS</t>
  </si>
  <si>
    <t>recognition is the same as cash</t>
  </si>
  <si>
    <t>net affect of share based payment on  distributable profits is nil</t>
  </si>
  <si>
    <t>It is presumed the fair value of services provided by employees cannot be estimated reliably</t>
  </si>
  <si>
    <t>EE's - measurement date is the grant date</t>
  </si>
  <si>
    <t>EE's</t>
  </si>
  <si>
    <t>options</t>
  </si>
  <si>
    <t>value</t>
  </si>
  <si>
    <t>FV</t>
  </si>
  <si>
    <t>vesting period and vesting conditions</t>
  </si>
  <si>
    <t xml:space="preserve">the cost is recognised over the 3 year vesting period at £200k pa.  </t>
  </si>
  <si>
    <t>1/3*600</t>
  </si>
  <si>
    <t>in each of the year ended 31/12/21,22,23 the required journal entry is</t>
  </si>
  <si>
    <t>dr - staff costs</t>
  </si>
  <si>
    <t>cr - RE</t>
  </si>
  <si>
    <t>being recognition of share-based payments</t>
  </si>
  <si>
    <t>the fair value is not adjusted for each year</t>
  </si>
  <si>
    <t>it will stay at the nominal value as at the grant date</t>
  </si>
  <si>
    <t>can be service conditions, or performance conditions</t>
  </si>
  <si>
    <t>YE</t>
  </si>
  <si>
    <t>expense</t>
  </si>
  <si>
    <t>equity</t>
  </si>
  <si>
    <t>being share based payment expense for the YE 31/12/23</t>
  </si>
  <si>
    <t>option/EE</t>
  </si>
  <si>
    <t>option price</t>
  </si>
  <si>
    <t>dr - SPL staff cost</t>
  </si>
  <si>
    <t>cr - Retained earnigns</t>
  </si>
  <si>
    <t>Actiovty 1  - Service conditions</t>
  </si>
  <si>
    <t>Activity 2 - Performance conditons</t>
  </si>
  <si>
    <t>no. options</t>
  </si>
  <si>
    <t>&lt;&lt;&lt;price chagne as the performance requirements not met</t>
  </si>
  <si>
    <t>Exercise or Lapse</t>
  </si>
  <si>
    <t>Exercise</t>
  </si>
  <si>
    <t>dr - bank</t>
  </si>
  <si>
    <t>cr - share captila</t>
  </si>
  <si>
    <t>cr - share premium</t>
  </si>
  <si>
    <t>Lapse</t>
  </si>
  <si>
    <t>no adjustment is made to total equity</t>
  </si>
  <si>
    <t>SC</t>
  </si>
  <si>
    <t>SP</t>
  </si>
  <si>
    <t>proceeds from issue of shares</t>
  </si>
  <si>
    <t>dr - other reserves</t>
  </si>
  <si>
    <t>cr - SC</t>
  </si>
  <si>
    <t>cr - SP</t>
  </si>
  <si>
    <t>being issue of shares on exercise of options</t>
  </si>
  <si>
    <t>being transfer to RE on excerise of 40% of optiosn</t>
  </si>
  <si>
    <t xml:space="preserve">dr - </t>
  </si>
  <si>
    <t>cr  -RE</t>
  </si>
  <si>
    <t>being transfer to retained earnings on lapse of remaining 60% of options</t>
  </si>
  <si>
    <t>Acquisition of an asset</t>
  </si>
  <si>
    <t>dr - property cost</t>
  </si>
  <si>
    <t>cr - share capital</t>
  </si>
  <si>
    <t>cr  -share premium</t>
  </si>
  <si>
    <t>being issue of share for property</t>
  </si>
  <si>
    <t>Cash settles share based payments</t>
  </si>
  <si>
    <t>IFRS 2 - Share appreciation rights</t>
  </si>
  <si>
    <t>unpaid cash-settles share based payment transactions regonises a libailty and no equity</t>
  </si>
  <si>
    <t>The liability is classiffied as current or non-current depening on the payment date</t>
  </si>
  <si>
    <t>FV is determing using an option pricing model</t>
  </si>
  <si>
    <t>measurement is adjusted for the expected number of rewards which will vest over the period</t>
  </si>
  <si>
    <t>Expense</t>
  </si>
  <si>
    <t>Liability</t>
  </si>
  <si>
    <t>cr - other payables</t>
  </si>
  <si>
    <t>being share based payment expense for the year ended 31/12/21</t>
  </si>
  <si>
    <t>YE 31/12/2021</t>
  </si>
  <si>
    <t>YE 31/12/22</t>
  </si>
  <si>
    <t>dr - SPL - staff costs</t>
  </si>
  <si>
    <t>being share based payment expense for the year ended 31/12/2022</t>
  </si>
  <si>
    <t>Year ended 31/12/23</t>
  </si>
  <si>
    <t>dr - other payables</t>
  </si>
  <si>
    <t>cr - bank</t>
  </si>
  <si>
    <t>being settlement of share based payment liability on 1/2/23</t>
  </si>
  <si>
    <t>Neilson Ltd</t>
  </si>
  <si>
    <t>no' ee's</t>
  </si>
  <si>
    <t>options/EE</t>
  </si>
  <si>
    <t>Equity</t>
  </si>
  <si>
    <t>Journal</t>
  </si>
  <si>
    <t>dr - SC</t>
  </si>
  <si>
    <t>dr - SP</t>
  </si>
  <si>
    <t>Takis plc</t>
  </si>
  <si>
    <t>FV of Share appreciation right</t>
  </si>
  <si>
    <t>Ee's that left company in the year</t>
  </si>
  <si>
    <t>EE's expected to leave</t>
  </si>
  <si>
    <t>open EE's</t>
  </si>
  <si>
    <t>EE expected close</t>
  </si>
  <si>
    <t>Share FV</t>
  </si>
  <si>
    <t>paymen on 1/5/24</t>
  </si>
  <si>
    <t>being settlement of share appreciatin rights</t>
  </si>
  <si>
    <t>WSE17.1</t>
  </si>
  <si>
    <t>WSE17.2</t>
  </si>
  <si>
    <t>WSE17.3</t>
  </si>
  <si>
    <t>WSE17.4</t>
  </si>
  <si>
    <t>Unitron ltd</t>
  </si>
  <si>
    <t>share based payment plan for six execs.</t>
  </si>
  <si>
    <t>profit growth y/y</t>
  </si>
  <si>
    <t>y/y growth</t>
  </si>
  <si>
    <t>payment level</t>
  </si>
  <si>
    <t>Armstrong</t>
  </si>
  <si>
    <t>cost - est. MV</t>
  </si>
  <si>
    <t>issues</t>
  </si>
  <si>
    <t>par</t>
  </si>
  <si>
    <t>SP est.</t>
  </si>
  <si>
    <t>value to be recorded should be the lower of the two value</t>
  </si>
  <si>
    <t>so</t>
  </si>
  <si>
    <t>dr - factory cost</t>
  </si>
  <si>
    <t>being acquisition of factoy in exchange for shares</t>
  </si>
  <si>
    <t>dr - IA - cost</t>
  </si>
  <si>
    <t>being purchase of IA in exchange for shares</t>
  </si>
  <si>
    <t>equity settled share based payments, shares being issued to purchase non-current assets</t>
  </si>
  <si>
    <t>FV of NCA should capitalised where this ingormation is available</t>
  </si>
  <si>
    <t>if asset fair value is not acailbale, the fc of the shares should be used to provide a value for the intangible 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</si>
</sst>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;[Red]\(#,##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14" fontId="1" fillId="0" borderId="0" xfId="0" applyNumberFormat="1" applyFont="1"/>
    <xf numFmtId="4" fontId="1" fillId="0" borderId="0" xfId="0" applyNumberFormat="1" applyFont="1"/>
    <xf numFmtId="0" fontId="1" fillId="0" borderId="0" xfId="0" applyFont="1" applyBorder="1"/>
    <xf numFmtId="0" fontId="1" fillId="0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7</xdr:col>
      <xdr:colOff>0</xdr:colOff>
      <xdr:row>10</xdr:row>
      <xdr:rowOff>120982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2CDE6-D8DC-6365-C953-6E5CEFB2D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979715"/>
          <a:ext cx="3673929" cy="719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6</xdr:col>
      <xdr:colOff>240963</xdr:colOff>
      <xdr:row>25</xdr:row>
      <xdr:rowOff>26479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16158A-6CCE-876C-6FBE-EEB64C230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9" y="1928813"/>
          <a:ext cx="3277057" cy="20386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7</xdr:col>
      <xdr:colOff>1</xdr:colOff>
      <xdr:row>42</xdr:row>
      <xdr:rowOff>44657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98B1D9-AFCC-AFC3-E3BC-C5B9F208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4800600"/>
          <a:ext cx="3657600" cy="1721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7</xdr:col>
      <xdr:colOff>0</xdr:colOff>
      <xdr:row>53</xdr:row>
      <xdr:rowOff>93315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43F2F-5980-FEC2-E403-0D1025304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6517821"/>
          <a:ext cx="3673929" cy="15901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0</xdr:colOff>
      <xdr:row>64</xdr:row>
      <xdr:rowOff>102722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210BAA-1907-4A9D-D3BA-258035D9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913" y="8878957"/>
          <a:ext cx="3677478" cy="8481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73</xdr:row>
      <xdr:rowOff>6403</xdr:rowOff>
    </xdr:from>
    <xdr:to>
      <xdr:col>7</xdr:col>
      <xdr:colOff>1</xdr:colOff>
      <xdr:row>92</xdr:row>
      <xdr:rowOff>24888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859C63-6E0B-F712-EC19-988427EAE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9" y="11526050"/>
          <a:ext cx="3630706" cy="2999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7</xdr:col>
      <xdr:colOff>0</xdr:colOff>
      <xdr:row>114</xdr:row>
      <xdr:rowOff>71815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E8B009-647F-6D8D-6903-7A1A2DA8A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011650"/>
          <a:ext cx="3657600" cy="52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7</xdr:col>
      <xdr:colOff>0</xdr:colOff>
      <xdr:row>129</xdr:row>
      <xdr:rowOff>5166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751671-9C6F-A0EC-15FB-20993389B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7621250"/>
          <a:ext cx="3657600" cy="213876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131</xdr:row>
      <xdr:rowOff>0</xdr:rowOff>
    </xdr:from>
    <xdr:to>
      <xdr:col>7</xdr:col>
      <xdr:colOff>1</xdr:colOff>
      <xdr:row>148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5D9E4ED-1E94-E9A0-B1DE-E47F1669FC6B}"/>
            </a:ext>
          </a:extLst>
        </xdr:cNvPr>
        <xdr:cNvGrpSpPr/>
      </xdr:nvGrpSpPr>
      <xdr:grpSpPr>
        <a:xfrm>
          <a:off x="609601" y="20062371"/>
          <a:ext cx="3657600" cy="2590800"/>
          <a:chOff x="609600" y="20059650"/>
          <a:chExt cx="6049219" cy="379116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429A0EC-A711-8FC1-D717-4E0D8E499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20059650"/>
            <a:ext cx="6030167" cy="2305372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78AF16D6-3C03-D88E-9A9F-69F740F25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09600" y="22345650"/>
            <a:ext cx="6049219" cy="150516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162</xdr:row>
      <xdr:rowOff>0</xdr:rowOff>
    </xdr:from>
    <xdr:to>
      <xdr:col>7</xdr:col>
      <xdr:colOff>0</xdr:colOff>
      <xdr:row>185</xdr:row>
      <xdr:rowOff>124284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699297-C835-B397-CB25-A3F980BE8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14" y="24581069"/>
          <a:ext cx="3665483" cy="3599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7</xdr:col>
      <xdr:colOff>0</xdr:colOff>
      <xdr:row>208</xdr:row>
      <xdr:rowOff>133186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BCB08-8961-1194-7224-4F68E9FF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5118" y="32071235"/>
          <a:ext cx="3630706" cy="7607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7</xdr:col>
      <xdr:colOff>0</xdr:colOff>
      <xdr:row>220</xdr:row>
      <xdr:rowOff>116242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0A3F62-E426-28FF-0E28-4522BBF20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2099250"/>
          <a:ext cx="3657600" cy="164024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245</xdr:row>
      <xdr:rowOff>0</xdr:rowOff>
    </xdr:from>
    <xdr:to>
      <xdr:col>7</xdr:col>
      <xdr:colOff>1</xdr:colOff>
      <xdr:row>252</xdr:row>
      <xdr:rowOff>41069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711433-726A-390A-E7BA-30D9DAE0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914" y="36675391"/>
          <a:ext cx="3677478" cy="10846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275</xdr:row>
      <xdr:rowOff>151087</xdr:rowOff>
    </xdr:from>
    <xdr:to>
      <xdr:col>7</xdr:col>
      <xdr:colOff>0</xdr:colOff>
      <xdr:row>289</xdr:row>
      <xdr:rowOff>77033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6F2DED7-777B-02E1-1060-C48F108C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2175387"/>
          <a:ext cx="3657600" cy="2059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:C5"/>
  <sheetViews>
    <sheetView tabSelected="1" workbookViewId="0"/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2</v>
      </c>
      <c r="C2" s="2" t="s">
        <v>92</v>
      </c>
    </row>
    <row r="3" spans="2:3" x14ac:dyDescent="0.25">
      <c r="C3" s="2" t="s">
        <v>93</v>
      </c>
    </row>
    <row r="4" spans="2:3" x14ac:dyDescent="0.25">
      <c r="C4" s="2" t="s">
        <v>94</v>
      </c>
    </row>
    <row r="5" spans="2:3" x14ac:dyDescent="0.25">
      <c r="C5" s="2" t="s">
        <v>95</v>
      </c>
    </row>
  </sheetData>
  <hyperlinks>
    <hyperlink ref="B2" location="'Module 17'!A1" display="Module 17" xr:uid="{CDCDEF19-F363-4F35-BF9C-3FF09679F678}"/>
    <hyperlink ref="C2" location="WSE17.1!A1" display="WSE17.1" xr:uid="{FF0CECB0-D468-41C1-A91A-0B8F88344DF7}"/>
    <hyperlink ref="C5" location="WSE17.4!A1" display="WSE17.4" xr:uid="{1090C7BD-0FB2-431E-ACA9-CF90D5F9CAA5}"/>
    <hyperlink ref="C3" location="WSE17.2!A1" display="WSE17.2" xr:uid="{CF8B14D9-ADE9-445C-8C02-B34D868FD1F9}"/>
    <hyperlink ref="C4" location="WSE17.3!A1" display="WSE17.3" xr:uid="{2066A972-C800-450B-B5E0-485E56CD999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L317"/>
  <sheetViews>
    <sheetView zoomScale="175" zoomScaleNormal="175" workbookViewId="0">
      <selection activeCell="D316" sqref="D316"/>
    </sheetView>
  </sheetViews>
  <sheetFormatPr defaultRowHeight="12" x14ac:dyDescent="0.2"/>
  <cols>
    <col min="1" max="16384" width="9.140625" style="1"/>
  </cols>
  <sheetData>
    <row r="1" spans="1:12" ht="15" x14ac:dyDescent="0.25">
      <c r="A1" s="2" t="s">
        <v>0</v>
      </c>
    </row>
    <row r="2" spans="1:12" ht="15" x14ac:dyDescent="0.25">
      <c r="B2" t="s">
        <v>1</v>
      </c>
    </row>
    <row r="5" spans="1:12" x14ac:dyDescent="0.2">
      <c r="B5" s="1" t="s">
        <v>3</v>
      </c>
    </row>
    <row r="11" spans="1:12" x14ac:dyDescent="0.2">
      <c r="L11" s="3"/>
    </row>
    <row r="12" spans="1:12" x14ac:dyDescent="0.2">
      <c r="L12" s="3"/>
    </row>
    <row r="13" spans="1:12" x14ac:dyDescent="0.2">
      <c r="L13" s="3"/>
    </row>
    <row r="28" spans="2:2" x14ac:dyDescent="0.2">
      <c r="B28" s="1" t="s">
        <v>4</v>
      </c>
    </row>
    <row r="30" spans="2:2" x14ac:dyDescent="0.2">
      <c r="B30" s="1" t="s">
        <v>5</v>
      </c>
    </row>
    <row r="56" spans="2:2" x14ac:dyDescent="0.2">
      <c r="B56" s="1" t="s">
        <v>6</v>
      </c>
    </row>
    <row r="58" spans="2:2" x14ac:dyDescent="0.2">
      <c r="B58" s="4" t="s">
        <v>7</v>
      </c>
    </row>
    <row r="67" spans="2:3" x14ac:dyDescent="0.2">
      <c r="B67" s="1" t="s">
        <v>8</v>
      </c>
    </row>
    <row r="69" spans="2:3" x14ac:dyDescent="0.2">
      <c r="B69" s="1" t="s">
        <v>9</v>
      </c>
      <c r="C69" s="1">
        <v>600</v>
      </c>
    </row>
    <row r="70" spans="2:3" x14ac:dyDescent="0.2">
      <c r="B70" s="1" t="s">
        <v>10</v>
      </c>
      <c r="C70" s="1">
        <v>200</v>
      </c>
    </row>
    <row r="71" spans="2:3" x14ac:dyDescent="0.2">
      <c r="B71" s="1" t="s">
        <v>11</v>
      </c>
      <c r="C71" s="1">
        <v>5</v>
      </c>
    </row>
    <row r="72" spans="2:3" ht="12.75" thickBot="1" x14ac:dyDescent="0.25">
      <c r="B72" s="1" t="s">
        <v>12</v>
      </c>
      <c r="C72" s="6">
        <f>+C69*C70*C71</f>
        <v>600000</v>
      </c>
    </row>
    <row r="73" spans="2:3" ht="12.75" thickTop="1" x14ac:dyDescent="0.2"/>
    <row r="95" spans="2:2" x14ac:dyDescent="0.2">
      <c r="B95" s="1" t="s">
        <v>13</v>
      </c>
    </row>
    <row r="97" spans="2:6" x14ac:dyDescent="0.2">
      <c r="B97" s="1" t="s">
        <v>14</v>
      </c>
    </row>
    <row r="98" spans="2:6" x14ac:dyDescent="0.2">
      <c r="B98" s="1" t="s">
        <v>15</v>
      </c>
    </row>
    <row r="99" spans="2:6" x14ac:dyDescent="0.2">
      <c r="B99" s="1" t="s">
        <v>16</v>
      </c>
    </row>
    <row r="102" spans="2:6" x14ac:dyDescent="0.2">
      <c r="B102" s="1" t="s">
        <v>17</v>
      </c>
      <c r="E102" s="1">
        <v>200</v>
      </c>
    </row>
    <row r="103" spans="2:6" x14ac:dyDescent="0.2">
      <c r="C103" s="1" t="s">
        <v>18</v>
      </c>
      <c r="F103" s="1">
        <v>200</v>
      </c>
    </row>
    <row r="104" spans="2:6" x14ac:dyDescent="0.2">
      <c r="B104" s="1" t="s">
        <v>19</v>
      </c>
    </row>
    <row r="107" spans="2:6" x14ac:dyDescent="0.2">
      <c r="B107" s="1" t="s">
        <v>20</v>
      </c>
    </row>
    <row r="108" spans="2:6" x14ac:dyDescent="0.2">
      <c r="B108" s="1" t="s">
        <v>21</v>
      </c>
    </row>
    <row r="110" spans="2:6" x14ac:dyDescent="0.2">
      <c r="B110" s="1" t="s">
        <v>22</v>
      </c>
    </row>
    <row r="150" spans="2:7" x14ac:dyDescent="0.2">
      <c r="B150" s="4" t="s">
        <v>31</v>
      </c>
    </row>
    <row r="152" spans="2:7" x14ac:dyDescent="0.2">
      <c r="B152" s="1" t="s">
        <v>23</v>
      </c>
      <c r="C152" s="1" t="s">
        <v>9</v>
      </c>
      <c r="D152" s="1" t="s">
        <v>27</v>
      </c>
      <c r="E152" s="1" t="s">
        <v>28</v>
      </c>
      <c r="F152" s="1" t="s">
        <v>24</v>
      </c>
      <c r="G152" s="1" t="s">
        <v>25</v>
      </c>
    </row>
    <row r="153" spans="2:7" x14ac:dyDescent="0.2">
      <c r="B153" s="7">
        <v>44561</v>
      </c>
      <c r="C153" s="1">
        <f>1000-50-100</f>
        <v>850</v>
      </c>
      <c r="D153" s="1">
        <v>500</v>
      </c>
      <c r="E153" s="1">
        <v>3.5</v>
      </c>
      <c r="F153" s="3">
        <f>(+C153*D153*E153*1/3)/1000</f>
        <v>495.83333333333331</v>
      </c>
      <c r="G153" s="3">
        <f>(+C153*D153*E153*1/3)/1000</f>
        <v>495.83333333333331</v>
      </c>
    </row>
    <row r="154" spans="2:7" x14ac:dyDescent="0.2">
      <c r="B154" s="7">
        <v>44926</v>
      </c>
      <c r="C154" s="1">
        <f>1000-50-60-55</f>
        <v>835</v>
      </c>
      <c r="D154" s="1">
        <v>500</v>
      </c>
      <c r="E154" s="1">
        <v>3.5</v>
      </c>
      <c r="F154" s="3">
        <f>(+C154*D154*E154*0.333333333333333)/1000</f>
        <v>487.08333333333331</v>
      </c>
      <c r="G154" s="3">
        <f>(+E154*D154*C154*2/3)/1000</f>
        <v>974.16666666666663</v>
      </c>
    </row>
    <row r="155" spans="2:7" x14ac:dyDescent="0.2">
      <c r="B155" s="7">
        <v>45291</v>
      </c>
      <c r="C155" s="1">
        <f>1000-50-60-45</f>
        <v>845</v>
      </c>
      <c r="D155" s="1">
        <v>500</v>
      </c>
      <c r="E155" s="1">
        <v>3.5</v>
      </c>
      <c r="F155" s="3">
        <f>(+C155*D155*E155*0.333333333333333)/1000</f>
        <v>492.91666666666663</v>
      </c>
      <c r="G155" s="3">
        <f>(+C155*D155*E155)/1000</f>
        <v>1478.75</v>
      </c>
    </row>
    <row r="158" spans="2:7" x14ac:dyDescent="0.2">
      <c r="B158" s="1" t="s">
        <v>29</v>
      </c>
      <c r="E158" s="3">
        <f>+G155-G154</f>
        <v>504.58333333333337</v>
      </c>
    </row>
    <row r="159" spans="2:7" x14ac:dyDescent="0.2">
      <c r="C159" s="1" t="s">
        <v>30</v>
      </c>
      <c r="F159" s="3">
        <f>+E158</f>
        <v>504.58333333333337</v>
      </c>
    </row>
    <row r="160" spans="2:7" x14ac:dyDescent="0.2">
      <c r="B160" s="1" t="s">
        <v>26</v>
      </c>
    </row>
    <row r="188" spans="2:6" x14ac:dyDescent="0.2">
      <c r="B188" s="4" t="s">
        <v>32</v>
      </c>
    </row>
    <row r="190" spans="2:6" x14ac:dyDescent="0.2">
      <c r="B190" s="1" t="s">
        <v>23</v>
      </c>
      <c r="C190" s="1" t="s">
        <v>33</v>
      </c>
      <c r="D190" s="1" t="s">
        <v>28</v>
      </c>
      <c r="E190" s="1" t="s">
        <v>24</v>
      </c>
      <c r="F190" s="1" t="s">
        <v>25</v>
      </c>
    </row>
    <row r="191" spans="2:6" x14ac:dyDescent="0.2">
      <c r="B191" s="7">
        <v>44561</v>
      </c>
      <c r="C191" s="1">
        <v>100</v>
      </c>
      <c r="D191" s="1">
        <v>1.6</v>
      </c>
      <c r="E191" s="3">
        <f>+C191*D191*0.5</f>
        <v>80</v>
      </c>
      <c r="F191" s="3">
        <f>+C191*D191*0.5</f>
        <v>80</v>
      </c>
    </row>
    <row r="192" spans="2:6" x14ac:dyDescent="0.2">
      <c r="B192" s="7">
        <v>44926</v>
      </c>
      <c r="C192" s="1">
        <v>100</v>
      </c>
      <c r="D192" s="1">
        <v>1</v>
      </c>
      <c r="E192" s="3">
        <f>+C192*D192*2/2-E191</f>
        <v>20</v>
      </c>
      <c r="F192" s="3">
        <f>+E192+F191</f>
        <v>100</v>
      </c>
    </row>
    <row r="193" spans="2:4" x14ac:dyDescent="0.2">
      <c r="D193" s="1" t="s">
        <v>34</v>
      </c>
    </row>
    <row r="195" spans="2:4" x14ac:dyDescent="0.2">
      <c r="B195" s="1" t="s">
        <v>35</v>
      </c>
    </row>
    <row r="197" spans="2:4" x14ac:dyDescent="0.2">
      <c r="B197" s="1" t="s">
        <v>36</v>
      </c>
    </row>
    <row r="198" spans="2:4" x14ac:dyDescent="0.2">
      <c r="B198" s="1" t="s">
        <v>37</v>
      </c>
    </row>
    <row r="199" spans="2:4" x14ac:dyDescent="0.2">
      <c r="C199" s="1" t="s">
        <v>38</v>
      </c>
    </row>
    <row r="200" spans="2:4" x14ac:dyDescent="0.2">
      <c r="C200" s="1" t="s">
        <v>39</v>
      </c>
    </row>
    <row r="203" spans="2:4" x14ac:dyDescent="0.2">
      <c r="B203" s="1" t="s">
        <v>40</v>
      </c>
    </row>
    <row r="204" spans="2:4" x14ac:dyDescent="0.2">
      <c r="B204" s="1" t="s">
        <v>41</v>
      </c>
    </row>
    <row r="224" spans="2:4" x14ac:dyDescent="0.2">
      <c r="B224" s="1" t="s">
        <v>42</v>
      </c>
      <c r="D224" s="1">
        <f>40*0.25</f>
        <v>10</v>
      </c>
    </row>
    <row r="225" spans="2:6" x14ac:dyDescent="0.2">
      <c r="B225" s="1" t="s">
        <v>43</v>
      </c>
      <c r="D225" s="1">
        <f>40*4.75</f>
        <v>190</v>
      </c>
    </row>
    <row r="226" spans="2:6" ht="12.75" thickBot="1" x14ac:dyDescent="0.25">
      <c r="B226" s="1" t="s">
        <v>44</v>
      </c>
      <c r="D226" s="5">
        <f>SUM(D224:D225)</f>
        <v>200</v>
      </c>
    </row>
    <row r="227" spans="2:6" ht="12.75" thickTop="1" x14ac:dyDescent="0.2">
      <c r="D227" s="9"/>
    </row>
    <row r="228" spans="2:6" x14ac:dyDescent="0.2">
      <c r="B228" s="1" t="s">
        <v>37</v>
      </c>
      <c r="D228" s="9"/>
      <c r="E228" s="1">
        <f>+D226</f>
        <v>200</v>
      </c>
    </row>
    <row r="229" spans="2:6" x14ac:dyDescent="0.2">
      <c r="C229" s="1" t="s">
        <v>46</v>
      </c>
      <c r="D229" s="9"/>
      <c r="F229" s="1">
        <f>+D224</f>
        <v>10</v>
      </c>
    </row>
    <row r="230" spans="2:6" x14ac:dyDescent="0.2">
      <c r="C230" s="1" t="s">
        <v>47</v>
      </c>
      <c r="D230" s="9"/>
      <c r="F230" s="1">
        <f>+D225</f>
        <v>190</v>
      </c>
    </row>
    <row r="231" spans="2:6" x14ac:dyDescent="0.2">
      <c r="B231" s="1" t="s">
        <v>48</v>
      </c>
      <c r="D231" s="9"/>
    </row>
    <row r="233" spans="2:6" x14ac:dyDescent="0.2">
      <c r="B233" s="1" t="s">
        <v>45</v>
      </c>
      <c r="E233" s="10">
        <f>100*0.4</f>
        <v>40</v>
      </c>
      <c r="F233" s="10"/>
    </row>
    <row r="234" spans="2:6" x14ac:dyDescent="0.2">
      <c r="C234" s="1" t="s">
        <v>18</v>
      </c>
      <c r="E234" s="10"/>
      <c r="F234" s="10">
        <f>+E233</f>
        <v>40</v>
      </c>
    </row>
    <row r="235" spans="2:6" x14ac:dyDescent="0.2">
      <c r="B235" s="1" t="s">
        <v>49</v>
      </c>
    </row>
    <row r="237" spans="2:6" x14ac:dyDescent="0.2">
      <c r="B237" s="7">
        <v>45657</v>
      </c>
    </row>
    <row r="238" spans="2:6" x14ac:dyDescent="0.2">
      <c r="B238" s="1" t="s">
        <v>50</v>
      </c>
      <c r="E238" s="1">
        <f>0.6*100</f>
        <v>60</v>
      </c>
    </row>
    <row r="239" spans="2:6" x14ac:dyDescent="0.2">
      <c r="C239" s="1" t="s">
        <v>51</v>
      </c>
      <c r="F239" s="1">
        <f>+E238</f>
        <v>60</v>
      </c>
    </row>
    <row r="240" spans="2:6" x14ac:dyDescent="0.2">
      <c r="B240" s="1" t="s">
        <v>52</v>
      </c>
    </row>
    <row r="244" spans="2:3" x14ac:dyDescent="0.2">
      <c r="B244" s="1" t="s">
        <v>53</v>
      </c>
    </row>
    <row r="256" spans="2:3" x14ac:dyDescent="0.2">
      <c r="B256" s="1" t="s">
        <v>42</v>
      </c>
      <c r="C256" s="1">
        <v>500</v>
      </c>
    </row>
    <row r="257" spans="2:6" x14ac:dyDescent="0.2">
      <c r="B257" s="1" t="s">
        <v>43</v>
      </c>
      <c r="C257" s="1">
        <v>3000</v>
      </c>
    </row>
    <row r="258" spans="2:6" x14ac:dyDescent="0.2">
      <c r="B258" s="1" t="s">
        <v>12</v>
      </c>
      <c r="C258" s="1">
        <f>SUM(C256:C257)</f>
        <v>3500</v>
      </c>
    </row>
    <row r="260" spans="2:6" x14ac:dyDescent="0.2">
      <c r="B260" s="1" t="s">
        <v>54</v>
      </c>
      <c r="E260" s="1">
        <f>+C258</f>
        <v>3500</v>
      </c>
    </row>
    <row r="261" spans="2:6" x14ac:dyDescent="0.2">
      <c r="C261" s="1" t="s">
        <v>55</v>
      </c>
      <c r="F261" s="1">
        <f>+C256</f>
        <v>500</v>
      </c>
    </row>
    <row r="262" spans="2:6" x14ac:dyDescent="0.2">
      <c r="C262" s="1" t="s">
        <v>56</v>
      </c>
      <c r="F262" s="1">
        <f>+C257</f>
        <v>3000</v>
      </c>
    </row>
    <row r="263" spans="2:6" x14ac:dyDescent="0.2">
      <c r="B263" s="1" t="s">
        <v>57</v>
      </c>
    </row>
    <row r="266" spans="2:6" x14ac:dyDescent="0.2">
      <c r="B266" s="4" t="s">
        <v>58</v>
      </c>
    </row>
    <row r="267" spans="2:6" x14ac:dyDescent="0.2">
      <c r="B267" s="1" t="s">
        <v>59</v>
      </c>
    </row>
    <row r="271" spans="2:6" x14ac:dyDescent="0.2">
      <c r="B271" s="1" t="s">
        <v>60</v>
      </c>
    </row>
    <row r="272" spans="2:6" x14ac:dyDescent="0.2">
      <c r="B272" s="1" t="s">
        <v>61</v>
      </c>
    </row>
    <row r="274" spans="2:2" x14ac:dyDescent="0.2">
      <c r="B274" s="1" t="s">
        <v>62</v>
      </c>
    </row>
    <row r="275" spans="2:2" x14ac:dyDescent="0.2">
      <c r="B275" s="1" t="s">
        <v>63</v>
      </c>
    </row>
    <row r="293" spans="2:7" x14ac:dyDescent="0.2">
      <c r="B293" s="1">
        <v>2021</v>
      </c>
      <c r="C293" s="1">
        <v>12</v>
      </c>
    </row>
    <row r="294" spans="2:7" x14ac:dyDescent="0.2">
      <c r="B294" s="1">
        <v>2022</v>
      </c>
      <c r="C294" s="1">
        <v>14.3</v>
      </c>
    </row>
    <row r="297" spans="2:7" x14ac:dyDescent="0.2">
      <c r="B297" s="1" t="s">
        <v>23</v>
      </c>
      <c r="F297" s="1" t="s">
        <v>64</v>
      </c>
      <c r="G297" s="1" t="s">
        <v>65</v>
      </c>
    </row>
    <row r="298" spans="2:7" x14ac:dyDescent="0.2">
      <c r="B298" s="7">
        <v>44561</v>
      </c>
      <c r="C298" s="3">
        <f>+(300*80%)*500*C293*1/2</f>
        <v>720000</v>
      </c>
      <c r="D298" s="3"/>
      <c r="E298" s="3"/>
      <c r="F298" s="3">
        <f>+C298/1000</f>
        <v>720</v>
      </c>
      <c r="G298" s="3">
        <f>+C298/1000</f>
        <v>720</v>
      </c>
    </row>
    <row r="299" spans="2:7" x14ac:dyDescent="0.2">
      <c r="B299" s="7">
        <v>44926</v>
      </c>
      <c r="C299" s="3">
        <f>+(300*82%)*500*C294*2/2-G298*1000</f>
        <v>1038899.9999999998</v>
      </c>
      <c r="D299" s="3"/>
      <c r="E299" s="3"/>
      <c r="F299" s="3">
        <f>+C299/1000</f>
        <v>1038.8999999999999</v>
      </c>
      <c r="G299" s="3">
        <f>+F299+G298</f>
        <v>1758.8999999999999</v>
      </c>
    </row>
    <row r="300" spans="2:7" x14ac:dyDescent="0.2">
      <c r="B300" s="7">
        <v>45291</v>
      </c>
    </row>
    <row r="302" spans="2:7" x14ac:dyDescent="0.2">
      <c r="B302" s="1" t="s">
        <v>68</v>
      </c>
    </row>
    <row r="303" spans="2:7" x14ac:dyDescent="0.2">
      <c r="B303" s="1" t="s">
        <v>17</v>
      </c>
      <c r="E303" s="3">
        <f>+F298</f>
        <v>720</v>
      </c>
    </row>
    <row r="304" spans="2:7" x14ac:dyDescent="0.2">
      <c r="C304" s="1" t="s">
        <v>66</v>
      </c>
      <c r="F304" s="3">
        <f>+E303</f>
        <v>720</v>
      </c>
    </row>
    <row r="305" spans="2:6" x14ac:dyDescent="0.2">
      <c r="B305" s="1" t="s">
        <v>67</v>
      </c>
    </row>
    <row r="307" spans="2:6" x14ac:dyDescent="0.2">
      <c r="B307" s="1" t="s">
        <v>69</v>
      </c>
    </row>
    <row r="309" spans="2:6" x14ac:dyDescent="0.2">
      <c r="B309" s="1" t="s">
        <v>70</v>
      </c>
      <c r="E309" s="3">
        <f>+F299</f>
        <v>1038.8999999999999</v>
      </c>
    </row>
    <row r="310" spans="2:6" x14ac:dyDescent="0.2">
      <c r="C310" s="1" t="s">
        <v>66</v>
      </c>
      <c r="F310" s="3">
        <f>+E309</f>
        <v>1038.8999999999999</v>
      </c>
    </row>
    <row r="311" spans="2:6" x14ac:dyDescent="0.2">
      <c r="B311" s="1" t="s">
        <v>71</v>
      </c>
    </row>
    <row r="313" spans="2:6" x14ac:dyDescent="0.2">
      <c r="B313" s="1" t="s">
        <v>72</v>
      </c>
    </row>
    <row r="315" spans="2:6" x14ac:dyDescent="0.2">
      <c r="B315" s="1" t="s">
        <v>73</v>
      </c>
      <c r="E315" s="3">
        <f>+G299</f>
        <v>1758.8999999999999</v>
      </c>
    </row>
    <row r="316" spans="2:6" x14ac:dyDescent="0.2">
      <c r="C316" s="1" t="s">
        <v>74</v>
      </c>
      <c r="F316" s="3">
        <f>+E315</f>
        <v>1758.8999999999999</v>
      </c>
    </row>
    <row r="317" spans="2:6" x14ac:dyDescent="0.2">
      <c r="B317" s="1" t="s">
        <v>75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11E5-7CC4-408F-A38B-1C56369E377A}">
  <dimension ref="A1:G15"/>
  <sheetViews>
    <sheetView zoomScale="145" zoomScaleNormal="145" workbookViewId="0">
      <selection activeCell="B6" sqref="B6:G9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76</v>
      </c>
    </row>
    <row r="6" spans="1:7" x14ac:dyDescent="0.2">
      <c r="B6" s="1" t="s">
        <v>23</v>
      </c>
      <c r="C6" s="1" t="s">
        <v>77</v>
      </c>
      <c r="D6" s="1" t="s">
        <v>78</v>
      </c>
      <c r="E6" s="1" t="s">
        <v>28</v>
      </c>
      <c r="F6" s="1" t="s">
        <v>64</v>
      </c>
      <c r="G6" s="1" t="s">
        <v>79</v>
      </c>
    </row>
    <row r="7" spans="1:7" x14ac:dyDescent="0.2">
      <c r="B7" s="7">
        <v>44561</v>
      </c>
      <c r="C7" s="1">
        <f>400-20-40</f>
        <v>340</v>
      </c>
      <c r="D7" s="1">
        <v>600</v>
      </c>
      <c r="E7" s="1">
        <v>2.5</v>
      </c>
      <c r="F7" s="3">
        <f>(+C7*D7*E7*1/3)/1000</f>
        <v>170</v>
      </c>
      <c r="G7" s="3">
        <f>(+C7*D7*E7*1/3)/1000</f>
        <v>170</v>
      </c>
    </row>
    <row r="8" spans="1:7" x14ac:dyDescent="0.2">
      <c r="B8" s="7">
        <v>44926</v>
      </c>
      <c r="C8" s="1">
        <v>330</v>
      </c>
      <c r="D8" s="1">
        <v>600</v>
      </c>
      <c r="E8" s="1">
        <v>2.5</v>
      </c>
      <c r="F8" s="3">
        <f>(+C8*D8*E8*2/3)/1000-G7</f>
        <v>160</v>
      </c>
      <c r="G8" s="3">
        <f>(+E8*D8*C8*2/3)/1000</f>
        <v>330</v>
      </c>
    </row>
    <row r="9" spans="1:7" x14ac:dyDescent="0.2">
      <c r="B9" s="7">
        <v>45291</v>
      </c>
      <c r="C9" s="1">
        <f>400-20-25-15</f>
        <v>340</v>
      </c>
      <c r="D9" s="1">
        <v>600</v>
      </c>
      <c r="E9" s="1">
        <v>2.5</v>
      </c>
      <c r="F9" s="3">
        <f>(+C9*D9*E9*3/3)/1000-G8</f>
        <v>180</v>
      </c>
      <c r="G9" s="3">
        <f>(+C9*D9*E9)/1000</f>
        <v>510</v>
      </c>
    </row>
    <row r="12" spans="1:7" x14ac:dyDescent="0.2">
      <c r="B12" s="1" t="s">
        <v>80</v>
      </c>
    </row>
    <row r="13" spans="1:7" x14ac:dyDescent="0.2">
      <c r="B13" s="1" t="s">
        <v>81</v>
      </c>
      <c r="E13" s="3">
        <f>600*0.9*340</f>
        <v>183600</v>
      </c>
      <c r="F13" s="3"/>
    </row>
    <row r="14" spans="1:7" x14ac:dyDescent="0.2">
      <c r="B14" s="1" t="s">
        <v>82</v>
      </c>
      <c r="E14" s="3">
        <f>340*600*0.9*2.4-E13</f>
        <v>257040</v>
      </c>
      <c r="F14" s="3"/>
    </row>
    <row r="15" spans="1:7" x14ac:dyDescent="0.2">
      <c r="C15" s="1" t="s">
        <v>51</v>
      </c>
      <c r="E15" s="3"/>
      <c r="F15" s="3">
        <f>SUM(E13:E14)</f>
        <v>440640</v>
      </c>
    </row>
  </sheetData>
  <hyperlinks>
    <hyperlink ref="A1" location="Main!A1" display="Main" xr:uid="{69DC5DA9-6723-4FA2-BF48-53E26EE555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49BC-F7D8-4544-B4A1-4AD883000C07}">
  <dimension ref="A1:H16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96</v>
      </c>
    </row>
    <row r="4" spans="1:8" x14ac:dyDescent="0.2">
      <c r="B4" s="1" t="s">
        <v>97</v>
      </c>
    </row>
    <row r="6" spans="1:8" x14ac:dyDescent="0.2">
      <c r="B6" s="1" t="s">
        <v>23</v>
      </c>
      <c r="C6" s="1" t="s">
        <v>77</v>
      </c>
      <c r="D6" s="1" t="s">
        <v>78</v>
      </c>
      <c r="E6" s="1" t="s">
        <v>98</v>
      </c>
      <c r="F6" s="1" t="s">
        <v>28</v>
      </c>
      <c r="G6" s="1" t="s">
        <v>64</v>
      </c>
      <c r="H6" s="1" t="s">
        <v>79</v>
      </c>
    </row>
    <row r="7" spans="1:8" x14ac:dyDescent="0.2">
      <c r="B7" s="7">
        <v>44561</v>
      </c>
      <c r="C7" s="1">
        <v>6</v>
      </c>
      <c r="D7" s="1">
        <v>200000</v>
      </c>
      <c r="E7" s="1">
        <v>2</v>
      </c>
      <c r="F7" s="1">
        <v>2.6</v>
      </c>
      <c r="G7" s="3">
        <f>(+C7*D7*F7*1/4)/1000</f>
        <v>780</v>
      </c>
      <c r="H7" s="3">
        <f>(+C7*D7*F7*1/4)/1000</f>
        <v>780</v>
      </c>
    </row>
    <row r="8" spans="1:8" x14ac:dyDescent="0.2">
      <c r="B8" s="7">
        <v>44926</v>
      </c>
      <c r="C8" s="1">
        <v>6</v>
      </c>
      <c r="D8" s="1">
        <v>200000</v>
      </c>
      <c r="E8" s="1">
        <v>2</v>
      </c>
      <c r="F8" s="1">
        <v>2.6</v>
      </c>
      <c r="G8" s="3">
        <f>(+C8*D8*F8*2/4)/1000-H7</f>
        <v>780</v>
      </c>
      <c r="H8" s="3">
        <f>(+F8*D8*C8*2/4)/1000</f>
        <v>1560</v>
      </c>
    </row>
    <row r="9" spans="1:8" x14ac:dyDescent="0.2">
      <c r="B9" s="7">
        <v>45291</v>
      </c>
      <c r="C9" s="1">
        <v>5</v>
      </c>
      <c r="D9" s="1">
        <v>200000</v>
      </c>
      <c r="E9" s="1">
        <v>2</v>
      </c>
      <c r="F9" s="1">
        <v>2.6</v>
      </c>
      <c r="G9" s="3">
        <f>(+C9*D9*F9*3/4)/1000-H8</f>
        <v>390</v>
      </c>
      <c r="H9" s="3">
        <f>(+C9*D9*F9*3/4)/1000</f>
        <v>1950</v>
      </c>
    </row>
    <row r="10" spans="1:8" x14ac:dyDescent="0.2">
      <c r="B10" s="7">
        <v>45657</v>
      </c>
      <c r="C10" s="1">
        <v>5</v>
      </c>
      <c r="D10" s="1">
        <v>200000</v>
      </c>
      <c r="E10" s="1">
        <v>1</v>
      </c>
      <c r="F10" s="1">
        <v>3.2</v>
      </c>
      <c r="G10" s="3">
        <f>(+C10*D10*F10*4/4)/1000-H9</f>
        <v>1250</v>
      </c>
      <c r="H10" s="3">
        <f>(+C10*D10*F10*4/4)/1000</f>
        <v>3200</v>
      </c>
    </row>
    <row r="13" spans="1:8" x14ac:dyDescent="0.2">
      <c r="C13" s="1">
        <v>2021</v>
      </c>
      <c r="D13" s="1">
        <v>2022</v>
      </c>
      <c r="E13" s="1">
        <v>2023</v>
      </c>
      <c r="F13" s="1">
        <v>2024</v>
      </c>
    </row>
    <row r="14" spans="1:8" x14ac:dyDescent="0.2">
      <c r="B14" s="1" t="s">
        <v>99</v>
      </c>
      <c r="C14" s="11">
        <v>0.12</v>
      </c>
      <c r="D14" s="11">
        <v>0.15</v>
      </c>
      <c r="E14" s="11">
        <v>0.19</v>
      </c>
      <c r="F14" s="11">
        <v>0.21</v>
      </c>
    </row>
    <row r="15" spans="1:8" x14ac:dyDescent="0.2">
      <c r="C15" s="11"/>
      <c r="D15" s="11">
        <f>+AVERAGE(C14:D14)</f>
        <v>0.13500000000000001</v>
      </c>
      <c r="E15" s="11">
        <f>+AVERAGE(C14:E14)</f>
        <v>0.15333333333333335</v>
      </c>
      <c r="F15" s="11">
        <f t="shared" ref="F15" si="0">+AVERAGE(C14:F14)</f>
        <v>0.16750000000000001</v>
      </c>
    </row>
    <row r="16" spans="1:8" x14ac:dyDescent="0.2">
      <c r="B16" s="1" t="s">
        <v>100</v>
      </c>
      <c r="C16" s="1">
        <v>1</v>
      </c>
      <c r="D16" s="1">
        <v>1</v>
      </c>
      <c r="E16" s="1">
        <v>1</v>
      </c>
      <c r="F16" s="1">
        <v>2</v>
      </c>
    </row>
  </sheetData>
  <hyperlinks>
    <hyperlink ref="A1" location="Main!A1" display="Main" xr:uid="{BD5CE64F-FF89-4356-85E2-44C757F3A6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9EA-7D6F-4510-96AA-EF2887121C01}">
  <dimension ref="A1:F38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101</v>
      </c>
    </row>
    <row r="3" spans="1:4" x14ac:dyDescent="0.2">
      <c r="B3" s="1" t="s">
        <v>23</v>
      </c>
      <c r="C3" s="7">
        <v>45016</v>
      </c>
    </row>
    <row r="7" spans="1:4" x14ac:dyDescent="0.2">
      <c r="B7" s="7">
        <v>44743</v>
      </c>
      <c r="D7" s="12"/>
    </row>
    <row r="8" spans="1:4" x14ac:dyDescent="0.2">
      <c r="B8" s="1" t="s">
        <v>102</v>
      </c>
      <c r="D8" s="12">
        <v>1600</v>
      </c>
    </row>
    <row r="10" spans="1:4" x14ac:dyDescent="0.2">
      <c r="B10" s="1" t="s">
        <v>103</v>
      </c>
      <c r="D10" s="12">
        <v>400</v>
      </c>
    </row>
    <row r="11" spans="1:4" x14ac:dyDescent="0.2">
      <c r="B11" s="1" t="s">
        <v>104</v>
      </c>
      <c r="D11" s="13">
        <v>0.25</v>
      </c>
    </row>
    <row r="12" spans="1:4" x14ac:dyDescent="0.2">
      <c r="B12" s="1" t="s">
        <v>42</v>
      </c>
      <c r="D12" s="12">
        <f>+D10*D11</f>
        <v>100</v>
      </c>
    </row>
    <row r="13" spans="1:4" x14ac:dyDescent="0.2">
      <c r="B13" s="1" t="s">
        <v>43</v>
      </c>
      <c r="D13" s="12">
        <f>+(4.05-0.25)*D10</f>
        <v>1520</v>
      </c>
    </row>
    <row r="14" spans="1:4" x14ac:dyDescent="0.2">
      <c r="D14" s="12"/>
    </row>
    <row r="15" spans="1:4" x14ac:dyDescent="0.2">
      <c r="B15" s="1" t="s">
        <v>106</v>
      </c>
      <c r="D15" s="12"/>
    </row>
    <row r="16" spans="1:4" x14ac:dyDescent="0.2">
      <c r="B16" s="1" t="s">
        <v>107</v>
      </c>
      <c r="D16" s="12">
        <v>1520</v>
      </c>
    </row>
    <row r="17" spans="2:6" x14ac:dyDescent="0.2">
      <c r="D17" s="12"/>
    </row>
    <row r="18" spans="2:6" x14ac:dyDescent="0.2">
      <c r="B18" s="1" t="s">
        <v>112</v>
      </c>
      <c r="D18" s="12"/>
    </row>
    <row r="19" spans="2:6" x14ac:dyDescent="0.2">
      <c r="B19" s="1" t="s">
        <v>113</v>
      </c>
      <c r="D19" s="12"/>
    </row>
    <row r="20" spans="2:6" x14ac:dyDescent="0.2">
      <c r="B20" s="1" t="s">
        <v>114</v>
      </c>
      <c r="D20" s="12"/>
    </row>
    <row r="21" spans="2:6" x14ac:dyDescent="0.2">
      <c r="D21" s="12"/>
    </row>
    <row r="22" spans="2:6" x14ac:dyDescent="0.2">
      <c r="D22" s="12"/>
    </row>
    <row r="23" spans="2:6" x14ac:dyDescent="0.2">
      <c r="B23" s="1" t="s">
        <v>108</v>
      </c>
      <c r="D23" s="12"/>
      <c r="E23" s="12">
        <f>+D8</f>
        <v>1600</v>
      </c>
    </row>
    <row r="24" spans="2:6" x14ac:dyDescent="0.2">
      <c r="C24" s="1" t="s">
        <v>46</v>
      </c>
      <c r="D24" s="12"/>
      <c r="F24" s="12">
        <f>+D12</f>
        <v>100</v>
      </c>
    </row>
    <row r="25" spans="2:6" x14ac:dyDescent="0.2">
      <c r="C25" s="1" t="s">
        <v>47</v>
      </c>
      <c r="D25" s="12"/>
      <c r="F25" s="12">
        <f>+E23-F24</f>
        <v>1500</v>
      </c>
    </row>
    <row r="26" spans="2:6" x14ac:dyDescent="0.2">
      <c r="B26" s="1" t="s">
        <v>109</v>
      </c>
      <c r="D26" s="12"/>
    </row>
    <row r="28" spans="2:6" x14ac:dyDescent="0.2">
      <c r="B28" s="7">
        <v>44820</v>
      </c>
    </row>
    <row r="29" spans="2:6" x14ac:dyDescent="0.2">
      <c r="B29" s="1" t="s">
        <v>103</v>
      </c>
      <c r="D29" s="12">
        <v>120</v>
      </c>
    </row>
    <row r="30" spans="2:6" x14ac:dyDescent="0.2">
      <c r="B30" s="1" t="s">
        <v>104</v>
      </c>
      <c r="D30" s="13">
        <v>0.25</v>
      </c>
    </row>
    <row r="31" spans="2:6" x14ac:dyDescent="0.2">
      <c r="B31" s="1" t="s">
        <v>42</v>
      </c>
      <c r="D31" s="12">
        <f>+D29*D30</f>
        <v>30</v>
      </c>
    </row>
    <row r="32" spans="2:6" x14ac:dyDescent="0.2">
      <c r="B32" s="1" t="s">
        <v>105</v>
      </c>
      <c r="D32" s="12">
        <f>+(4.1-0.25)*D29</f>
        <v>461.99999999999994</v>
      </c>
    </row>
    <row r="35" spans="2:6" x14ac:dyDescent="0.2">
      <c r="B35" s="1" t="s">
        <v>110</v>
      </c>
      <c r="E35" s="12">
        <f>+D32+D31</f>
        <v>491.99999999999994</v>
      </c>
    </row>
    <row r="36" spans="2:6" x14ac:dyDescent="0.2">
      <c r="C36" s="1" t="s">
        <v>46</v>
      </c>
      <c r="F36" s="12">
        <f>+D31</f>
        <v>30</v>
      </c>
    </row>
    <row r="37" spans="2:6" x14ac:dyDescent="0.2">
      <c r="C37" s="1" t="s">
        <v>47</v>
      </c>
      <c r="F37" s="12">
        <f>+D32</f>
        <v>461.99999999999994</v>
      </c>
    </row>
    <row r="38" spans="2:6" x14ac:dyDescent="0.2">
      <c r="B38" s="1" t="s">
        <v>111</v>
      </c>
    </row>
  </sheetData>
  <hyperlinks>
    <hyperlink ref="A1" location="Main!A1" display="Main" xr:uid="{1155CFAE-0575-4AFF-88D7-0F72C3E27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2B5E-847E-4B52-84FD-AB224FFC1AF8}">
  <dimension ref="A1:J13"/>
  <sheetViews>
    <sheetView zoomScale="175" zoomScaleNormal="175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10" ht="15" x14ac:dyDescent="0.25">
      <c r="A1" s="2" t="s">
        <v>0</v>
      </c>
    </row>
    <row r="2" spans="1:10" x14ac:dyDescent="0.2">
      <c r="B2" s="1" t="s">
        <v>83</v>
      </c>
    </row>
    <row r="4" spans="1:10" x14ac:dyDescent="0.2">
      <c r="B4" s="1" t="s">
        <v>23</v>
      </c>
      <c r="C4" s="1" t="s">
        <v>84</v>
      </c>
      <c r="D4" s="1" t="s">
        <v>87</v>
      </c>
      <c r="E4" s="1" t="s">
        <v>85</v>
      </c>
      <c r="F4" s="1" t="s">
        <v>86</v>
      </c>
      <c r="G4" s="1" t="s">
        <v>88</v>
      </c>
      <c r="H4" s="1" t="s">
        <v>89</v>
      </c>
      <c r="I4" s="1" t="s">
        <v>64</v>
      </c>
      <c r="J4" s="1" t="s">
        <v>65</v>
      </c>
    </row>
    <row r="5" spans="1:10" x14ac:dyDescent="0.2">
      <c r="B5" s="7">
        <v>44651</v>
      </c>
      <c r="C5" s="8">
        <v>1.2</v>
      </c>
      <c r="D5" s="3">
        <v>1200</v>
      </c>
      <c r="E5" s="3">
        <v>100</v>
      </c>
      <c r="F5" s="3">
        <v>200</v>
      </c>
      <c r="G5" s="3">
        <f>+D5-E5-F5</f>
        <v>900</v>
      </c>
      <c r="H5" s="3">
        <f>+C5*1000*G5</f>
        <v>1080000</v>
      </c>
      <c r="I5" s="3">
        <f>+G5*10*C5*1/3</f>
        <v>3600</v>
      </c>
      <c r="J5" s="3">
        <f>+G5*10*C5*1/3</f>
        <v>3600</v>
      </c>
    </row>
    <row r="6" spans="1:10" x14ac:dyDescent="0.2">
      <c r="B6" s="7">
        <v>45016</v>
      </c>
      <c r="C6" s="8">
        <v>1.4</v>
      </c>
      <c r="D6" s="3">
        <f>+D5-E5</f>
        <v>1100</v>
      </c>
      <c r="E6" s="3">
        <v>110</v>
      </c>
      <c r="F6" s="3">
        <v>120</v>
      </c>
      <c r="G6" s="3">
        <f>+D6-E6-F6</f>
        <v>870</v>
      </c>
      <c r="H6" s="3">
        <f>+C6*1000*G6</f>
        <v>1218000</v>
      </c>
      <c r="I6" s="3">
        <f>+G6*10*C6*2/3-J5</f>
        <v>4520</v>
      </c>
      <c r="J6" s="3">
        <f>+G6*10*C6*2/3</f>
        <v>8120</v>
      </c>
    </row>
    <row r="7" spans="1:10" x14ac:dyDescent="0.2">
      <c r="B7" s="7">
        <v>45382</v>
      </c>
      <c r="C7" s="8">
        <v>1.55</v>
      </c>
      <c r="D7" s="3">
        <f>+D6-E6</f>
        <v>990</v>
      </c>
      <c r="E7" s="3">
        <v>140</v>
      </c>
      <c r="F7" s="3">
        <v>0</v>
      </c>
      <c r="G7" s="3">
        <f>+D7-E7-F7</f>
        <v>850</v>
      </c>
      <c r="H7" s="3">
        <f>+C7*1000*G7</f>
        <v>1317500</v>
      </c>
      <c r="I7" s="3">
        <f>+G7*10*C7*3/3-J6</f>
        <v>5055</v>
      </c>
      <c r="J7" s="3">
        <f>+G7*10*C7*3/3</f>
        <v>13175</v>
      </c>
    </row>
    <row r="10" spans="1:10" x14ac:dyDescent="0.2">
      <c r="B10" s="1" t="s">
        <v>90</v>
      </c>
    </row>
    <row r="11" spans="1:10" x14ac:dyDescent="0.2">
      <c r="B11" s="1" t="s">
        <v>73</v>
      </c>
      <c r="E11" s="3">
        <f>+J7</f>
        <v>13175</v>
      </c>
      <c r="F11" s="3"/>
      <c r="I11" s="3">
        <f>+H5*1/3</f>
        <v>360000</v>
      </c>
      <c r="J11" s="3">
        <f>+H5*1/3</f>
        <v>360000</v>
      </c>
    </row>
    <row r="12" spans="1:10" x14ac:dyDescent="0.2">
      <c r="C12" s="1" t="s">
        <v>74</v>
      </c>
      <c r="E12" s="3"/>
      <c r="F12" s="3">
        <f>SUM(E11:E11)</f>
        <v>13175</v>
      </c>
      <c r="I12" s="3">
        <f>+H6*2/3-J11</f>
        <v>452000</v>
      </c>
      <c r="J12" s="3">
        <f>+H6*2/3</f>
        <v>812000</v>
      </c>
    </row>
    <row r="13" spans="1:10" x14ac:dyDescent="0.2">
      <c r="B13" s="1" t="s">
        <v>91</v>
      </c>
      <c r="I13" s="3">
        <f>+H7*3/3-J12</f>
        <v>505500</v>
      </c>
      <c r="J13" s="3">
        <f>+H7</f>
        <v>1317500</v>
      </c>
    </row>
  </sheetData>
  <hyperlinks>
    <hyperlink ref="A1" location="Main!A1" display="Main" xr:uid="{CF59CEB5-5958-4FD5-9234-D1BB7FE11F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17</vt:lpstr>
      <vt:lpstr>WSE17.1</vt:lpstr>
      <vt:lpstr>WSE17.2</vt:lpstr>
      <vt:lpstr>WSE17.3</vt:lpstr>
      <vt:lpstr>WSE17.4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2023-06-01T13:48:46Z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