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959" documentId="8_{A7061520-38C6-4548-A697-98A98EC967F4}" xr6:coauthVersionLast="47" xr6:coauthVersionMax="47" xr10:uidLastSave="{2B09C40F-2D04-4B8A-95AF-7564AFFA9A12}"/>
  <bookViews>
    <workbookView xWindow="4050" yWindow="5685" windowWidth="12420" windowHeight="11385" activeTab="1" xr2:uid="{5DE79D18-A7DC-45EE-96BD-1AC3843D2D9E}"/>
  </bookViews>
  <sheets>
    <sheet name="Main" sheetId="1" r:id="rId1"/>
    <sheet name="Module 20" sheetId="2" r:id="rId2"/>
    <sheet name="WSE20.1" sheetId="3" r:id="rId3"/>
    <sheet name="WSE20.2" sheetId="4" r:id="rId4"/>
    <sheet name="WSE20.3" sheetId="5" r:id="rId5"/>
    <sheet name="WSE20.4" sheetId="6" r:id="rId6"/>
    <sheet name="WSE20.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7" l="1"/>
  <c r="C89" i="7"/>
  <c r="E89" i="7" s="1"/>
  <c r="F89" i="7" s="1"/>
  <c r="E86" i="7"/>
  <c r="F86" i="7" s="1"/>
  <c r="E85" i="7"/>
  <c r="F85" i="7" s="1"/>
  <c r="E84" i="7"/>
  <c r="F84" i="7" s="1"/>
  <c r="D83" i="7"/>
  <c r="C83" i="7"/>
  <c r="E83" i="7" s="1"/>
  <c r="F83" i="7" s="1"/>
  <c r="E82" i="7"/>
  <c r="F82" i="7" s="1"/>
  <c r="D69" i="7"/>
  <c r="E31" i="7"/>
  <c r="F32" i="7" s="1"/>
  <c r="F46" i="7"/>
  <c r="D18" i="7" s="1"/>
  <c r="D19" i="7" s="1"/>
  <c r="D20" i="7" s="1"/>
  <c r="D55" i="7"/>
  <c r="D56" i="7" s="1"/>
  <c r="F41" i="7"/>
  <c r="F87" i="7" l="1"/>
  <c r="D94" i="7" s="1"/>
  <c r="D97" i="7" s="1"/>
  <c r="C101" i="7"/>
  <c r="D92" i="7"/>
  <c r="B101" i="7"/>
  <c r="E58" i="7"/>
  <c r="D100" i="7" l="1"/>
  <c r="B100" i="7"/>
  <c r="F59" i="7"/>
  <c r="D65" i="7"/>
  <c r="D66" i="7" s="1"/>
  <c r="D68" i="7" s="1"/>
  <c r="D70" i="7" s="1"/>
  <c r="E72" i="7" s="1"/>
  <c r="F73" i="7" s="1"/>
  <c r="C102" i="7" l="1"/>
  <c r="D27" i="7" l="1"/>
  <c r="E53" i="6"/>
  <c r="F53" i="6" s="1"/>
  <c r="D50" i="6"/>
  <c r="E50" i="6" s="1"/>
  <c r="F50" i="6" s="1"/>
  <c r="E49" i="6"/>
  <c r="F49" i="6" s="1"/>
  <c r="D48" i="6"/>
  <c r="C48" i="6"/>
  <c r="E48" i="6" s="1"/>
  <c r="F48" i="6" s="1"/>
  <c r="E47" i="6"/>
  <c r="F47" i="6" s="1"/>
  <c r="C31" i="6"/>
  <c r="E31" i="6" s="1"/>
  <c r="F31" i="6" s="1"/>
  <c r="E29" i="6"/>
  <c r="F29" i="6" s="1"/>
  <c r="D30" i="6"/>
  <c r="E30" i="6" s="1"/>
  <c r="F30" i="6" s="1"/>
  <c r="D28" i="6"/>
  <c r="E28" i="6" s="1"/>
  <c r="F28" i="6" s="1"/>
  <c r="D27" i="6"/>
  <c r="C27" i="6"/>
  <c r="E27" i="6" s="1"/>
  <c r="F27" i="6" s="1"/>
  <c r="F35" i="6"/>
  <c r="E11" i="6"/>
  <c r="F11" i="6" s="1"/>
  <c r="E12" i="6"/>
  <c r="F12" i="6" s="1"/>
  <c r="F16" i="6"/>
  <c r="E10" i="6"/>
  <c r="F10" i="6" s="1"/>
  <c r="E9" i="6"/>
  <c r="F20" i="5"/>
  <c r="E16" i="5"/>
  <c r="F16" i="5" s="1"/>
  <c r="E15" i="5"/>
  <c r="F15" i="5" s="1"/>
  <c r="E24" i="5" s="1"/>
  <c r="E14" i="5"/>
  <c r="F14" i="5" s="1"/>
  <c r="H27" i="3"/>
  <c r="H28" i="3" s="1"/>
  <c r="I38" i="3"/>
  <c r="H25" i="3"/>
  <c r="H24" i="3" s="1"/>
  <c r="E17" i="4"/>
  <c r="E18" i="4"/>
  <c r="E9" i="4"/>
  <c r="F9" i="4" s="1"/>
  <c r="E8" i="4"/>
  <c r="F8" i="4" s="1"/>
  <c r="E7" i="4"/>
  <c r="F7" i="4" s="1"/>
  <c r="F10" i="4" s="1"/>
  <c r="F14" i="4" s="1"/>
  <c r="F19" i="4" s="1"/>
  <c r="H18" i="3"/>
  <c r="H19" i="3" s="1"/>
  <c r="H16" i="3"/>
  <c r="H15" i="3" s="1"/>
  <c r="H10" i="3"/>
  <c r="H9" i="3"/>
  <c r="H6" i="3"/>
  <c r="H7" i="3"/>
  <c r="D26" i="3"/>
  <c r="C26" i="3"/>
  <c r="D24" i="3"/>
  <c r="D25" i="3" s="1"/>
  <c r="C24" i="3"/>
  <c r="C25" i="3" s="1"/>
  <c r="D17" i="3"/>
  <c r="C17" i="3"/>
  <c r="D15" i="3"/>
  <c r="C15" i="3"/>
  <c r="C16" i="3" s="1"/>
  <c r="D16" i="3"/>
  <c r="D8" i="3"/>
  <c r="C8" i="3"/>
  <c r="D6" i="3"/>
  <c r="D7" i="3" s="1"/>
  <c r="D9" i="3" s="1"/>
  <c r="D10" i="3" s="1"/>
  <c r="C6" i="3"/>
  <c r="C7" i="3" s="1"/>
  <c r="C9" i="3" s="1"/>
  <c r="C10" i="3" s="1"/>
  <c r="D390" i="2"/>
  <c r="D389" i="2"/>
  <c r="D388" i="2"/>
  <c r="D387" i="2"/>
  <c r="E339" i="2"/>
  <c r="F339" i="2" s="1"/>
  <c r="G339" i="2"/>
  <c r="G338" i="2"/>
  <c r="G337" i="2"/>
  <c r="G336" i="2"/>
  <c r="E338" i="2"/>
  <c r="F338" i="2" s="1"/>
  <c r="E337" i="2"/>
  <c r="F337" i="2" s="1"/>
  <c r="E336" i="2"/>
  <c r="F336" i="2" s="1"/>
  <c r="E348" i="2" s="1"/>
  <c r="D335" i="2"/>
  <c r="G335" i="2" s="1"/>
  <c r="D224" i="2"/>
  <c r="D225" i="2" s="1"/>
  <c r="E227" i="2" s="1"/>
  <c r="F228" i="2" s="1"/>
  <c r="E176" i="2"/>
  <c r="F176" i="2" s="1"/>
  <c r="E179" i="2" s="1"/>
  <c r="F180" i="2" s="1"/>
  <c r="E164" i="2"/>
  <c r="F164" i="2" s="1"/>
  <c r="F168" i="2" s="1"/>
  <c r="E167" i="2" s="1"/>
  <c r="E71" i="2"/>
  <c r="F72" i="2" s="1"/>
  <c r="E53" i="2"/>
  <c r="F39" i="6" l="1"/>
  <c r="F51" i="6"/>
  <c r="D58" i="6" s="1"/>
  <c r="D61" i="6" s="1"/>
  <c r="E36" i="7"/>
  <c r="D65" i="6"/>
  <c r="B65" i="6"/>
  <c r="D56" i="6"/>
  <c r="F32" i="6"/>
  <c r="F36" i="6" s="1"/>
  <c r="E13" i="6"/>
  <c r="E32" i="6"/>
  <c r="F9" i="6"/>
  <c r="F13" i="6" s="1"/>
  <c r="F17" i="6" s="1"/>
  <c r="E21" i="6" s="1"/>
  <c r="E20" i="6"/>
  <c r="F17" i="5"/>
  <c r="F21" i="5" s="1"/>
  <c r="E25" i="5" s="1"/>
  <c r="F26" i="5" s="1"/>
  <c r="D27" i="3"/>
  <c r="D28" i="3" s="1"/>
  <c r="C27" i="3"/>
  <c r="C28" i="3" s="1"/>
  <c r="D18" i="3"/>
  <c r="D19" i="3" s="1"/>
  <c r="C18" i="3"/>
  <c r="C19" i="3" s="1"/>
  <c r="E335" i="2"/>
  <c r="F335" i="2" s="1"/>
  <c r="F342" i="2" s="1"/>
  <c r="F40" i="6" l="1"/>
  <c r="E41" i="6" s="1"/>
  <c r="F37" i="7"/>
  <c r="D64" i="6"/>
  <c r="C66" i="6" s="1"/>
  <c r="B64" i="6"/>
  <c r="F22" i="6"/>
  <c r="F345" i="2"/>
  <c r="F350" i="2"/>
  <c r="F349" i="2" s="1"/>
</calcChain>
</file>

<file path=xl/sharedStrings.xml><?xml version="1.0" encoding="utf-8"?>
<sst xmlns="http://schemas.openxmlformats.org/spreadsheetml/2006/main" count="319" uniqueCount="191">
  <si>
    <t>Main</t>
  </si>
  <si>
    <t>Module 20</t>
  </si>
  <si>
    <t>Module 20 - Taxation: Deferred Tax</t>
  </si>
  <si>
    <t>deferred tax is just an accounting concept</t>
  </si>
  <si>
    <t>the tax has not crystalised</t>
  </si>
  <si>
    <t>this is not a present obligation to pay taxes</t>
  </si>
  <si>
    <t>IAS 12</t>
  </si>
  <si>
    <t>it is the estimate future tax consequences of transactions and events that have been entered as at the year end dat</t>
  </si>
  <si>
    <t>Deferred tax rate is now 25%</t>
  </si>
  <si>
    <t>substantively enacted - when it is so far through parliament</t>
  </si>
  <si>
    <t>when gains rolled forward, the gain not taxed in the year</t>
  </si>
  <si>
    <t>in 2024 - no gain chargeable to CT</t>
  </si>
  <si>
    <t>accounting gain recorded in that year though</t>
  </si>
  <si>
    <t>the deferred tax on the gain is 25% * 2,000k = 500k</t>
  </si>
  <si>
    <t>Approach - assets</t>
  </si>
  <si>
    <t>assets give savings or income</t>
  </si>
  <si>
    <t>increase in future tax will be larger, so need to create a liability to match aginst hat</t>
  </si>
  <si>
    <t>we are going to pay money in the future.  This is a liabilty</t>
  </si>
  <si>
    <t>DTL</t>
  </si>
  <si>
    <t>cr - DTL</t>
  </si>
  <si>
    <t>dr - SPL taxation</t>
  </si>
  <si>
    <t>being recognition of deferred tax liability</t>
  </si>
  <si>
    <t>Approach - Liabilities</t>
  </si>
  <si>
    <t>future tax payments are smaller therefore a DTA exists</t>
  </si>
  <si>
    <t>dr - DTA</t>
  </si>
  <si>
    <t>being recognition of deferred tax asset</t>
  </si>
  <si>
    <t>tax relief expected in the future</t>
  </si>
  <si>
    <t>cr - SPL texation</t>
  </si>
  <si>
    <t>Under UK tax legislation, pension contributions are deducted for tax purposes only</t>
  </si>
  <si>
    <t>when they are paid. As the pension balance is a liability (a ‘pension obligation’), it</t>
  </si>
  <si>
    <t>cannot have been paid as at the year-end date and, therefore, no tax relief will have</t>
  </si>
  <si>
    <t>been given yet.</t>
  </si>
  <si>
    <t>A pension liability for a defined benefit scheme, per IAS 19 Employee Benefits,</t>
  </si>
  <si>
    <t>represents a deficit. It is assumed that the company will increase its contributions to</t>
  </si>
  <si>
    <t>reduce the deficit. This will lead to future tax relief.</t>
  </si>
  <si>
    <t>This future tax relief will be shown in the current financial statements as a deferred</t>
  </si>
  <si>
    <t>tax asset of £75k (25% x £300k).</t>
  </si>
  <si>
    <t>Temporary Differences</t>
  </si>
  <si>
    <t>value in accounts and tax base</t>
  </si>
  <si>
    <t>Tax base I whatever tax dept says the asset is worth</t>
  </si>
  <si>
    <t>carrying amount is whatever fianance determine it to be worth</t>
  </si>
  <si>
    <t>Only six examples which can lead to temporary difference</t>
  </si>
  <si>
    <t>difference between NBV (cost less AD) but have to do it on TWDV</t>
  </si>
  <si>
    <t>Tax TD</t>
  </si>
  <si>
    <t>deductible TD</t>
  </si>
  <si>
    <t>DTA</t>
  </si>
  <si>
    <t xml:space="preserve">NBV &gt; TWDV </t>
  </si>
  <si>
    <t>NBV &lt; TWDV</t>
  </si>
  <si>
    <t>NBV</t>
  </si>
  <si>
    <t>tax base</t>
  </si>
  <si>
    <t>TD</t>
  </si>
  <si>
    <t>CR</t>
  </si>
  <si>
    <t>being increase in DTL</t>
  </si>
  <si>
    <t>Company B</t>
  </si>
  <si>
    <t>dr</t>
  </si>
  <si>
    <t>cr</t>
  </si>
  <si>
    <t>being increase in DTA</t>
  </si>
  <si>
    <t>Rollover and holdover relief</t>
  </si>
  <si>
    <t>The difference between CA and TWDV is sometimes referred to as accelerated</t>
  </si>
  <si>
    <t>capital allowances (ACA).</t>
  </si>
  <si>
    <t>no capital allces for properties or land.  So the tax base is always the carrying amount and therefore the tax base is nil</t>
  </si>
  <si>
    <t>revaluation surplus balance (ie cumulative revaluation increase)</t>
  </si>
  <si>
    <t>gain</t>
  </si>
  <si>
    <t>TWDV</t>
  </si>
  <si>
    <t>dr - reval surplus</t>
  </si>
  <si>
    <t>being recognition of deferred tax liability on revalued asset</t>
  </si>
  <si>
    <t>In practice it is usual to make the journal entry for deferred tax relating to a</t>
  </si>
  <si>
    <t>revaluation to an OCI account and then transfer it to the revaluation surplus in equity.</t>
  </si>
  <si>
    <t>Here we journal directly to the equity account for simplicity.</t>
  </si>
  <si>
    <t>deficit payment plan</t>
  </si>
  <si>
    <t>non current is greater than 9 months when considering taxation</t>
  </si>
  <si>
    <t>Activity 5:   Stepped approach</t>
  </si>
  <si>
    <t>DT</t>
  </si>
  <si>
    <t>Land - rollover gain</t>
  </si>
  <si>
    <t>reval surp</t>
  </si>
  <si>
    <t>P&amp;M</t>
  </si>
  <si>
    <t>Cash settled SBP liability</t>
  </si>
  <si>
    <t>Pension liability</t>
  </si>
  <si>
    <t>Taxable TD</t>
  </si>
  <si>
    <t>Step 2 – Calculate deferred tax liability/ asset</t>
  </si>
  <si>
    <t>Step 4 – Prepare journal entry</t>
  </si>
  <si>
    <t>being increase in deferred tax liability</t>
  </si>
  <si>
    <t>Cr  DTL</t>
  </si>
  <si>
    <t>Dr - reval surplus</t>
  </si>
  <si>
    <t>Dr - SPL texation</t>
  </si>
  <si>
    <t>Increase in deferred tax</t>
  </si>
  <si>
    <t>prudence - unsure about realising DTA.  More confident to recognise DTL</t>
  </si>
  <si>
    <t>is the compnay going ot be profitable in future years in able to adjust for the future tax inflow</t>
  </si>
  <si>
    <t>so the 300k cannot be carried forward and utilised against future profits</t>
  </si>
  <si>
    <t>ACA</t>
  </si>
  <si>
    <t>pension asset</t>
  </si>
  <si>
    <t>tax losses c/f</t>
  </si>
  <si>
    <t>DTA as at 31/03/2024</t>
  </si>
  <si>
    <t>Measurement</t>
  </si>
  <si>
    <t>rate changes not in scope for this course</t>
  </si>
  <si>
    <t>IAS 12 does not permit discounting</t>
  </si>
  <si>
    <t>this is due to the complexity nd practicality of calculating a discounted amount</t>
  </si>
  <si>
    <t>Presenation</t>
  </si>
  <si>
    <t>taken directly to equity (e.g revaluation increases)</t>
  </si>
  <si>
    <t>Companies A and B</t>
  </si>
  <si>
    <t>Cost</t>
  </si>
  <si>
    <t>AD</t>
  </si>
  <si>
    <t>cr - A DTL</t>
  </si>
  <si>
    <t>dr - A SPL Tax</t>
  </si>
  <si>
    <t>dr - B DTA</t>
  </si>
  <si>
    <t>cr - B SPL Tax</t>
  </si>
  <si>
    <t>Fuller plc</t>
  </si>
  <si>
    <t>YE</t>
  </si>
  <si>
    <t>land reval</t>
  </si>
  <si>
    <t>rollover</t>
  </si>
  <si>
    <t>opening DTL</t>
  </si>
  <si>
    <t>dr - SPL tax</t>
  </si>
  <si>
    <t>dr - revaluatioin surplius</t>
  </si>
  <si>
    <t>WSE20.1</t>
  </si>
  <si>
    <t>WSE20.2</t>
  </si>
  <si>
    <t>WSE20.3</t>
  </si>
  <si>
    <t>WSE20.4</t>
  </si>
  <si>
    <t>WSE20.5</t>
  </si>
  <si>
    <t>McKenzie plc</t>
  </si>
  <si>
    <t>relating to ACAs</t>
  </si>
  <si>
    <t>Plant and machinery</t>
  </si>
  <si>
    <t>opening</t>
  </si>
  <si>
    <t>RVS</t>
  </si>
  <si>
    <t>unused tax losses</t>
  </si>
  <si>
    <t>cr - SPL tax</t>
  </si>
  <si>
    <t>cr - revaluatioin surplius</t>
  </si>
  <si>
    <t>dr - DTL</t>
  </si>
  <si>
    <t>being decrease in deferred tax liabilit</t>
  </si>
  <si>
    <t>King plc</t>
  </si>
  <si>
    <t>Accelerated capital allowances</t>
  </si>
  <si>
    <t>Revaluation surplus</t>
  </si>
  <si>
    <t>Tax losses</t>
  </si>
  <si>
    <t>Cash-settled share-based payment liability</t>
  </si>
  <si>
    <t>addition</t>
  </si>
  <si>
    <t>DT rate</t>
  </si>
  <si>
    <t>Carrying amount</t>
  </si>
  <si>
    <t>Tax base</t>
  </si>
  <si>
    <t>Taxable/ (deductible) temporary difference</t>
  </si>
  <si>
    <t>(DTA)/Liability</t>
  </si>
  <si>
    <t>PPE - Historical cost</t>
  </si>
  <si>
    <t>PPE CA v TWDW</t>
  </si>
  <si>
    <t>Cash settled SBP liabilities</t>
  </si>
  <si>
    <t>Pension liabilities</t>
  </si>
  <si>
    <t>Pension surplus</t>
  </si>
  <si>
    <t>Tax loss</t>
  </si>
  <si>
    <t>Closing revaluation surplus</t>
  </si>
  <si>
    <t>PY DTL in respect of revaluation surplus</t>
  </si>
  <si>
    <t>Adjustment to DTL relating to revaluation surplus</t>
  </si>
  <si>
    <t>Total DTL/(DTA)</t>
  </si>
  <si>
    <t>Balance as at start of year (DTL /(DTA))</t>
  </si>
  <si>
    <t xml:space="preserve">Movement </t>
  </si>
  <si>
    <t>CR SPL  - Taxation</t>
  </si>
  <si>
    <t>Jeffrey, Hastings and Sole Ltd</t>
  </si>
  <si>
    <t>all CT posted to tax suspense account</t>
  </si>
  <si>
    <t>VAT</t>
  </si>
  <si>
    <t>CT</t>
  </si>
  <si>
    <t>Current tax</t>
  </si>
  <si>
    <t>opening balance</t>
  </si>
  <si>
    <t>opening creditor</t>
  </si>
  <si>
    <t>payment</t>
  </si>
  <si>
    <t>under accruals</t>
  </si>
  <si>
    <t>dr - SPL tax expense</t>
  </si>
  <si>
    <t>cr - SPL current tax</t>
  </si>
  <si>
    <t>current tax in the year</t>
  </si>
  <si>
    <t>proceeds</t>
  </si>
  <si>
    <t>excl. VAT</t>
  </si>
  <si>
    <t>Vat</t>
  </si>
  <si>
    <t>incl. VAT</t>
  </si>
  <si>
    <t>output VAT</t>
  </si>
  <si>
    <t>cr - VAT payable</t>
  </si>
  <si>
    <t>cr - tax suspense</t>
  </si>
  <si>
    <t>dr - current tax payable</t>
  </si>
  <si>
    <t>Tax suspense accounts</t>
  </si>
  <si>
    <t>cr - tax expense account</t>
  </si>
  <si>
    <t>being correction to payments of 3rd and 4th instalments for the year ended 31/03/2023</t>
  </si>
  <si>
    <t>cr - Tax suspense account</t>
  </si>
  <si>
    <t>dr - tax suspense account</t>
  </si>
  <si>
    <t>being correction to payments of first and second instalments for the year ended 31/03/2024</t>
  </si>
  <si>
    <t>being correction for overpayments of tax for the year ended 31/03/2022</t>
  </si>
  <si>
    <t>being correction to recognise under-provision for the year ended 31/03/2023</t>
  </si>
  <si>
    <t>dr - gain on sale</t>
  </si>
  <si>
    <t>being correction to decrease gain on sale and recognise VAT payable</t>
  </si>
  <si>
    <t>Taxable profit</t>
  </si>
  <si>
    <t>unadjusted taxable profit</t>
  </si>
  <si>
    <t>decrease in gain on sale</t>
  </si>
  <si>
    <t>adjusted taxable profit</t>
  </si>
  <si>
    <t>CT liab</t>
  </si>
  <si>
    <t>First and second instalment paid</t>
  </si>
  <si>
    <t>cr - current tax payable</t>
  </si>
  <si>
    <t>being an accrual for third and fourth instalments of current year CT liab</t>
  </si>
  <si>
    <t>Deferred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</si>
</sst>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#,##0;[Red]\(\-#,##0\)"/>
    <numFmt numFmtId="166" formatCode="#,##0;[Red]\(#,##0\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4" fontId="1" fillId="0" borderId="0" xfId="0" applyNumberFormat="1" applyFont="1"/>
    <xf numFmtId="3" fontId="1" fillId="0" borderId="0" xfId="0" applyNumberFormat="1" applyFont="1"/>
    <xf numFmtId="0" fontId="3" fillId="0" borderId="0" xfId="0" applyFont="1" applyBorder="1"/>
    <xf numFmtId="164" fontId="1" fillId="0" borderId="0" xfId="0" applyNumberFormat="1" applyFont="1"/>
    <xf numFmtId="0" fontId="1" fillId="0" borderId="7" xfId="0" applyFont="1" applyBorder="1"/>
    <xf numFmtId="165" fontId="1" fillId="0" borderId="0" xfId="0" applyNumberFormat="1" applyFont="1"/>
    <xf numFmtId="166" fontId="1" fillId="0" borderId="0" xfId="0" applyNumberFormat="1" applyFont="1"/>
    <xf numFmtId="166" fontId="1" fillId="2" borderId="0" xfId="0" applyNumberFormat="1" applyFont="1" applyFill="1"/>
    <xf numFmtId="166" fontId="1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9" fontId="0" fillId="3" borderId="0" xfId="0" applyNumberFormat="1" applyFill="1"/>
    <xf numFmtId="0" fontId="0" fillId="0" borderId="9" xfId="0" applyBorder="1"/>
    <xf numFmtId="0" fontId="5" fillId="0" borderId="0" xfId="0" applyFont="1"/>
    <xf numFmtId="166" fontId="0" fillId="3" borderId="0" xfId="2" applyNumberFormat="1" applyFont="1" applyFill="1" applyBorder="1"/>
    <xf numFmtId="166" fontId="0" fillId="0" borderId="0" xfId="0" applyNumberFormat="1"/>
    <xf numFmtId="166" fontId="0" fillId="0" borderId="0" xfId="2" applyNumberFormat="1" applyFont="1" applyBorder="1"/>
    <xf numFmtId="166" fontId="5" fillId="0" borderId="10" xfId="2" applyNumberFormat="1" applyFont="1" applyBorder="1"/>
    <xf numFmtId="166" fontId="5" fillId="0" borderId="0" xfId="2" applyNumberFormat="1" applyFont="1" applyBorder="1"/>
    <xf numFmtId="166" fontId="0" fillId="3" borderId="0" xfId="0" applyNumberFormat="1" applyFill="1"/>
    <xf numFmtId="166" fontId="5" fillId="0" borderId="0" xfId="0" applyNumberFormat="1" applyFont="1"/>
    <xf numFmtId="166" fontId="0" fillId="0" borderId="0" xfId="2" applyNumberFormat="1" applyFont="1" applyFill="1" applyBorder="1"/>
    <xf numFmtId="0" fontId="0" fillId="3" borderId="8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1" fillId="0" borderId="0" xfId="0" applyNumberFormat="1" applyFont="1"/>
    <xf numFmtId="9" fontId="6" fillId="0" borderId="0" xfId="0" applyNumberFormat="1" applyFont="1"/>
    <xf numFmtId="166" fontId="1" fillId="0" borderId="7" xfId="0" applyNumberFormat="1" applyFon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6</xdr:col>
      <xdr:colOff>315687</xdr:colOff>
      <xdr:row>10</xdr:row>
      <xdr:rowOff>119022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9156C-F7BD-572E-2FE4-450E12FF6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4" y="1424610"/>
          <a:ext cx="3677478" cy="268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150394</xdr:rowOff>
    </xdr:from>
    <xdr:to>
      <xdr:col>6</xdr:col>
      <xdr:colOff>315686</xdr:colOff>
      <xdr:row>18</xdr:row>
      <xdr:rowOff>13869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D6B2BC-F01F-1AFB-2AB9-70B7C95C9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2994"/>
          <a:ext cx="3657600" cy="93027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33619</xdr:colOff>
      <xdr:row>21</xdr:row>
      <xdr:rowOff>145677</xdr:rowOff>
    </xdr:from>
    <xdr:to>
      <xdr:col>6</xdr:col>
      <xdr:colOff>378649</xdr:colOff>
      <xdr:row>32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E4A1E7-D3AA-332E-3415-D889C304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737" y="3507442"/>
          <a:ext cx="3660050" cy="15800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6</xdr:col>
      <xdr:colOff>315686</xdr:colOff>
      <xdr:row>46</xdr:row>
      <xdr:rowOff>63238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0CB831-0398-F597-550A-AE572A29F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605" y="6697579"/>
          <a:ext cx="3669632" cy="36402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60</xdr:row>
      <xdr:rowOff>150395</xdr:rowOff>
    </xdr:from>
    <xdr:to>
      <xdr:col>6</xdr:col>
      <xdr:colOff>315687</xdr:colOff>
      <xdr:row>68</xdr:row>
      <xdr:rowOff>85002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65F574-5F02-BB80-BCB0-16FF12E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9" y="9630571"/>
          <a:ext cx="3630706" cy="11896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6</xdr:col>
      <xdr:colOff>315686</xdr:colOff>
      <xdr:row>110</xdr:row>
      <xdr:rowOff>55163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8B7C28-A833-2CD6-8FA9-0EDC1CB29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14657294"/>
          <a:ext cx="3630706" cy="272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315686</xdr:colOff>
      <xdr:row>115</xdr:row>
      <xdr:rowOff>46393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D21725-E8EE-CF1A-AB2D-E5A2AE25F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145000"/>
          <a:ext cx="3657600" cy="5035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7</xdr:col>
      <xdr:colOff>0</xdr:colOff>
      <xdr:row>134</xdr:row>
      <xdr:rowOff>57357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C94194-51E1-7409-C6FF-3AFDA4C90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8821400"/>
          <a:ext cx="3952875" cy="17337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7</xdr:col>
      <xdr:colOff>0</xdr:colOff>
      <xdr:row>158</xdr:row>
      <xdr:rowOff>5853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49837B-CECE-B18E-A53D-DF2ABA0E8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3107650"/>
          <a:ext cx="3952875" cy="24442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7</xdr:col>
      <xdr:colOff>0</xdr:colOff>
      <xdr:row>188</xdr:row>
      <xdr:rowOff>91989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EE2664-EB18-7950-107C-69E0A0487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7832050"/>
          <a:ext cx="3952875" cy="10063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7</xdr:col>
      <xdr:colOff>0</xdr:colOff>
      <xdr:row>211</xdr:row>
      <xdr:rowOff>78129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73938C-8026-7D32-D97D-CF8B4204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913" y="29337000"/>
          <a:ext cx="3959087" cy="23144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7</xdr:col>
      <xdr:colOff>22803</xdr:colOff>
      <xdr:row>219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875452-6B2A-926A-BB62-463A572C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136" y="33268227"/>
          <a:ext cx="3971349" cy="9351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7</xdr:col>
      <xdr:colOff>0</xdr:colOff>
      <xdr:row>249</xdr:row>
      <xdr:rowOff>87055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E717A7-4902-C30A-DF63-21CA90581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913" y="35151391"/>
          <a:ext cx="3959087" cy="21742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149086</xdr:rowOff>
    </xdr:from>
    <xdr:to>
      <xdr:col>7</xdr:col>
      <xdr:colOff>29518</xdr:colOff>
      <xdr:row>272</xdr:row>
      <xdr:rowOff>150394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9EB4B9-948D-FD46-9AD7-76C65B953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913" y="37984043"/>
          <a:ext cx="3988605" cy="2832653"/>
        </a:xfrm>
        <a:prstGeom prst="rect">
          <a:avLst/>
        </a:prstGeom>
      </xdr:spPr>
    </xdr:pic>
    <xdr:clientData/>
  </xdr:twoCellAnchor>
  <xdr:twoCellAnchor editAs="oneCell">
    <xdr:from>
      <xdr:col>0</xdr:col>
      <xdr:colOff>612912</xdr:colOff>
      <xdr:row>276</xdr:row>
      <xdr:rowOff>0</xdr:rowOff>
    </xdr:from>
    <xdr:to>
      <xdr:col>7</xdr:col>
      <xdr:colOff>5693</xdr:colOff>
      <xdr:row>298</xdr:row>
      <xdr:rowOff>88348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B29C02E-7B85-E095-655B-315096E37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912" y="41263957"/>
          <a:ext cx="3959087" cy="336826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303</xdr:row>
      <xdr:rowOff>1</xdr:rowOff>
    </xdr:from>
    <xdr:to>
      <xdr:col>6</xdr:col>
      <xdr:colOff>545172</xdr:colOff>
      <xdr:row>327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770E19-9E64-A1C5-6C53-A4CD0B189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9126" y="43434001"/>
          <a:ext cx="3902734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355</xdr:row>
      <xdr:rowOff>0</xdr:rowOff>
    </xdr:from>
    <xdr:to>
      <xdr:col>7</xdr:col>
      <xdr:colOff>1</xdr:colOff>
      <xdr:row>359</xdr:row>
      <xdr:rowOff>35000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681617-2229-6C2A-7FE1-CCEA993E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7220" y="55042594"/>
          <a:ext cx="3946922" cy="6541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362</xdr:row>
      <xdr:rowOff>1</xdr:rowOff>
    </xdr:from>
    <xdr:to>
      <xdr:col>7</xdr:col>
      <xdr:colOff>0</xdr:colOff>
      <xdr:row>383</xdr:row>
      <xdr:rowOff>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E6406E82-0B39-F299-127F-EA8918E9B6BB}"/>
            </a:ext>
          </a:extLst>
        </xdr:cNvPr>
        <xdr:cNvGrpSpPr/>
      </xdr:nvGrpSpPr>
      <xdr:grpSpPr>
        <a:xfrm>
          <a:off x="611605" y="54563212"/>
          <a:ext cx="3960395" cy="3158289"/>
          <a:chOff x="607219" y="56126063"/>
          <a:chExt cx="6858957" cy="4636357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42009A30-1E15-20FA-8FE5-4C8F3BF19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607219" y="56126063"/>
            <a:ext cx="6858957" cy="4163006"/>
          </a:xfrm>
          <a:prstGeom prst="rect">
            <a:avLst/>
          </a:prstGeom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6F0A5413-2C2E-1D33-4CD5-B10487F628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607219" y="60305156"/>
            <a:ext cx="6792273" cy="45726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31</xdr:row>
      <xdr:rowOff>136921</xdr:rowOff>
    </xdr:from>
    <xdr:to>
      <xdr:col>7</xdr:col>
      <xdr:colOff>1</xdr:colOff>
      <xdr:row>54</xdr:row>
      <xdr:rowOff>83174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85A71-EDA6-57DA-03A5-2B47A833E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4899421"/>
          <a:ext cx="3657600" cy="3451453"/>
        </a:xfrm>
        <a:prstGeom prst="rect">
          <a:avLst/>
        </a:prstGeom>
      </xdr:spPr>
    </xdr:pic>
    <xdr:clientData/>
  </xdr:twoCellAnchor>
  <xdr:twoCellAnchor editAs="oneCell">
    <xdr:from>
      <xdr:col>8</xdr:col>
      <xdr:colOff>172642</xdr:colOff>
      <xdr:row>5</xdr:row>
      <xdr:rowOff>41671</xdr:rowOff>
    </xdr:from>
    <xdr:to>
      <xdr:col>13</xdr:col>
      <xdr:colOff>172642</xdr:colOff>
      <xdr:row>27</xdr:row>
      <xdr:rowOff>113108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5E20BC-32E3-B8CA-A682-1A111943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0392" y="851296"/>
          <a:ext cx="3036094" cy="3476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:C6"/>
  <sheetViews>
    <sheetView workbookViewId="0">
      <selection activeCell="C4" sqref="C4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113</v>
      </c>
    </row>
    <row r="3" spans="2:3" x14ac:dyDescent="0.25">
      <c r="C3" s="2" t="s">
        <v>114</v>
      </c>
    </row>
    <row r="4" spans="2:3" x14ac:dyDescent="0.25">
      <c r="C4" s="2" t="s">
        <v>115</v>
      </c>
    </row>
    <row r="5" spans="2:3" x14ac:dyDescent="0.25">
      <c r="C5" s="2" t="s">
        <v>116</v>
      </c>
    </row>
    <row r="6" spans="2:3" x14ac:dyDescent="0.25">
      <c r="C6" s="2" t="s">
        <v>117</v>
      </c>
    </row>
  </sheetData>
  <hyperlinks>
    <hyperlink ref="B2" location="'Module 20'!A1" display="Module 20" xr:uid="{31D97AC3-09F3-4CB1-B4F6-8ABF66007A97}"/>
    <hyperlink ref="C2" location="WSE20.1!A1" display="WSE20.1" xr:uid="{8C47C93C-78F4-45F6-AF32-19EC0DDA799D}"/>
    <hyperlink ref="C3" location="WSE20.2!A1" display="WSE20.2" xr:uid="{F94FB825-75FE-4B6D-AE48-12A8862B8593}"/>
    <hyperlink ref="C4" location="WSE20.3!A1" display="WSE20.3" xr:uid="{687EEC4A-BDB8-461E-A025-4F2B2CF78E60}"/>
    <hyperlink ref="C5" location="WSE20.4!A1" display="WSE20.4" xr:uid="{AB334579-20C7-4A0F-A57D-74BABB2B9A24}"/>
    <hyperlink ref="C6" location="WSE20.5!A1" display="WSE20.5" xr:uid="{F292699D-5BED-481C-A88C-C738B7DE811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G399"/>
  <sheetViews>
    <sheetView tabSelected="1" zoomScale="190" zoomScaleNormal="190" workbookViewId="0">
      <selection activeCell="B2" sqref="B2"/>
    </sheetView>
  </sheetViews>
  <sheetFormatPr defaultRowHeight="12" x14ac:dyDescent="0.2"/>
  <cols>
    <col min="1" max="1" width="9.140625" style="1"/>
    <col min="2" max="2" width="10.85546875" style="1" bestFit="1" customWidth="1"/>
    <col min="3" max="3" width="11.85546875" style="1" bestFit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2</v>
      </c>
    </row>
    <row r="4" spans="1:2" x14ac:dyDescent="0.2">
      <c r="B4" s="1" t="s">
        <v>6</v>
      </c>
    </row>
    <row r="5" spans="1:2" x14ac:dyDescent="0.2">
      <c r="B5" s="1" t="s">
        <v>3</v>
      </c>
    </row>
    <row r="6" spans="1:2" x14ac:dyDescent="0.2">
      <c r="B6" s="1" t="s">
        <v>4</v>
      </c>
    </row>
    <row r="7" spans="1:2" x14ac:dyDescent="0.2">
      <c r="B7" s="1" t="s">
        <v>5</v>
      </c>
    </row>
    <row r="8" spans="1:2" x14ac:dyDescent="0.2">
      <c r="B8" s="1" t="s">
        <v>7</v>
      </c>
    </row>
    <row r="20" spans="2:2" x14ac:dyDescent="0.2">
      <c r="B20" s="1" t="s">
        <v>8</v>
      </c>
    </row>
    <row r="21" spans="2:2" x14ac:dyDescent="0.2">
      <c r="B21" s="1" t="s">
        <v>9</v>
      </c>
    </row>
    <row r="35" spans="2:2" x14ac:dyDescent="0.2">
      <c r="B35" s="1" t="s">
        <v>10</v>
      </c>
    </row>
    <row r="36" spans="2:2" x14ac:dyDescent="0.2">
      <c r="B36" s="1" t="s">
        <v>11</v>
      </c>
    </row>
    <row r="37" spans="2:2" x14ac:dyDescent="0.2">
      <c r="B37" s="1" t="s">
        <v>12</v>
      </c>
    </row>
    <row r="39" spans="2:2" x14ac:dyDescent="0.2">
      <c r="B39" s="1" t="s">
        <v>13</v>
      </c>
    </row>
    <row r="41" spans="2:2" x14ac:dyDescent="0.2">
      <c r="B41" s="3" t="s">
        <v>14</v>
      </c>
    </row>
    <row r="43" spans="2:2" x14ac:dyDescent="0.2">
      <c r="B43" s="1" t="s">
        <v>15</v>
      </c>
    </row>
    <row r="48" spans="2:2" x14ac:dyDescent="0.2">
      <c r="B48" s="1" t="s">
        <v>16</v>
      </c>
    </row>
    <row r="50" spans="2:6" x14ac:dyDescent="0.2">
      <c r="B50" s="1" t="s">
        <v>17</v>
      </c>
    </row>
    <row r="51" spans="2:6" x14ac:dyDescent="0.2">
      <c r="B51" s="1" t="s">
        <v>18</v>
      </c>
    </row>
    <row r="53" spans="2:6" x14ac:dyDescent="0.2">
      <c r="B53" s="1" t="s">
        <v>20</v>
      </c>
      <c r="E53" s="1">
        <f>+F54</f>
        <v>500</v>
      </c>
    </row>
    <row r="54" spans="2:6" x14ac:dyDescent="0.2">
      <c r="C54" s="1" t="s">
        <v>19</v>
      </c>
      <c r="F54" s="1">
        <v>500</v>
      </c>
    </row>
    <row r="55" spans="2:6" x14ac:dyDescent="0.2">
      <c r="B55" s="1" t="s">
        <v>21</v>
      </c>
    </row>
    <row r="58" spans="2:6" x14ac:dyDescent="0.2">
      <c r="B58" s="3" t="s">
        <v>22</v>
      </c>
    </row>
    <row r="60" spans="2:6" x14ac:dyDescent="0.2">
      <c r="B60" s="1" t="s">
        <v>23</v>
      </c>
    </row>
    <row r="71" spans="2:6" x14ac:dyDescent="0.2">
      <c r="B71" s="1" t="s">
        <v>24</v>
      </c>
      <c r="E71" s="1">
        <f>300*0.25</f>
        <v>75</v>
      </c>
    </row>
    <row r="72" spans="2:6" x14ac:dyDescent="0.2">
      <c r="C72" s="1" t="s">
        <v>27</v>
      </c>
      <c r="F72" s="1">
        <f>+E71</f>
        <v>75</v>
      </c>
    </row>
    <row r="73" spans="2:6" x14ac:dyDescent="0.2">
      <c r="B73" s="1" t="s">
        <v>25</v>
      </c>
    </row>
    <row r="75" spans="2:6" x14ac:dyDescent="0.2">
      <c r="B75" s="1" t="s">
        <v>26</v>
      </c>
    </row>
    <row r="78" spans="2:6" x14ac:dyDescent="0.2">
      <c r="B78" s="1" t="s">
        <v>28</v>
      </c>
    </row>
    <row r="79" spans="2:6" x14ac:dyDescent="0.2">
      <c r="B79" s="1" t="s">
        <v>29</v>
      </c>
    </row>
    <row r="80" spans="2:6" x14ac:dyDescent="0.2">
      <c r="B80" s="1" t="s">
        <v>30</v>
      </c>
    </row>
    <row r="81" spans="2:2" x14ac:dyDescent="0.2">
      <c r="B81" s="1" t="s">
        <v>31</v>
      </c>
    </row>
    <row r="82" spans="2:2" x14ac:dyDescent="0.2">
      <c r="B82" s="1" t="s">
        <v>32</v>
      </c>
    </row>
    <row r="83" spans="2:2" x14ac:dyDescent="0.2">
      <c r="B83" s="1" t="s">
        <v>33</v>
      </c>
    </row>
    <row r="84" spans="2:2" x14ac:dyDescent="0.2">
      <c r="B84" s="1" t="s">
        <v>34</v>
      </c>
    </row>
    <row r="85" spans="2:2" x14ac:dyDescent="0.2">
      <c r="B85" s="1" t="s">
        <v>35</v>
      </c>
    </row>
    <row r="86" spans="2:2" x14ac:dyDescent="0.2">
      <c r="B86" s="1" t="s">
        <v>36</v>
      </c>
    </row>
    <row r="90" spans="2:2" x14ac:dyDescent="0.2">
      <c r="B90" s="3" t="s">
        <v>37</v>
      </c>
    </row>
    <row r="92" spans="2:2" x14ac:dyDescent="0.2">
      <c r="B92" s="1" t="s">
        <v>38</v>
      </c>
    </row>
    <row r="118" spans="2:2" x14ac:dyDescent="0.2">
      <c r="B118" s="1" t="s">
        <v>39</v>
      </c>
    </row>
    <row r="119" spans="2:2" x14ac:dyDescent="0.2">
      <c r="B119" s="1" t="s">
        <v>40</v>
      </c>
    </row>
    <row r="121" spans="2:2" x14ac:dyDescent="0.2">
      <c r="B121" s="1" t="s">
        <v>41</v>
      </c>
    </row>
    <row r="137" spans="2:4" x14ac:dyDescent="0.2">
      <c r="B137" s="1" t="s">
        <v>42</v>
      </c>
    </row>
    <row r="139" spans="2:4" ht="12.75" thickBot="1" x14ac:dyDescent="0.25"/>
    <row r="140" spans="2:4" x14ac:dyDescent="0.2">
      <c r="B140" s="4" t="s">
        <v>46</v>
      </c>
      <c r="C140" s="5" t="s">
        <v>43</v>
      </c>
      <c r="D140" s="6" t="s">
        <v>18</v>
      </c>
    </row>
    <row r="141" spans="2:4" ht="12.75" thickBot="1" x14ac:dyDescent="0.25">
      <c r="B141" s="7" t="s">
        <v>47</v>
      </c>
      <c r="C141" s="8" t="s">
        <v>44</v>
      </c>
      <c r="D141" s="9" t="s">
        <v>45</v>
      </c>
    </row>
    <row r="162" spans="2:7" x14ac:dyDescent="0.2">
      <c r="C162" s="1" t="s">
        <v>48</v>
      </c>
      <c r="D162" s="1" t="s">
        <v>49</v>
      </c>
      <c r="E162" s="1" t="s">
        <v>50</v>
      </c>
      <c r="F162" s="1" t="s">
        <v>18</v>
      </c>
    </row>
    <row r="163" spans="2:7" x14ac:dyDescent="0.2">
      <c r="B163" s="10">
        <v>45016</v>
      </c>
      <c r="F163" s="1">
        <v>23</v>
      </c>
      <c r="G163" s="1" t="s">
        <v>51</v>
      </c>
    </row>
    <row r="164" spans="2:7" x14ac:dyDescent="0.2">
      <c r="B164" s="10">
        <v>45382</v>
      </c>
      <c r="C164" s="1">
        <v>450</v>
      </c>
      <c r="D164" s="1">
        <v>310</v>
      </c>
      <c r="E164" s="1">
        <f>+C164-D164</f>
        <v>140</v>
      </c>
      <c r="F164" s="1">
        <f>+E164*0.25</f>
        <v>35</v>
      </c>
      <c r="G164" s="1" t="s">
        <v>51</v>
      </c>
    </row>
    <row r="167" spans="2:7" x14ac:dyDescent="0.2">
      <c r="B167" s="1" t="s">
        <v>20</v>
      </c>
      <c r="E167" s="1">
        <f>+F168</f>
        <v>12</v>
      </c>
    </row>
    <row r="168" spans="2:7" x14ac:dyDescent="0.2">
      <c r="C168" s="1" t="s">
        <v>19</v>
      </c>
      <c r="F168" s="1">
        <f>+F164-F163</f>
        <v>12</v>
      </c>
    </row>
    <row r="169" spans="2:7" x14ac:dyDescent="0.2">
      <c r="B169" s="1" t="s">
        <v>52</v>
      </c>
    </row>
    <row r="172" spans="2:7" x14ac:dyDescent="0.2">
      <c r="B172" s="1" t="s">
        <v>53</v>
      </c>
    </row>
    <row r="174" spans="2:7" x14ac:dyDescent="0.2">
      <c r="C174" s="1" t="s">
        <v>48</v>
      </c>
      <c r="D174" s="1" t="s">
        <v>49</v>
      </c>
      <c r="E174" s="1" t="s">
        <v>50</v>
      </c>
      <c r="F174" s="1" t="s">
        <v>45</v>
      </c>
    </row>
    <row r="175" spans="2:7" x14ac:dyDescent="0.2">
      <c r="B175" s="10">
        <v>45016</v>
      </c>
      <c r="C175" s="11"/>
      <c r="D175" s="11"/>
      <c r="E175" s="11"/>
      <c r="F175" s="11">
        <v>10</v>
      </c>
      <c r="G175" s="1" t="s">
        <v>54</v>
      </c>
    </row>
    <row r="176" spans="2:7" x14ac:dyDescent="0.2">
      <c r="B176" s="10">
        <v>45382</v>
      </c>
      <c r="C176" s="11">
        <v>725</v>
      </c>
      <c r="D176" s="11">
        <v>850</v>
      </c>
      <c r="E176" s="11">
        <f>+C176-D176</f>
        <v>-125</v>
      </c>
      <c r="F176" s="11">
        <f>+-E176*0.25</f>
        <v>31.25</v>
      </c>
      <c r="G176" s="1" t="s">
        <v>54</v>
      </c>
    </row>
    <row r="177" spans="2:6" x14ac:dyDescent="0.2">
      <c r="C177" s="11"/>
      <c r="D177" s="11"/>
      <c r="E177" s="11"/>
      <c r="F177" s="11"/>
    </row>
    <row r="178" spans="2:6" x14ac:dyDescent="0.2">
      <c r="C178" s="11"/>
      <c r="D178" s="11"/>
      <c r="E178" s="11"/>
      <c r="F178" s="11"/>
    </row>
    <row r="179" spans="2:6" x14ac:dyDescent="0.2">
      <c r="B179" s="1" t="s">
        <v>20</v>
      </c>
      <c r="C179" s="11"/>
      <c r="D179" s="11"/>
      <c r="E179" s="11">
        <f>+F176-F175</f>
        <v>21.25</v>
      </c>
      <c r="F179" s="11"/>
    </row>
    <row r="180" spans="2:6" x14ac:dyDescent="0.2">
      <c r="C180" s="11" t="s">
        <v>19</v>
      </c>
      <c r="D180" s="11"/>
      <c r="E180" s="11"/>
      <c r="F180" s="11">
        <f>+E179</f>
        <v>21.25</v>
      </c>
    </row>
    <row r="181" spans="2:6" x14ac:dyDescent="0.2">
      <c r="B181" s="1" t="s">
        <v>56</v>
      </c>
      <c r="C181" s="11"/>
      <c r="D181" s="11"/>
      <c r="E181" s="11"/>
      <c r="F181" s="11"/>
    </row>
    <row r="190" spans="2:6" x14ac:dyDescent="0.2">
      <c r="B190" s="1" t="s">
        <v>58</v>
      </c>
    </row>
    <row r="191" spans="2:6" x14ac:dyDescent="0.2">
      <c r="B191" s="1" t="s">
        <v>59</v>
      </c>
    </row>
    <row r="193" spans="2:2" x14ac:dyDescent="0.2">
      <c r="B193" s="3" t="s">
        <v>57</v>
      </c>
    </row>
    <row r="195" spans="2:2" x14ac:dyDescent="0.2">
      <c r="B195" s="1" t="s">
        <v>60</v>
      </c>
    </row>
    <row r="221" spans="2:4" x14ac:dyDescent="0.2">
      <c r="B221" s="1" t="s">
        <v>61</v>
      </c>
    </row>
    <row r="222" spans="2:4" x14ac:dyDescent="0.2">
      <c r="B222" s="1" t="s">
        <v>48</v>
      </c>
      <c r="D222" s="1">
        <v>610</v>
      </c>
    </row>
    <row r="223" spans="2:4" x14ac:dyDescent="0.2">
      <c r="B223" s="1" t="s">
        <v>63</v>
      </c>
      <c r="D223" s="1">
        <v>-450</v>
      </c>
    </row>
    <row r="224" spans="2:4" x14ac:dyDescent="0.2">
      <c r="B224" s="1" t="s">
        <v>62</v>
      </c>
      <c r="D224" s="1">
        <f>SUM(D222:D223)</f>
        <v>160</v>
      </c>
    </row>
    <row r="225" spans="2:6" x14ac:dyDescent="0.2">
      <c r="B225" s="1" t="s">
        <v>18</v>
      </c>
      <c r="C225" s="1">
        <v>0.25</v>
      </c>
      <c r="D225" s="1">
        <f>+C225*D224</f>
        <v>40</v>
      </c>
    </row>
    <row r="227" spans="2:6" x14ac:dyDescent="0.2">
      <c r="B227" s="1" t="s">
        <v>64</v>
      </c>
      <c r="E227" s="1">
        <f>+D225</f>
        <v>40</v>
      </c>
    </row>
    <row r="228" spans="2:6" x14ac:dyDescent="0.2">
      <c r="C228" s="1" t="s">
        <v>19</v>
      </c>
      <c r="F228" s="1">
        <f>+E227</f>
        <v>40</v>
      </c>
    </row>
    <row r="229" spans="2:6" x14ac:dyDescent="0.2">
      <c r="B229" s="1" t="s">
        <v>65</v>
      </c>
    </row>
    <row r="232" spans="2:6" x14ac:dyDescent="0.2">
      <c r="B232" s="1" t="s">
        <v>66</v>
      </c>
    </row>
    <row r="233" spans="2:6" x14ac:dyDescent="0.2">
      <c r="B233" s="1" t="s">
        <v>67</v>
      </c>
    </row>
    <row r="234" spans="2:6" x14ac:dyDescent="0.2">
      <c r="B234" s="1" t="s">
        <v>68</v>
      </c>
    </row>
    <row r="253" spans="2:2" x14ac:dyDescent="0.2">
      <c r="B253" s="1" t="s">
        <v>69</v>
      </c>
    </row>
    <row r="301" spans="2:2" x14ac:dyDescent="0.2">
      <c r="B301" s="1" t="s">
        <v>70</v>
      </c>
    </row>
    <row r="329" spans="2:7" x14ac:dyDescent="0.2">
      <c r="B329" s="3" t="s">
        <v>71</v>
      </c>
    </row>
    <row r="330" spans="2:7" ht="12.75" thickBot="1" x14ac:dyDescent="0.25">
      <c r="B330" s="3"/>
    </row>
    <row r="331" spans="2:7" x14ac:dyDescent="0.2">
      <c r="B331" s="4" t="s">
        <v>46</v>
      </c>
      <c r="C331" s="5" t="s">
        <v>78</v>
      </c>
      <c r="D331" s="6" t="s">
        <v>18</v>
      </c>
    </row>
    <row r="332" spans="2:7" ht="12.75" thickBot="1" x14ac:dyDescent="0.25">
      <c r="B332" s="7" t="s">
        <v>47</v>
      </c>
      <c r="C332" s="8" t="s">
        <v>44</v>
      </c>
      <c r="D332" s="9" t="s">
        <v>45</v>
      </c>
    </row>
    <row r="333" spans="2:7" x14ac:dyDescent="0.2">
      <c r="B333" s="12"/>
      <c r="C333" s="12"/>
      <c r="D333" s="12"/>
    </row>
    <row r="334" spans="2:7" x14ac:dyDescent="0.2">
      <c r="C334" s="1" t="s">
        <v>48</v>
      </c>
      <c r="D334" s="1" t="s">
        <v>63</v>
      </c>
      <c r="E334" s="1" t="s">
        <v>50</v>
      </c>
      <c r="F334" s="1" t="s">
        <v>72</v>
      </c>
    </row>
    <row r="335" spans="2:7" x14ac:dyDescent="0.2">
      <c r="B335" s="1" t="s">
        <v>73</v>
      </c>
      <c r="C335" s="13">
        <v>900</v>
      </c>
      <c r="D335" s="13">
        <f>+C335-350</f>
        <v>550</v>
      </c>
      <c r="E335" s="13">
        <f>+C335-D335</f>
        <v>350</v>
      </c>
      <c r="F335" s="13">
        <f>+E335*0.25</f>
        <v>87.5</v>
      </c>
      <c r="G335" s="1" t="str">
        <f>IF(C335&gt;D335,"cr","dr")</f>
        <v>cr</v>
      </c>
    </row>
    <row r="336" spans="2:7" x14ac:dyDescent="0.2">
      <c r="B336" s="1" t="s">
        <v>74</v>
      </c>
      <c r="C336" s="13">
        <v>400</v>
      </c>
      <c r="D336" s="13">
        <v>0</v>
      </c>
      <c r="E336" s="13">
        <f>+C336-D336</f>
        <v>400</v>
      </c>
      <c r="F336" s="13">
        <f>+E336*0.25</f>
        <v>100</v>
      </c>
      <c r="G336" s="1" t="str">
        <f>IF(C336&gt;D336,"cr","dr")</f>
        <v>cr</v>
      </c>
    </row>
    <row r="337" spans="2:7" x14ac:dyDescent="0.2">
      <c r="B337" s="1" t="s">
        <v>75</v>
      </c>
      <c r="C337" s="13">
        <v>1500</v>
      </c>
      <c r="D337" s="13">
        <v>610</v>
      </c>
      <c r="E337" s="13">
        <f>+C337-D337</f>
        <v>890</v>
      </c>
      <c r="F337" s="13">
        <f>+E337*0.25</f>
        <v>222.5</v>
      </c>
      <c r="G337" s="1" t="str">
        <f>IF(C337&gt;D337,"cr","dr")</f>
        <v>cr</v>
      </c>
    </row>
    <row r="338" spans="2:7" x14ac:dyDescent="0.2">
      <c r="B338" s="1" t="s">
        <v>76</v>
      </c>
      <c r="C338" s="13">
        <v>-150</v>
      </c>
      <c r="D338" s="13">
        <v>0</v>
      </c>
      <c r="E338" s="13">
        <f>+C338-D338</f>
        <v>-150</v>
      </c>
      <c r="F338" s="13">
        <f>+E338*0.25</f>
        <v>-37.5</v>
      </c>
      <c r="G338" s="1" t="str">
        <f>IF(C338&gt;D338,"cr","dr")</f>
        <v>dr</v>
      </c>
    </row>
    <row r="339" spans="2:7" x14ac:dyDescent="0.2">
      <c r="B339" s="1" t="s">
        <v>77</v>
      </c>
      <c r="C339" s="13">
        <v>-600</v>
      </c>
      <c r="D339" s="13">
        <v>0</v>
      </c>
      <c r="E339" s="13">
        <f>+C339-D339</f>
        <v>-600</v>
      </c>
      <c r="F339" s="13">
        <f>+E339*0.25</f>
        <v>-150</v>
      </c>
      <c r="G339" s="1" t="str">
        <f>IF(C339&gt;D339,"cr","dr")</f>
        <v>dr</v>
      </c>
    </row>
    <row r="342" spans="2:7" x14ac:dyDescent="0.2">
      <c r="B342" s="1" t="s">
        <v>79</v>
      </c>
      <c r="F342" s="13">
        <f>SUM(F335:F339)</f>
        <v>222.5</v>
      </c>
      <c r="G342" s="1" t="s">
        <v>55</v>
      </c>
    </row>
    <row r="344" spans="2:7" x14ac:dyDescent="0.2">
      <c r="F344" s="1">
        <v>200</v>
      </c>
      <c r="G344" s="1" t="s">
        <v>55</v>
      </c>
    </row>
    <row r="345" spans="2:7" x14ac:dyDescent="0.2">
      <c r="B345" s="1" t="s">
        <v>85</v>
      </c>
      <c r="F345" s="13">
        <f>+F342-F344</f>
        <v>22.5</v>
      </c>
      <c r="G345" s="1" t="s">
        <v>55</v>
      </c>
    </row>
    <row r="347" spans="2:7" x14ac:dyDescent="0.2">
      <c r="B347" s="1" t="s">
        <v>80</v>
      </c>
    </row>
    <row r="348" spans="2:7" x14ac:dyDescent="0.2">
      <c r="B348" s="1" t="s">
        <v>83</v>
      </c>
      <c r="E348" s="13">
        <f>+F336</f>
        <v>100</v>
      </c>
    </row>
    <row r="349" spans="2:7" x14ac:dyDescent="0.2">
      <c r="B349" s="1" t="s">
        <v>84</v>
      </c>
      <c r="F349" s="13">
        <f>+E348-F350</f>
        <v>77.5</v>
      </c>
    </row>
    <row r="350" spans="2:7" x14ac:dyDescent="0.2">
      <c r="C350" s="1" t="s">
        <v>82</v>
      </c>
      <c r="F350" s="13">
        <f>+F342-F344</f>
        <v>22.5</v>
      </c>
    </row>
    <row r="351" spans="2:7" x14ac:dyDescent="0.2">
      <c r="B351" s="1" t="s">
        <v>81</v>
      </c>
    </row>
    <row r="354" spans="2:2" x14ac:dyDescent="0.2">
      <c r="B354" s="1" t="s">
        <v>86</v>
      </c>
    </row>
    <row r="361" spans="2:2" x14ac:dyDescent="0.2">
      <c r="B361" s="1" t="s">
        <v>87</v>
      </c>
    </row>
    <row r="385" spans="2:5" x14ac:dyDescent="0.2">
      <c r="B385" s="1" t="s">
        <v>88</v>
      </c>
    </row>
    <row r="386" spans="2:5" x14ac:dyDescent="0.2">
      <c r="C386" s="1" t="s">
        <v>50</v>
      </c>
      <c r="D386" s="1" t="s">
        <v>72</v>
      </c>
    </row>
    <row r="387" spans="2:5" x14ac:dyDescent="0.2">
      <c r="B387" s="1" t="s">
        <v>89</v>
      </c>
      <c r="C387" s="1">
        <v>1500</v>
      </c>
      <c r="D387" s="1">
        <f>+C387*0.25</f>
        <v>375</v>
      </c>
      <c r="E387" s="1" t="s">
        <v>55</v>
      </c>
    </row>
    <row r="388" spans="2:5" x14ac:dyDescent="0.2">
      <c r="B388" s="1" t="s">
        <v>90</v>
      </c>
      <c r="C388" s="1">
        <v>400</v>
      </c>
      <c r="D388" s="1">
        <f>+C388*0.25</f>
        <v>100</v>
      </c>
      <c r="E388" s="1" t="s">
        <v>55</v>
      </c>
    </row>
    <row r="389" spans="2:5" x14ac:dyDescent="0.2">
      <c r="B389" s="1" t="s">
        <v>91</v>
      </c>
      <c r="C389" s="1">
        <v>-2200</v>
      </c>
      <c r="D389" s="15">
        <f>+C389*0.25</f>
        <v>-550</v>
      </c>
      <c r="E389" s="1" t="s">
        <v>54</v>
      </c>
    </row>
    <row r="390" spans="2:5" ht="12.75" thickBot="1" x14ac:dyDescent="0.25">
      <c r="B390" s="1" t="s">
        <v>92</v>
      </c>
      <c r="D390" s="14">
        <f>SUM(D387:D389)</f>
        <v>-75</v>
      </c>
      <c r="E390" s="1" t="s">
        <v>54</v>
      </c>
    </row>
    <row r="391" spans="2:5" ht="12.75" thickTop="1" x14ac:dyDescent="0.2"/>
    <row r="393" spans="2:5" x14ac:dyDescent="0.2">
      <c r="B393" s="3" t="s">
        <v>93</v>
      </c>
    </row>
    <row r="394" spans="2:5" x14ac:dyDescent="0.2">
      <c r="B394" s="1" t="s">
        <v>94</v>
      </c>
    </row>
    <row r="395" spans="2:5" x14ac:dyDescent="0.2">
      <c r="B395" s="1" t="s">
        <v>95</v>
      </c>
    </row>
    <row r="396" spans="2:5" x14ac:dyDescent="0.2">
      <c r="B396" s="1" t="s">
        <v>96</v>
      </c>
    </row>
    <row r="398" spans="2:5" x14ac:dyDescent="0.2">
      <c r="B398" s="3" t="s">
        <v>97</v>
      </c>
    </row>
    <row r="399" spans="2:5" x14ac:dyDescent="0.2">
      <c r="B399" s="1" t="s">
        <v>98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EC3B-C07E-4213-8B84-CB61691C92F1}">
  <dimension ref="A1:I38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99</v>
      </c>
    </row>
    <row r="4" spans="1:8" x14ac:dyDescent="0.2">
      <c r="B4" s="10">
        <v>44286</v>
      </c>
      <c r="G4" s="16"/>
    </row>
    <row r="5" spans="1:8" x14ac:dyDescent="0.2">
      <c r="B5" s="1" t="s">
        <v>100</v>
      </c>
      <c r="C5" s="16">
        <v>1000</v>
      </c>
      <c r="D5" s="16">
        <v>1000</v>
      </c>
    </row>
    <row r="6" spans="1:8" x14ac:dyDescent="0.2">
      <c r="B6" s="1" t="s">
        <v>101</v>
      </c>
      <c r="C6" s="16">
        <f>+C5*1/10</f>
        <v>100</v>
      </c>
      <c r="D6" s="16">
        <f>+D5*1/3</f>
        <v>333.33333333333331</v>
      </c>
      <c r="G6" s="1" t="s">
        <v>103</v>
      </c>
      <c r="H6" s="16">
        <f>+H7</f>
        <v>19.999999999999972</v>
      </c>
    </row>
    <row r="7" spans="1:8" x14ac:dyDescent="0.2">
      <c r="B7" s="1" t="s">
        <v>48</v>
      </c>
      <c r="C7" s="17">
        <f>+C5-C6</f>
        <v>900</v>
      </c>
      <c r="D7" s="17">
        <f>+D5-D6</f>
        <v>666.66666666666674</v>
      </c>
      <c r="G7" s="1" t="s">
        <v>102</v>
      </c>
      <c r="H7" s="16">
        <f>+C10</f>
        <v>19.999999999999972</v>
      </c>
    </row>
    <row r="8" spans="1:8" x14ac:dyDescent="0.2">
      <c r="B8" s="1" t="s">
        <v>63</v>
      </c>
      <c r="C8" s="17">
        <f>+C5*(1-0.18)</f>
        <v>820.00000000000011</v>
      </c>
      <c r="D8" s="17">
        <f>+D5*(1-0.18)</f>
        <v>820.00000000000011</v>
      </c>
    </row>
    <row r="9" spans="1:8" x14ac:dyDescent="0.2">
      <c r="B9" s="1" t="s">
        <v>50</v>
      </c>
      <c r="C9" s="16">
        <f>+C7-C8</f>
        <v>79.999999999999886</v>
      </c>
      <c r="D9" s="16">
        <f>+D7-D8</f>
        <v>-153.33333333333337</v>
      </c>
      <c r="G9" s="1" t="s">
        <v>104</v>
      </c>
      <c r="H9" s="16">
        <f>-D10</f>
        <v>38.333333333333343</v>
      </c>
    </row>
    <row r="10" spans="1:8" x14ac:dyDescent="0.2">
      <c r="B10" s="1" t="s">
        <v>72</v>
      </c>
      <c r="C10" s="16">
        <f>+C9*0.25</f>
        <v>19.999999999999972</v>
      </c>
      <c r="D10" s="16">
        <f>+D9*0.25</f>
        <v>-38.333333333333343</v>
      </c>
      <c r="G10" s="1" t="s">
        <v>105</v>
      </c>
      <c r="H10" s="16">
        <f>+H9</f>
        <v>38.333333333333343</v>
      </c>
    </row>
    <row r="11" spans="1:8" x14ac:dyDescent="0.2">
      <c r="C11" s="1" t="s">
        <v>55</v>
      </c>
      <c r="D11" s="1" t="s">
        <v>54</v>
      </c>
    </row>
    <row r="13" spans="1:8" x14ac:dyDescent="0.2">
      <c r="B13" s="10">
        <v>44651</v>
      </c>
    </row>
    <row r="14" spans="1:8" x14ac:dyDescent="0.2">
      <c r="B14" s="1" t="s">
        <v>100</v>
      </c>
      <c r="C14" s="16">
        <v>1000</v>
      </c>
      <c r="D14" s="16">
        <v>1000</v>
      </c>
    </row>
    <row r="15" spans="1:8" x14ac:dyDescent="0.2">
      <c r="B15" s="1" t="s">
        <v>101</v>
      </c>
      <c r="C15" s="16">
        <f>+C14*2/10</f>
        <v>200</v>
      </c>
      <c r="D15" s="16">
        <f>+D14*2/3</f>
        <v>666.66666666666663</v>
      </c>
      <c r="G15" s="1" t="s">
        <v>103</v>
      </c>
      <c r="H15" s="16">
        <f>+H16</f>
        <v>11.900000000000006</v>
      </c>
    </row>
    <row r="16" spans="1:8" x14ac:dyDescent="0.2">
      <c r="B16" s="1" t="s">
        <v>48</v>
      </c>
      <c r="C16" s="17">
        <f>+C14-C15</f>
        <v>800</v>
      </c>
      <c r="D16" s="17">
        <f>+D14-D15</f>
        <v>333.33333333333337</v>
      </c>
      <c r="G16" s="1" t="s">
        <v>102</v>
      </c>
      <c r="H16" s="16">
        <f>+C19-H7</f>
        <v>11.900000000000006</v>
      </c>
    </row>
    <row r="17" spans="2:8" x14ac:dyDescent="0.2">
      <c r="B17" s="1" t="s">
        <v>63</v>
      </c>
      <c r="C17" s="17">
        <f>+C14*(1-0.18)^2</f>
        <v>672.40000000000009</v>
      </c>
      <c r="D17" s="17">
        <f>+D14*(1-0.18)^2</f>
        <v>672.40000000000009</v>
      </c>
    </row>
    <row r="18" spans="2:8" x14ac:dyDescent="0.2">
      <c r="B18" s="1" t="s">
        <v>50</v>
      </c>
      <c r="C18" s="16">
        <f>+C16-C17</f>
        <v>127.59999999999991</v>
      </c>
      <c r="D18" s="16">
        <f>+D16-D17</f>
        <v>-339.06666666666672</v>
      </c>
      <c r="G18" s="1" t="s">
        <v>104</v>
      </c>
      <c r="H18" s="16">
        <f>-D19+-H9</f>
        <v>46.433333333333337</v>
      </c>
    </row>
    <row r="19" spans="2:8" x14ac:dyDescent="0.2">
      <c r="B19" s="1" t="s">
        <v>72</v>
      </c>
      <c r="C19" s="16">
        <f>+C18*0.25</f>
        <v>31.899999999999977</v>
      </c>
      <c r="D19" s="16">
        <f>+D18*0.25</f>
        <v>-84.76666666666668</v>
      </c>
      <c r="G19" s="1" t="s">
        <v>105</v>
      </c>
      <c r="H19" s="16">
        <f>+H18</f>
        <v>46.433333333333337</v>
      </c>
    </row>
    <row r="20" spans="2:8" x14ac:dyDescent="0.2">
      <c r="C20" s="1" t="s">
        <v>55</v>
      </c>
      <c r="D20" s="1" t="s">
        <v>54</v>
      </c>
    </row>
    <row r="22" spans="2:8" x14ac:dyDescent="0.2">
      <c r="B22" s="10">
        <v>44651</v>
      </c>
    </row>
    <row r="23" spans="2:8" x14ac:dyDescent="0.2">
      <c r="B23" s="1" t="s">
        <v>100</v>
      </c>
      <c r="C23" s="16">
        <v>1000</v>
      </c>
      <c r="D23" s="16">
        <v>1000</v>
      </c>
    </row>
    <row r="24" spans="2:8" x14ac:dyDescent="0.2">
      <c r="B24" s="1" t="s">
        <v>101</v>
      </c>
      <c r="C24" s="16">
        <f>+C23*3/10</f>
        <v>300</v>
      </c>
      <c r="D24" s="16">
        <f>+D23*3/3</f>
        <v>1000</v>
      </c>
      <c r="G24" s="1" t="s">
        <v>103</v>
      </c>
      <c r="H24" s="16">
        <f>+H25</f>
        <v>5.2580000000000098</v>
      </c>
    </row>
    <row r="25" spans="2:8" x14ac:dyDescent="0.2">
      <c r="B25" s="1" t="s">
        <v>48</v>
      </c>
      <c r="C25" s="17">
        <f>+C23-C24</f>
        <v>700</v>
      </c>
      <c r="D25" s="17">
        <f>+D23-D24</f>
        <v>0</v>
      </c>
      <c r="G25" s="1" t="s">
        <v>102</v>
      </c>
      <c r="H25" s="16">
        <f>+C28-H16-H6</f>
        <v>5.2580000000000098</v>
      </c>
    </row>
    <row r="26" spans="2:8" x14ac:dyDescent="0.2">
      <c r="B26" s="1" t="s">
        <v>63</v>
      </c>
      <c r="C26" s="17">
        <f>+C23*(1-0.18)^3</f>
        <v>551.36800000000005</v>
      </c>
      <c r="D26" s="17">
        <f>+D23*(1-0.18)^3</f>
        <v>551.36800000000005</v>
      </c>
    </row>
    <row r="27" spans="2:8" x14ac:dyDescent="0.2">
      <c r="B27" s="1" t="s">
        <v>50</v>
      </c>
      <c r="C27" s="16">
        <f>+C25-C26</f>
        <v>148.63199999999995</v>
      </c>
      <c r="D27" s="16">
        <f>+D25-D26</f>
        <v>-551.36800000000005</v>
      </c>
      <c r="G27" s="1" t="s">
        <v>104</v>
      </c>
      <c r="H27" s="16">
        <f>-D28+-H18-H9</f>
        <v>53.075333333333333</v>
      </c>
    </row>
    <row r="28" spans="2:8" x14ac:dyDescent="0.2">
      <c r="B28" s="1" t="s">
        <v>72</v>
      </c>
      <c r="C28" s="16">
        <f>+C27*0.25</f>
        <v>37.157999999999987</v>
      </c>
      <c r="D28" s="16">
        <f>+D27*0.25</f>
        <v>-137.84200000000001</v>
      </c>
      <c r="G28" s="1" t="s">
        <v>105</v>
      </c>
      <c r="H28" s="16">
        <f>+H27</f>
        <v>53.075333333333333</v>
      </c>
    </row>
    <row r="29" spans="2:8" x14ac:dyDescent="0.2">
      <c r="C29" s="1" t="s">
        <v>55</v>
      </c>
      <c r="D29" s="1" t="s">
        <v>54</v>
      </c>
    </row>
    <row r="38" spans="9:9" x14ac:dyDescent="0.2">
      <c r="I38" s="1">
        <f>138-85</f>
        <v>53</v>
      </c>
    </row>
  </sheetData>
  <hyperlinks>
    <hyperlink ref="A1" location="Main!A1" display="Main" xr:uid="{0CEE1F90-8164-41A5-AC0D-D0C804CE66B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21BE-7E3B-4923-B861-0131D22061CB}">
  <dimension ref="A1:F20"/>
  <sheetViews>
    <sheetView zoomScale="175" zoomScaleNormal="175" workbookViewId="0">
      <selection activeCell="B6" sqref="B6:F21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106</v>
      </c>
    </row>
    <row r="3" spans="1:6" x14ac:dyDescent="0.2">
      <c r="B3" s="1" t="s">
        <v>107</v>
      </c>
      <c r="C3" s="10">
        <v>45016</v>
      </c>
    </row>
    <row r="6" spans="1:6" x14ac:dyDescent="0.2">
      <c r="C6" s="1" t="s">
        <v>48</v>
      </c>
      <c r="D6" s="1" t="s">
        <v>63</v>
      </c>
      <c r="E6" s="1" t="s">
        <v>50</v>
      </c>
      <c r="F6" s="1" t="s">
        <v>72</v>
      </c>
    </row>
    <row r="7" spans="1:6" x14ac:dyDescent="0.2">
      <c r="B7" s="1" t="s">
        <v>75</v>
      </c>
      <c r="C7" s="16">
        <v>40000</v>
      </c>
      <c r="D7" s="16">
        <v>28000</v>
      </c>
      <c r="E7" s="16">
        <f>+C7-D7</f>
        <v>12000</v>
      </c>
      <c r="F7" s="16">
        <f>0.25*E7</f>
        <v>3000</v>
      </c>
    </row>
    <row r="8" spans="1:6" x14ac:dyDescent="0.2">
      <c r="B8" s="1" t="s">
        <v>108</v>
      </c>
      <c r="C8" s="16">
        <v>10000</v>
      </c>
      <c r="D8" s="16">
        <v>0</v>
      </c>
      <c r="E8" s="16">
        <f>+C8-D8</f>
        <v>10000</v>
      </c>
      <c r="F8" s="16">
        <f>0.25*E8</f>
        <v>2500</v>
      </c>
    </row>
    <row r="9" spans="1:6" x14ac:dyDescent="0.2">
      <c r="B9" s="1" t="s">
        <v>109</v>
      </c>
      <c r="C9" s="16">
        <v>1000</v>
      </c>
      <c r="D9" s="16">
        <v>0</v>
      </c>
      <c r="E9" s="16">
        <f>+C9-D9</f>
        <v>1000</v>
      </c>
      <c r="F9" s="16">
        <f>0.25*E9</f>
        <v>250</v>
      </c>
    </row>
    <row r="10" spans="1:6" x14ac:dyDescent="0.2">
      <c r="C10" s="16"/>
      <c r="D10" s="16"/>
      <c r="E10" s="16"/>
      <c r="F10" s="16">
        <f>SUM(F7:F9)</f>
        <v>5750</v>
      </c>
    </row>
    <row r="11" spans="1:6" x14ac:dyDescent="0.2">
      <c r="C11" s="16"/>
      <c r="D11" s="16"/>
      <c r="E11" s="16"/>
      <c r="F11" s="16"/>
    </row>
    <row r="12" spans="1:6" x14ac:dyDescent="0.2">
      <c r="C12" s="16"/>
      <c r="D12" s="16"/>
      <c r="E12" s="16"/>
      <c r="F12" s="16"/>
    </row>
    <row r="13" spans="1:6" x14ac:dyDescent="0.2">
      <c r="B13" s="1" t="s">
        <v>110</v>
      </c>
      <c r="C13" s="16"/>
      <c r="D13" s="16"/>
      <c r="E13" s="16"/>
      <c r="F13" s="16">
        <v>1200</v>
      </c>
    </row>
    <row r="14" spans="1:6" x14ac:dyDescent="0.2">
      <c r="C14" s="16"/>
      <c r="D14" s="16"/>
      <c r="E14" s="16"/>
      <c r="F14" s="16">
        <f>+F10-F13</f>
        <v>4550</v>
      </c>
    </row>
    <row r="15" spans="1:6" x14ac:dyDescent="0.2">
      <c r="C15" s="16"/>
      <c r="D15" s="16"/>
      <c r="E15" s="16"/>
      <c r="F15" s="16"/>
    </row>
    <row r="16" spans="1:6" x14ac:dyDescent="0.2">
      <c r="C16" s="16"/>
      <c r="D16" s="16"/>
      <c r="E16" s="16"/>
      <c r="F16" s="16"/>
    </row>
    <row r="17" spans="2:6" x14ac:dyDescent="0.2">
      <c r="B17" s="1" t="s">
        <v>111</v>
      </c>
      <c r="C17" s="16"/>
      <c r="D17" s="16"/>
      <c r="E17" s="16">
        <f>+F19-E18</f>
        <v>2050</v>
      </c>
      <c r="F17" s="16"/>
    </row>
    <row r="18" spans="2:6" x14ac:dyDescent="0.2">
      <c r="B18" s="1" t="s">
        <v>112</v>
      </c>
      <c r="C18" s="16"/>
      <c r="D18" s="16"/>
      <c r="E18" s="16">
        <f>+F8</f>
        <v>2500</v>
      </c>
      <c r="F18" s="16"/>
    </row>
    <row r="19" spans="2:6" x14ac:dyDescent="0.2">
      <c r="C19" s="16" t="s">
        <v>19</v>
      </c>
      <c r="D19" s="16"/>
      <c r="E19" s="16"/>
      <c r="F19" s="16">
        <f>+F14</f>
        <v>4550</v>
      </c>
    </row>
    <row r="20" spans="2:6" x14ac:dyDescent="0.2">
      <c r="B20" s="1" t="s">
        <v>52</v>
      </c>
    </row>
  </sheetData>
  <hyperlinks>
    <hyperlink ref="A1" location="Main!A1" display="Main" xr:uid="{BBB9CB63-F9DB-425B-B1DD-66CB07FE60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C99A-9EAF-429C-9A14-6444D7244CA3}">
  <dimension ref="A1:F27"/>
  <sheetViews>
    <sheetView zoomScale="190" zoomScaleNormal="190" workbookViewId="0">
      <selection activeCell="B13" sqref="B13:F27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118</v>
      </c>
    </row>
    <row r="3" spans="1:6" x14ac:dyDescent="0.2">
      <c r="B3" s="1" t="s">
        <v>107</v>
      </c>
      <c r="C3" s="10">
        <v>45016</v>
      </c>
    </row>
    <row r="7" spans="1:6" x14ac:dyDescent="0.2">
      <c r="B7" s="10">
        <v>44651</v>
      </c>
    </row>
    <row r="8" spans="1:6" x14ac:dyDescent="0.2">
      <c r="B8" s="1" t="s">
        <v>18</v>
      </c>
      <c r="C8" s="1">
        <v>1800</v>
      </c>
      <c r="D8" s="1" t="s">
        <v>121</v>
      </c>
    </row>
    <row r="9" spans="1:6" x14ac:dyDescent="0.2">
      <c r="B9" s="1" t="s">
        <v>119</v>
      </c>
    </row>
    <row r="11" spans="1:6" x14ac:dyDescent="0.2">
      <c r="B11" s="1" t="s">
        <v>120</v>
      </c>
    </row>
    <row r="13" spans="1:6" x14ac:dyDescent="0.2">
      <c r="C13" s="1" t="s">
        <v>48</v>
      </c>
      <c r="D13" s="1" t="s">
        <v>63</v>
      </c>
      <c r="E13" s="1" t="s">
        <v>50</v>
      </c>
      <c r="F13" s="1" t="s">
        <v>72</v>
      </c>
    </row>
    <row r="14" spans="1:6" x14ac:dyDescent="0.2">
      <c r="B14" s="1" t="s">
        <v>89</v>
      </c>
      <c r="C14" s="16">
        <v>70000</v>
      </c>
      <c r="D14" s="16">
        <v>62000</v>
      </c>
      <c r="E14" s="16">
        <f>+C14-D14</f>
        <v>8000</v>
      </c>
      <c r="F14" s="16">
        <f>0.25*E14</f>
        <v>2000</v>
      </c>
    </row>
    <row r="15" spans="1:6" x14ac:dyDescent="0.2">
      <c r="B15" s="1" t="s">
        <v>122</v>
      </c>
      <c r="C15" s="16">
        <v>1800</v>
      </c>
      <c r="D15" s="16">
        <v>0</v>
      </c>
      <c r="E15" s="16">
        <f>+C15-D15</f>
        <v>1800</v>
      </c>
      <c r="F15" s="16">
        <f>0.25*E15</f>
        <v>450</v>
      </c>
    </row>
    <row r="16" spans="1:6" x14ac:dyDescent="0.2">
      <c r="B16" s="1" t="s">
        <v>123</v>
      </c>
      <c r="C16" s="16">
        <v>0</v>
      </c>
      <c r="D16" s="16">
        <v>4800</v>
      </c>
      <c r="E16" s="16">
        <f>+C16-D16</f>
        <v>-4800</v>
      </c>
      <c r="F16" s="16">
        <f>0.25*E16</f>
        <v>-1200</v>
      </c>
    </row>
    <row r="17" spans="2:6" x14ac:dyDescent="0.2">
      <c r="C17" s="16"/>
      <c r="D17" s="16"/>
      <c r="E17" s="16"/>
      <c r="F17" s="16">
        <f>SUM(F14:F16)</f>
        <v>1250</v>
      </c>
    </row>
    <row r="18" spans="2:6" x14ac:dyDescent="0.2">
      <c r="C18" s="16"/>
      <c r="D18" s="16"/>
      <c r="E18" s="16"/>
      <c r="F18" s="16"/>
    </row>
    <row r="19" spans="2:6" x14ac:dyDescent="0.2">
      <c r="C19" s="16"/>
      <c r="D19" s="16"/>
      <c r="E19" s="16"/>
      <c r="F19" s="16"/>
    </row>
    <row r="20" spans="2:6" x14ac:dyDescent="0.2">
      <c r="B20" s="1" t="s">
        <v>110</v>
      </c>
      <c r="C20" s="16"/>
      <c r="D20" s="16"/>
      <c r="E20" s="16"/>
      <c r="F20" s="16">
        <f>+C8</f>
        <v>1800</v>
      </c>
    </row>
    <row r="21" spans="2:6" x14ac:dyDescent="0.2">
      <c r="C21" s="16"/>
      <c r="D21" s="16"/>
      <c r="E21" s="16"/>
      <c r="F21" s="16">
        <f>+F17-F20</f>
        <v>-550</v>
      </c>
    </row>
    <row r="22" spans="2:6" x14ac:dyDescent="0.2">
      <c r="C22" s="16"/>
      <c r="D22" s="16"/>
      <c r="E22" s="16"/>
      <c r="F22" s="16"/>
    </row>
    <row r="23" spans="2:6" x14ac:dyDescent="0.2">
      <c r="C23" s="16"/>
      <c r="D23" s="16"/>
      <c r="E23" s="16"/>
      <c r="F23" s="16"/>
    </row>
    <row r="24" spans="2:6" x14ac:dyDescent="0.2">
      <c r="B24" s="1" t="s">
        <v>112</v>
      </c>
      <c r="C24" s="16"/>
      <c r="D24" s="16"/>
      <c r="E24" s="16">
        <f>+F15</f>
        <v>450</v>
      </c>
      <c r="F24" s="16"/>
    </row>
    <row r="25" spans="2:6" x14ac:dyDescent="0.2">
      <c r="B25" s="16" t="s">
        <v>126</v>
      </c>
      <c r="D25" s="16"/>
      <c r="E25" s="16">
        <f>-+F21</f>
        <v>550</v>
      </c>
    </row>
    <row r="26" spans="2:6" x14ac:dyDescent="0.2">
      <c r="C26" s="16" t="s">
        <v>124</v>
      </c>
      <c r="D26" s="16"/>
      <c r="F26" s="16">
        <f>+E24+E25</f>
        <v>1000</v>
      </c>
    </row>
    <row r="27" spans="2:6" x14ac:dyDescent="0.2">
      <c r="B27" s="1" t="s">
        <v>127</v>
      </c>
    </row>
  </sheetData>
  <hyperlinks>
    <hyperlink ref="A1" location="Main!A1" display="Main" xr:uid="{6E99F641-944C-4F81-9386-0939CA60131F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6C09-ECA5-40A7-BEEE-D3D472A74DF7}">
  <dimension ref="A1:H67"/>
  <sheetViews>
    <sheetView topLeftCell="A43" zoomScale="175" zoomScaleNormal="175" workbookViewId="0">
      <selection activeCell="C48" sqref="C48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128</v>
      </c>
    </row>
    <row r="3" spans="1:8" x14ac:dyDescent="0.2">
      <c r="B3" s="1" t="s">
        <v>107</v>
      </c>
      <c r="C3" s="10">
        <v>0</v>
      </c>
    </row>
    <row r="6" spans="1:8" x14ac:dyDescent="0.2">
      <c r="B6" s="1" t="s">
        <v>107</v>
      </c>
      <c r="C6" s="10">
        <v>45382</v>
      </c>
    </row>
    <row r="8" spans="1:8" x14ac:dyDescent="0.2">
      <c r="C8" s="1" t="s">
        <v>48</v>
      </c>
      <c r="D8" s="1" t="s">
        <v>63</v>
      </c>
      <c r="E8" s="1" t="s">
        <v>50</v>
      </c>
      <c r="F8" s="1" t="s">
        <v>72</v>
      </c>
    </row>
    <row r="9" spans="1:8" x14ac:dyDescent="0.2">
      <c r="B9" s="1" t="s">
        <v>129</v>
      </c>
      <c r="C9" s="16">
        <v>10000</v>
      </c>
      <c r="D9" s="16"/>
      <c r="E9" s="16">
        <f>+C9-D9</f>
        <v>10000</v>
      </c>
      <c r="F9" s="16">
        <f>0.17*E9</f>
        <v>1700.0000000000002</v>
      </c>
      <c r="G9" s="16"/>
      <c r="H9" s="16"/>
    </row>
    <row r="10" spans="1:8" x14ac:dyDescent="0.2">
      <c r="B10" s="1" t="s">
        <v>130</v>
      </c>
      <c r="C10" s="16">
        <v>15000</v>
      </c>
      <c r="D10" s="16">
        <v>0</v>
      </c>
      <c r="E10" s="16">
        <f>+C10-D10</f>
        <v>15000</v>
      </c>
      <c r="F10" s="16">
        <f>0.17*E10</f>
        <v>2550</v>
      </c>
      <c r="G10" s="16"/>
      <c r="H10" s="16"/>
    </row>
    <row r="11" spans="1:8" x14ac:dyDescent="0.2">
      <c r="B11" s="1" t="s">
        <v>131</v>
      </c>
      <c r="C11" s="16">
        <v>0</v>
      </c>
      <c r="D11" s="16">
        <v>15000</v>
      </c>
      <c r="E11" s="16">
        <f t="shared" ref="E11:E12" si="0">+C11-D11</f>
        <v>-15000</v>
      </c>
      <c r="F11" s="16">
        <f>0.17*E11</f>
        <v>-2550</v>
      </c>
      <c r="G11" s="16"/>
      <c r="H11" s="16"/>
    </row>
    <row r="12" spans="1:8" x14ac:dyDescent="0.2">
      <c r="B12" s="1" t="s">
        <v>132</v>
      </c>
      <c r="C12" s="16">
        <v>0</v>
      </c>
      <c r="D12" s="16">
        <v>10000</v>
      </c>
      <c r="E12" s="16">
        <f t="shared" si="0"/>
        <v>-10000</v>
      </c>
      <c r="F12" s="16">
        <f>0.17*E12</f>
        <v>-1700.0000000000002</v>
      </c>
      <c r="G12" s="16"/>
      <c r="H12" s="16"/>
    </row>
    <row r="13" spans="1:8" x14ac:dyDescent="0.2">
      <c r="C13" s="16"/>
      <c r="D13" s="16"/>
      <c r="E13" s="16">
        <f>SUM(E9:E12)</f>
        <v>0</v>
      </c>
      <c r="F13" s="16">
        <f>SUM(F9:F12)</f>
        <v>0</v>
      </c>
      <c r="G13" s="16"/>
      <c r="H13" s="16"/>
    </row>
    <row r="14" spans="1:8" x14ac:dyDescent="0.2">
      <c r="C14" s="16"/>
      <c r="D14" s="16"/>
      <c r="E14" s="16"/>
      <c r="F14" s="16"/>
    </row>
    <row r="15" spans="1:8" x14ac:dyDescent="0.2">
      <c r="C15" s="16"/>
      <c r="D15" s="16"/>
      <c r="E15" s="16"/>
      <c r="F15" s="16"/>
    </row>
    <row r="16" spans="1:8" x14ac:dyDescent="0.2">
      <c r="B16" s="1" t="s">
        <v>110</v>
      </c>
      <c r="C16" s="16"/>
      <c r="D16" s="16"/>
      <c r="E16" s="16"/>
      <c r="F16" s="16">
        <f>+C3</f>
        <v>0</v>
      </c>
    </row>
    <row r="17" spans="2:6" x14ac:dyDescent="0.2">
      <c r="C17" s="16"/>
      <c r="D17" s="16"/>
      <c r="E17" s="16"/>
      <c r="F17" s="16">
        <f>+F13-F16</f>
        <v>0</v>
      </c>
    </row>
    <row r="18" spans="2:6" x14ac:dyDescent="0.2">
      <c r="C18" s="16"/>
      <c r="D18" s="16"/>
      <c r="E18" s="16"/>
      <c r="F18" s="16"/>
    </row>
    <row r="19" spans="2:6" x14ac:dyDescent="0.2">
      <c r="C19" s="16"/>
      <c r="D19" s="16"/>
      <c r="E19" s="16"/>
      <c r="F19" s="16"/>
    </row>
    <row r="20" spans="2:6" x14ac:dyDescent="0.2">
      <c r="B20" s="1" t="s">
        <v>112</v>
      </c>
      <c r="C20" s="16"/>
      <c r="D20" s="16"/>
      <c r="E20" s="16">
        <f>+F10</f>
        <v>2550</v>
      </c>
      <c r="F20" s="16"/>
    </row>
    <row r="21" spans="2:6" x14ac:dyDescent="0.2">
      <c r="B21" s="16" t="s">
        <v>126</v>
      </c>
      <c r="D21" s="16"/>
      <c r="E21" s="16">
        <f>-+F17</f>
        <v>0</v>
      </c>
    </row>
    <row r="22" spans="2:6" x14ac:dyDescent="0.2">
      <c r="C22" s="16" t="s">
        <v>124</v>
      </c>
      <c r="D22" s="16"/>
      <c r="F22" s="16">
        <f>+E20+E21</f>
        <v>2550</v>
      </c>
    </row>
    <row r="23" spans="2:6" x14ac:dyDescent="0.2">
      <c r="B23" s="1" t="s">
        <v>127</v>
      </c>
    </row>
    <row r="26" spans="2:6" x14ac:dyDescent="0.2">
      <c r="C26" s="1" t="s">
        <v>48</v>
      </c>
      <c r="D26" s="1" t="s">
        <v>63</v>
      </c>
      <c r="E26" s="1" t="s">
        <v>50</v>
      </c>
      <c r="F26" s="1" t="s">
        <v>72</v>
      </c>
    </row>
    <row r="27" spans="2:6" x14ac:dyDescent="0.2">
      <c r="B27" s="1" t="s">
        <v>129</v>
      </c>
      <c r="C27" s="16">
        <f>90000-20000</f>
        <v>70000</v>
      </c>
      <c r="D27" s="16">
        <f>80000-17100</f>
        <v>62900</v>
      </c>
      <c r="E27" s="16">
        <f>+C27-D27</f>
        <v>7100</v>
      </c>
      <c r="F27" s="16">
        <f>0.25*E27</f>
        <v>1775</v>
      </c>
    </row>
    <row r="28" spans="2:6" x14ac:dyDescent="0.2">
      <c r="B28" s="1" t="s">
        <v>133</v>
      </c>
      <c r="C28" s="16">
        <v>15000</v>
      </c>
      <c r="D28" s="16">
        <f>+C28</f>
        <v>15000</v>
      </c>
      <c r="E28" s="16">
        <f>+C28-D28</f>
        <v>0</v>
      </c>
      <c r="F28" s="16">
        <f>0.25*E28</f>
        <v>0</v>
      </c>
    </row>
    <row r="29" spans="2:6" x14ac:dyDescent="0.2">
      <c r="B29" s="1" t="s">
        <v>122</v>
      </c>
      <c r="C29" s="16">
        <v>6000</v>
      </c>
      <c r="D29" s="16">
        <v>0</v>
      </c>
      <c r="E29" s="16">
        <f>+C29-D29</f>
        <v>6000</v>
      </c>
      <c r="F29" s="16">
        <f>0.25*E29</f>
        <v>1500</v>
      </c>
    </row>
    <row r="30" spans="2:6" x14ac:dyDescent="0.2">
      <c r="B30" s="1" t="s">
        <v>131</v>
      </c>
      <c r="C30" s="16">
        <v>0</v>
      </c>
      <c r="D30" s="16">
        <f>15000+28500-41500</f>
        <v>2000</v>
      </c>
      <c r="E30" s="16">
        <f t="shared" ref="E30:E31" si="1">+C30-D30</f>
        <v>-2000</v>
      </c>
      <c r="F30" s="16">
        <f>0.25*E30</f>
        <v>-500</v>
      </c>
    </row>
    <row r="31" spans="2:6" x14ac:dyDescent="0.2">
      <c r="B31" s="1" t="s">
        <v>132</v>
      </c>
      <c r="C31" s="18">
        <f>-(14000-6000)</f>
        <v>-8000</v>
      </c>
      <c r="D31" s="16">
        <v>0</v>
      </c>
      <c r="E31" s="16">
        <f t="shared" si="1"/>
        <v>-8000</v>
      </c>
      <c r="F31" s="16">
        <f>0.25*E31</f>
        <v>-2000</v>
      </c>
    </row>
    <row r="32" spans="2:6" x14ac:dyDescent="0.2">
      <c r="C32" s="16"/>
      <c r="D32" s="16"/>
      <c r="E32" s="16">
        <f>SUM(E27:E31)</f>
        <v>3100</v>
      </c>
      <c r="F32" s="16">
        <f>SUM(F27:F31)</f>
        <v>775</v>
      </c>
    </row>
    <row r="33" spans="2:7" x14ac:dyDescent="0.2">
      <c r="C33" s="16"/>
      <c r="D33" s="16"/>
      <c r="E33" s="16"/>
      <c r="F33" s="16"/>
    </row>
    <row r="34" spans="2:7" x14ac:dyDescent="0.2">
      <c r="C34" s="16"/>
      <c r="D34" s="16"/>
      <c r="E34" s="16"/>
      <c r="F34" s="16"/>
    </row>
    <row r="35" spans="2:7" x14ac:dyDescent="0.2">
      <c r="B35" s="1" t="s">
        <v>110</v>
      </c>
      <c r="C35" s="16"/>
      <c r="D35" s="16"/>
      <c r="E35" s="16"/>
      <c r="F35" s="16">
        <f>+C21</f>
        <v>0</v>
      </c>
    </row>
    <row r="36" spans="2:7" x14ac:dyDescent="0.2">
      <c r="C36" s="16"/>
      <c r="D36" s="16"/>
      <c r="E36" s="16"/>
      <c r="F36" s="16">
        <f>+F32-F35</f>
        <v>775</v>
      </c>
    </row>
    <row r="37" spans="2:7" x14ac:dyDescent="0.2">
      <c r="C37" s="16"/>
      <c r="D37" s="16"/>
      <c r="E37" s="16"/>
      <c r="F37" s="16"/>
    </row>
    <row r="38" spans="2:7" x14ac:dyDescent="0.2">
      <c r="C38" s="16"/>
      <c r="D38" s="16"/>
      <c r="E38" s="16"/>
      <c r="F38" s="16"/>
    </row>
    <row r="39" spans="2:7" x14ac:dyDescent="0.2">
      <c r="C39" s="1" t="s">
        <v>125</v>
      </c>
      <c r="D39" s="16"/>
      <c r="F39" s="16">
        <f>+F10-F29</f>
        <v>1050</v>
      </c>
    </row>
    <row r="40" spans="2:7" x14ac:dyDescent="0.2">
      <c r="C40" s="16" t="s">
        <v>19</v>
      </c>
      <c r="D40" s="16"/>
      <c r="F40" s="16">
        <f>--+F36</f>
        <v>775</v>
      </c>
    </row>
    <row r="41" spans="2:7" x14ac:dyDescent="0.2">
      <c r="B41" s="16" t="s">
        <v>111</v>
      </c>
      <c r="D41" s="16"/>
      <c r="E41" s="16">
        <f>+F39+F40</f>
        <v>1825</v>
      </c>
    </row>
    <row r="42" spans="2:7" x14ac:dyDescent="0.2">
      <c r="B42" s="1" t="s">
        <v>81</v>
      </c>
    </row>
    <row r="43" spans="2:7" ht="12.75" thickBot="1" x14ac:dyDescent="0.25"/>
    <row r="44" spans="2:7" ht="15" x14ac:dyDescent="0.25">
      <c r="B44" s="19"/>
      <c r="C44" s="20"/>
      <c r="D44" s="20"/>
      <c r="E44" s="20"/>
      <c r="F44" s="20"/>
      <c r="G44" s="21"/>
    </row>
    <row r="45" spans="2:7" ht="15" x14ac:dyDescent="0.25">
      <c r="B45" s="22" t="s">
        <v>134</v>
      </c>
      <c r="C45" s="23">
        <v>0.25</v>
      </c>
      <c r="D45"/>
      <c r="E45"/>
      <c r="F45"/>
      <c r="G45" s="24"/>
    </row>
    <row r="46" spans="2:7" ht="15" x14ac:dyDescent="0.25">
      <c r="B46" s="22"/>
      <c r="C46" s="25" t="s">
        <v>135</v>
      </c>
      <c r="D46" s="25" t="s">
        <v>136</v>
      </c>
      <c r="E46" s="25" t="s">
        <v>137</v>
      </c>
      <c r="F46" s="25" t="s">
        <v>138</v>
      </c>
      <c r="G46" s="24"/>
    </row>
    <row r="47" spans="2:7" ht="15" x14ac:dyDescent="0.25">
      <c r="B47" s="22" t="s">
        <v>139</v>
      </c>
      <c r="C47" s="26">
        <v>90000</v>
      </c>
      <c r="D47" s="26">
        <v>80000</v>
      </c>
      <c r="E47" s="27">
        <f t="shared" ref="E47:E50" si="2">C47-D47</f>
        <v>10000</v>
      </c>
      <c r="F47" s="28">
        <f>E47*$C$45</f>
        <v>2500</v>
      </c>
      <c r="G47" s="24"/>
    </row>
    <row r="48" spans="2:7" ht="15" x14ac:dyDescent="0.25">
      <c r="B48" s="22" t="s">
        <v>140</v>
      </c>
      <c r="C48" s="26">
        <f>15000-20000</f>
        <v>-5000</v>
      </c>
      <c r="D48" s="26">
        <f>15000-17100</f>
        <v>-2100</v>
      </c>
      <c r="E48" s="27">
        <f t="shared" si="2"/>
        <v>-2900</v>
      </c>
      <c r="F48" s="28">
        <f>E48*$C$45</f>
        <v>-725</v>
      </c>
      <c r="G48" s="24"/>
    </row>
    <row r="49" spans="2:7" ht="15" x14ac:dyDescent="0.25">
      <c r="B49" s="22" t="s">
        <v>141</v>
      </c>
      <c r="C49" s="26">
        <v>6000</v>
      </c>
      <c r="D49" s="26">
        <v>14000</v>
      </c>
      <c r="E49" s="27">
        <f>C49-D49</f>
        <v>-8000</v>
      </c>
      <c r="F49" s="28">
        <f>E49*$C$45</f>
        <v>-2000</v>
      </c>
      <c r="G49" s="24"/>
    </row>
    <row r="50" spans="2:7" ht="15" x14ac:dyDescent="0.25">
      <c r="B50" s="22" t="s">
        <v>144</v>
      </c>
      <c r="C50" s="26"/>
      <c r="D50" s="26">
        <f>15000+28500-41500</f>
        <v>2000</v>
      </c>
      <c r="E50" s="27">
        <f t="shared" si="2"/>
        <v>-2000</v>
      </c>
      <c r="F50" s="28">
        <f>E50*$C$45</f>
        <v>-500</v>
      </c>
      <c r="G50" s="24"/>
    </row>
    <row r="51" spans="2:7" ht="15" x14ac:dyDescent="0.25">
      <c r="B51" s="22"/>
      <c r="C51" s="27"/>
      <c r="D51" s="27"/>
      <c r="E51" s="27"/>
      <c r="F51" s="29">
        <f>SUM(F47:F50)</f>
        <v>-725</v>
      </c>
      <c r="G51" s="24"/>
    </row>
    <row r="52" spans="2:7" ht="15" x14ac:dyDescent="0.25">
      <c r="B52" s="22"/>
      <c r="C52" s="27"/>
      <c r="D52" s="27"/>
      <c r="E52" s="27"/>
      <c r="F52" s="27"/>
      <c r="G52" s="24"/>
    </row>
    <row r="53" spans="2:7" ht="15" x14ac:dyDescent="0.25">
      <c r="B53" s="22" t="s">
        <v>145</v>
      </c>
      <c r="C53" s="26">
        <v>6000</v>
      </c>
      <c r="D53" s="26"/>
      <c r="E53" s="27">
        <f>C53-D53</f>
        <v>6000</v>
      </c>
      <c r="F53" s="30">
        <f>E53*$C$45</f>
        <v>1500</v>
      </c>
      <c r="G53" s="24"/>
    </row>
    <row r="54" spans="2:7" ht="15" x14ac:dyDescent="0.25">
      <c r="B54" s="22"/>
      <c r="C54" s="27"/>
      <c r="D54" s="27"/>
      <c r="E54" s="27"/>
      <c r="F54" s="27"/>
      <c r="G54" s="24"/>
    </row>
    <row r="55" spans="2:7" ht="15" x14ac:dyDescent="0.25">
      <c r="B55" s="22" t="s">
        <v>146</v>
      </c>
      <c r="C55" s="27"/>
      <c r="D55" s="31">
        <v>2550</v>
      </c>
      <c r="E55" s="27"/>
      <c r="F55" s="27"/>
      <c r="G55" s="24"/>
    </row>
    <row r="56" spans="2:7" ht="15" x14ac:dyDescent="0.25">
      <c r="B56" s="22" t="s">
        <v>147</v>
      </c>
      <c r="C56" s="27"/>
      <c r="D56" s="32">
        <f>F53-D55</f>
        <v>-1050</v>
      </c>
      <c r="E56" s="27"/>
      <c r="F56" s="27"/>
      <c r="G56" s="24"/>
    </row>
    <row r="57" spans="2:7" ht="15" x14ac:dyDescent="0.25">
      <c r="B57" s="22"/>
      <c r="C57" s="27"/>
      <c r="D57" s="27"/>
      <c r="E57" s="27"/>
      <c r="F57" s="27"/>
      <c r="G57" s="24"/>
    </row>
    <row r="58" spans="2:7" ht="15" x14ac:dyDescent="0.25">
      <c r="B58" s="22" t="s">
        <v>148</v>
      </c>
      <c r="C58" s="27"/>
      <c r="D58" s="33">
        <f>F53+F51</f>
        <v>775</v>
      </c>
      <c r="E58" s="27"/>
      <c r="F58" s="27"/>
      <c r="G58" s="24"/>
    </row>
    <row r="59" spans="2:7" ht="15" x14ac:dyDescent="0.25">
      <c r="B59" s="22" t="s">
        <v>149</v>
      </c>
      <c r="C59" s="27"/>
      <c r="D59" s="26"/>
      <c r="E59" s="27"/>
      <c r="F59" s="27"/>
      <c r="G59" s="24"/>
    </row>
    <row r="60" spans="2:7" ht="15" x14ac:dyDescent="0.25">
      <c r="B60" s="22"/>
      <c r="C60" s="27"/>
      <c r="D60" s="27"/>
      <c r="E60" s="27"/>
      <c r="F60" s="27"/>
      <c r="G60" s="24"/>
    </row>
    <row r="61" spans="2:7" ht="15" x14ac:dyDescent="0.25">
      <c r="B61" s="22" t="s">
        <v>150</v>
      </c>
      <c r="C61" s="27"/>
      <c r="D61" s="28">
        <f>D58-D59</f>
        <v>775</v>
      </c>
      <c r="E61" s="27"/>
      <c r="F61" s="27"/>
      <c r="G61" s="24"/>
    </row>
    <row r="62" spans="2:7" ht="15" x14ac:dyDescent="0.25">
      <c r="B62" s="22"/>
      <c r="C62" s="27"/>
      <c r="D62" s="27"/>
      <c r="E62" s="27"/>
      <c r="F62" s="27"/>
      <c r="G62" s="24"/>
    </row>
    <row r="63" spans="2:7" ht="15" x14ac:dyDescent="0.25">
      <c r="B63" s="22"/>
      <c r="C63" s="27"/>
      <c r="D63" s="27"/>
      <c r="E63" s="27"/>
      <c r="F63" s="27"/>
      <c r="G63" s="24"/>
    </row>
    <row r="64" spans="2:7" ht="15" x14ac:dyDescent="0.25">
      <c r="B64" s="34" t="str">
        <f>IF(D61&lt;0,"DR DTL/DTA","CR DTL/DTA")</f>
        <v>CR DTL/DTA</v>
      </c>
      <c r="C64" s="27"/>
      <c r="D64" s="27">
        <f>IF(D61&gt;0,D61,0)</f>
        <v>775</v>
      </c>
      <c r="E64" s="27"/>
      <c r="F64" s="27"/>
      <c r="G64" s="24"/>
    </row>
    <row r="65" spans="2:7" ht="15" x14ac:dyDescent="0.25">
      <c r="B65" s="34" t="str">
        <f>IF((F53-D55)&lt;0,"CR Revaluation surplus","DR Revaluation surplus")</f>
        <v>CR Revaluation surplus</v>
      </c>
      <c r="C65" s="27"/>
      <c r="D65" s="27">
        <f>IF((F53-D55)&gt;0,0,-(F53-D55))</f>
        <v>1050</v>
      </c>
      <c r="E65" s="27"/>
      <c r="F65" s="27"/>
      <c r="G65" s="24"/>
    </row>
    <row r="66" spans="2:7" ht="15" x14ac:dyDescent="0.25">
      <c r="B66" s="34" t="s">
        <v>151</v>
      </c>
      <c r="C66" s="31">
        <f>IF(D61&gt;0,D64+D65-C65-C64,0)</f>
        <v>1825</v>
      </c>
      <c r="D66" s="31"/>
      <c r="E66" s="27"/>
      <c r="F66" s="27"/>
      <c r="G66" s="24"/>
    </row>
    <row r="67" spans="2:7" ht="15.75" thickBot="1" x14ac:dyDescent="0.3">
      <c r="B67" s="35"/>
      <c r="C67" s="36"/>
      <c r="D67" s="36"/>
      <c r="E67" s="36"/>
      <c r="F67" s="36"/>
      <c r="G67" s="37"/>
    </row>
  </sheetData>
  <hyperlinks>
    <hyperlink ref="A1" location="Main!A1" display="Main" xr:uid="{37F1C767-D1DA-45EC-A979-3456C2FD1DD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6161-FCA2-47BA-A551-8E5CDFDDEC69}">
  <dimension ref="A1:G103"/>
  <sheetViews>
    <sheetView topLeftCell="A78" zoomScale="160" zoomScaleNormal="160" workbookViewId="0">
      <selection activeCell="G93" sqref="G93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152</v>
      </c>
    </row>
    <row r="3" spans="1:4" x14ac:dyDescent="0.2">
      <c r="B3" s="1" t="s">
        <v>107</v>
      </c>
      <c r="C3" s="10">
        <v>45382</v>
      </c>
    </row>
    <row r="5" spans="1:4" x14ac:dyDescent="0.2">
      <c r="B5" s="1" t="s">
        <v>153</v>
      </c>
    </row>
    <row r="7" spans="1:4" x14ac:dyDescent="0.2">
      <c r="C7" s="1">
        <v>2024</v>
      </c>
      <c r="D7" s="1">
        <v>2023</v>
      </c>
    </row>
    <row r="8" spans="1:4" x14ac:dyDescent="0.2">
      <c r="B8" s="1" t="s">
        <v>154</v>
      </c>
      <c r="C8" s="38">
        <v>0.2</v>
      </c>
      <c r="D8" s="38">
        <v>0.2</v>
      </c>
    </row>
    <row r="9" spans="1:4" x14ac:dyDescent="0.2">
      <c r="B9" s="1" t="s">
        <v>155</v>
      </c>
      <c r="C9" s="38">
        <v>0.19</v>
      </c>
      <c r="D9" s="38">
        <v>0.19</v>
      </c>
    </row>
    <row r="10" spans="1:4" x14ac:dyDescent="0.2">
      <c r="B10" s="1" t="s">
        <v>72</v>
      </c>
      <c r="C10" s="38">
        <v>0.25</v>
      </c>
      <c r="D10" s="39">
        <v>0.23</v>
      </c>
    </row>
    <row r="14" spans="1:4" x14ac:dyDescent="0.2">
      <c r="B14" s="1" t="s">
        <v>156</v>
      </c>
    </row>
    <row r="16" spans="1:4" x14ac:dyDescent="0.2">
      <c r="B16" s="10">
        <v>45382</v>
      </c>
    </row>
    <row r="17" spans="2:6" x14ac:dyDescent="0.2">
      <c r="B17" s="1" t="s">
        <v>157</v>
      </c>
      <c r="D17" s="1">
        <v>1288</v>
      </c>
      <c r="E17" s="1" t="s">
        <v>54</v>
      </c>
    </row>
    <row r="18" spans="2:6" x14ac:dyDescent="0.2">
      <c r="D18" s="1">
        <f>-F46</f>
        <v>-639</v>
      </c>
    </row>
    <row r="19" spans="2:6" x14ac:dyDescent="0.2">
      <c r="D19" s="1">
        <f>SUM(D17:D18)</f>
        <v>649</v>
      </c>
    </row>
    <row r="20" spans="2:6" x14ac:dyDescent="0.2">
      <c r="D20" s="1">
        <f>660-D19</f>
        <v>11</v>
      </c>
    </row>
    <row r="25" spans="2:6" x14ac:dyDescent="0.2">
      <c r="B25" s="1" t="s">
        <v>158</v>
      </c>
      <c r="D25" s="1">
        <v>618</v>
      </c>
    </row>
    <row r="26" spans="2:6" x14ac:dyDescent="0.2">
      <c r="B26" s="1" t="s">
        <v>159</v>
      </c>
      <c r="D26" s="1">
        <v>660</v>
      </c>
    </row>
    <row r="27" spans="2:6" x14ac:dyDescent="0.2">
      <c r="B27" s="1" t="s">
        <v>160</v>
      </c>
      <c r="D27" s="1">
        <f>+D26-D25</f>
        <v>42</v>
      </c>
    </row>
    <row r="29" spans="2:6" x14ac:dyDescent="0.2">
      <c r="B29" s="1" t="s">
        <v>172</v>
      </c>
    </row>
    <row r="31" spans="2:6" x14ac:dyDescent="0.2">
      <c r="B31" s="1" t="s">
        <v>171</v>
      </c>
      <c r="E31" s="1">
        <f>+D25</f>
        <v>618</v>
      </c>
    </row>
    <row r="32" spans="2:6" x14ac:dyDescent="0.2">
      <c r="C32" s="1" t="s">
        <v>173</v>
      </c>
      <c r="F32" s="1">
        <f>+E31</f>
        <v>618</v>
      </c>
    </row>
    <row r="33" spans="2:6" x14ac:dyDescent="0.2">
      <c r="B33" s="1" t="s">
        <v>174</v>
      </c>
    </row>
    <row r="36" spans="2:6" x14ac:dyDescent="0.2">
      <c r="B36" s="1" t="s">
        <v>161</v>
      </c>
      <c r="E36" s="1">
        <f>+D27</f>
        <v>42</v>
      </c>
    </row>
    <row r="37" spans="2:6" x14ac:dyDescent="0.2">
      <c r="C37" s="1" t="s">
        <v>175</v>
      </c>
      <c r="F37" s="1">
        <f>+E36</f>
        <v>42</v>
      </c>
    </row>
    <row r="38" spans="2:6" x14ac:dyDescent="0.2">
      <c r="B38" s="1" t="s">
        <v>179</v>
      </c>
    </row>
    <row r="40" spans="2:6" x14ac:dyDescent="0.2">
      <c r="B40" s="1" t="s">
        <v>176</v>
      </c>
      <c r="E40" s="1">
        <v>11</v>
      </c>
    </row>
    <row r="41" spans="2:6" x14ac:dyDescent="0.2">
      <c r="C41" s="1" t="s">
        <v>162</v>
      </c>
      <c r="F41" s="1">
        <f>+E40</f>
        <v>11</v>
      </c>
    </row>
    <row r="42" spans="2:6" x14ac:dyDescent="0.2">
      <c r="B42" s="1" t="s">
        <v>178</v>
      </c>
    </row>
    <row r="44" spans="2:6" x14ac:dyDescent="0.2">
      <c r="B44" s="1" t="s">
        <v>163</v>
      </c>
    </row>
    <row r="45" spans="2:6" x14ac:dyDescent="0.2">
      <c r="B45" s="1" t="s">
        <v>111</v>
      </c>
      <c r="E45" s="1">
        <v>639</v>
      </c>
    </row>
    <row r="46" spans="2:6" x14ac:dyDescent="0.2">
      <c r="C46" s="1" t="s">
        <v>170</v>
      </c>
      <c r="F46" s="1">
        <f>+E45</f>
        <v>639</v>
      </c>
    </row>
    <row r="47" spans="2:6" x14ac:dyDescent="0.2">
      <c r="B47" s="1" t="s">
        <v>177</v>
      </c>
    </row>
    <row r="53" spans="2:6" x14ac:dyDescent="0.2">
      <c r="B53" s="1" t="s">
        <v>154</v>
      </c>
    </row>
    <row r="54" spans="2:6" x14ac:dyDescent="0.2">
      <c r="B54" s="1" t="s">
        <v>164</v>
      </c>
      <c r="C54" s="10">
        <v>45323</v>
      </c>
      <c r="D54" s="16">
        <v>24</v>
      </c>
      <c r="E54" s="1" t="s">
        <v>165</v>
      </c>
    </row>
    <row r="55" spans="2:6" x14ac:dyDescent="0.2">
      <c r="B55" s="1" t="s">
        <v>168</v>
      </c>
      <c r="D55" s="16">
        <f>+D54*0.2</f>
        <v>4.8000000000000007</v>
      </c>
      <c r="E55" s="1" t="s">
        <v>166</v>
      </c>
    </row>
    <row r="56" spans="2:6" ht="12.75" thickBot="1" x14ac:dyDescent="0.25">
      <c r="D56" s="40">
        <f>SUM(D54:D55)</f>
        <v>28.8</v>
      </c>
      <c r="E56" s="1" t="s">
        <v>167</v>
      </c>
    </row>
    <row r="57" spans="2:6" ht="12.75" thickTop="1" x14ac:dyDescent="0.2"/>
    <row r="58" spans="2:6" x14ac:dyDescent="0.2">
      <c r="B58" s="1" t="s">
        <v>180</v>
      </c>
      <c r="E58" s="16">
        <f>+D55</f>
        <v>4.8000000000000007</v>
      </c>
    </row>
    <row r="59" spans="2:6" x14ac:dyDescent="0.2">
      <c r="C59" s="1" t="s">
        <v>169</v>
      </c>
      <c r="F59" s="16">
        <f>+E58</f>
        <v>4.8000000000000007</v>
      </c>
    </row>
    <row r="60" spans="2:6" x14ac:dyDescent="0.2">
      <c r="B60" s="1" t="s">
        <v>181</v>
      </c>
    </row>
    <row r="62" spans="2:6" x14ac:dyDescent="0.2">
      <c r="B62" s="1" t="s">
        <v>182</v>
      </c>
    </row>
    <row r="64" spans="2:6" x14ac:dyDescent="0.2">
      <c r="B64" s="1" t="s">
        <v>183</v>
      </c>
      <c r="D64" s="16">
        <v>5009</v>
      </c>
    </row>
    <row r="65" spans="2:7" x14ac:dyDescent="0.2">
      <c r="B65" s="1" t="s">
        <v>184</v>
      </c>
      <c r="D65" s="16">
        <f>+E58</f>
        <v>4.8000000000000007</v>
      </c>
      <c r="E65" s="1" t="s">
        <v>54</v>
      </c>
    </row>
    <row r="66" spans="2:7" ht="12.75" thickBot="1" x14ac:dyDescent="0.25">
      <c r="B66" s="1" t="s">
        <v>185</v>
      </c>
      <c r="D66" s="40">
        <f>+D64-D65</f>
        <v>5004.2</v>
      </c>
    </row>
    <row r="67" spans="2:7" ht="12.75" thickTop="1" x14ac:dyDescent="0.2">
      <c r="D67" s="16"/>
    </row>
    <row r="68" spans="2:7" x14ac:dyDescent="0.2">
      <c r="B68" s="1" t="s">
        <v>186</v>
      </c>
      <c r="D68" s="16">
        <f>0.19*D66</f>
        <v>950.798</v>
      </c>
    </row>
    <row r="69" spans="2:7" x14ac:dyDescent="0.2">
      <c r="B69" s="1" t="s">
        <v>187</v>
      </c>
      <c r="D69" s="16">
        <f>+E45</f>
        <v>639</v>
      </c>
      <c r="E69" s="1" t="s">
        <v>54</v>
      </c>
    </row>
    <row r="70" spans="2:7" ht="12.75" thickBot="1" x14ac:dyDescent="0.25">
      <c r="D70" s="40">
        <f>+D68-D69</f>
        <v>311.798</v>
      </c>
    </row>
    <row r="71" spans="2:7" ht="12.75" thickTop="1" x14ac:dyDescent="0.2"/>
    <row r="72" spans="2:7" x14ac:dyDescent="0.2">
      <c r="B72" s="1" t="s">
        <v>20</v>
      </c>
      <c r="E72" s="16">
        <f>+D70</f>
        <v>311.798</v>
      </c>
    </row>
    <row r="73" spans="2:7" x14ac:dyDescent="0.2">
      <c r="C73" s="1" t="s">
        <v>188</v>
      </c>
      <c r="F73" s="16">
        <f>+E72</f>
        <v>311.798</v>
      </c>
    </row>
    <row r="74" spans="2:7" x14ac:dyDescent="0.2">
      <c r="B74" s="1" t="s">
        <v>189</v>
      </c>
    </row>
    <row r="78" spans="2:7" ht="12.75" thickBot="1" x14ac:dyDescent="0.25">
      <c r="B78" s="1" t="s">
        <v>190</v>
      </c>
    </row>
    <row r="79" spans="2:7" ht="15" x14ac:dyDescent="0.25">
      <c r="B79" s="19"/>
      <c r="C79" s="20"/>
      <c r="D79" s="20"/>
      <c r="E79" s="20"/>
      <c r="F79" s="20"/>
      <c r="G79" s="21"/>
    </row>
    <row r="80" spans="2:7" ht="15" x14ac:dyDescent="0.25">
      <c r="B80" s="22" t="s">
        <v>134</v>
      </c>
      <c r="C80" s="23">
        <v>0.25</v>
      </c>
      <c r="D80"/>
      <c r="E80"/>
      <c r="F80"/>
      <c r="G80" s="24"/>
    </row>
    <row r="81" spans="2:7" ht="15" x14ac:dyDescent="0.25">
      <c r="B81" s="22"/>
      <c r="C81" s="25" t="s">
        <v>135</v>
      </c>
      <c r="D81" s="25" t="s">
        <v>136</v>
      </c>
      <c r="E81" s="25" t="s">
        <v>137</v>
      </c>
      <c r="F81" s="25" t="s">
        <v>138</v>
      </c>
      <c r="G81" s="24"/>
    </row>
    <row r="82" spans="2:7" ht="15" x14ac:dyDescent="0.25">
      <c r="B82" s="22" t="s">
        <v>139</v>
      </c>
      <c r="C82" s="26">
        <v>20875</v>
      </c>
      <c r="D82" s="26">
        <v>19798</v>
      </c>
      <c r="E82" s="27">
        <f t="shared" ref="E82:E86" si="0">C82-D82</f>
        <v>1077</v>
      </c>
      <c r="F82" s="28">
        <f>E82*$C$80</f>
        <v>269.25</v>
      </c>
      <c r="G82" s="24"/>
    </row>
    <row r="83" spans="2:7" ht="15" x14ac:dyDescent="0.25">
      <c r="B83" s="22" t="s">
        <v>140</v>
      </c>
      <c r="C83" s="26">
        <f>2063-3297</f>
        <v>-1234</v>
      </c>
      <c r="D83" s="26">
        <f>2063-3935</f>
        <v>-1872</v>
      </c>
      <c r="E83" s="27">
        <f t="shared" si="0"/>
        <v>638</v>
      </c>
      <c r="F83" s="28">
        <f>E83*$C$80</f>
        <v>159.5</v>
      </c>
      <c r="G83" s="24"/>
    </row>
    <row r="84" spans="2:7" ht="15" x14ac:dyDescent="0.25">
      <c r="B84" s="22" t="s">
        <v>141</v>
      </c>
      <c r="C84" s="26">
        <v>-415</v>
      </c>
      <c r="D84" s="26"/>
      <c r="E84" s="27">
        <f>C84-D84</f>
        <v>-415</v>
      </c>
      <c r="F84" s="28">
        <f>E84*$C$80</f>
        <v>-103.75</v>
      </c>
      <c r="G84" s="24"/>
    </row>
    <row r="85" spans="2:7" ht="15" x14ac:dyDescent="0.25">
      <c r="B85" s="22" t="s">
        <v>142</v>
      </c>
      <c r="C85" s="26">
        <v>-12</v>
      </c>
      <c r="D85" s="26"/>
      <c r="E85" s="27">
        <f>C85-D85</f>
        <v>-12</v>
      </c>
      <c r="F85" s="28">
        <f>E85*$C$80</f>
        <v>-3</v>
      </c>
      <c r="G85" s="24"/>
    </row>
    <row r="86" spans="2:7" ht="15" x14ac:dyDescent="0.25">
      <c r="B86" s="22" t="s">
        <v>143</v>
      </c>
      <c r="C86" s="26">
        <v>-228</v>
      </c>
      <c r="D86" s="26"/>
      <c r="E86" s="27">
        <f t="shared" si="0"/>
        <v>-228</v>
      </c>
      <c r="F86" s="28">
        <f>E86*$C$80</f>
        <v>-57</v>
      </c>
      <c r="G86" s="24"/>
    </row>
    <row r="87" spans="2:7" ht="15" x14ac:dyDescent="0.25">
      <c r="B87" s="22"/>
      <c r="C87" s="27"/>
      <c r="D87" s="27"/>
      <c r="E87" s="27"/>
      <c r="F87" s="29">
        <f>SUM(F82:F86)</f>
        <v>265</v>
      </c>
      <c r="G87" s="24"/>
    </row>
    <row r="88" spans="2:7" ht="15" x14ac:dyDescent="0.25">
      <c r="B88" s="22"/>
      <c r="C88" s="27"/>
      <c r="D88" s="27"/>
      <c r="E88" s="27"/>
      <c r="F88" s="27"/>
      <c r="G88" s="24"/>
    </row>
    <row r="89" spans="2:7" ht="15" x14ac:dyDescent="0.25">
      <c r="B89" s="22" t="s">
        <v>145</v>
      </c>
      <c r="C89" s="26">
        <f>846-102</f>
        <v>744</v>
      </c>
      <c r="D89" s="26"/>
      <c r="E89" s="27">
        <f>C89-D89</f>
        <v>744</v>
      </c>
      <c r="F89" s="30">
        <f>E89*$C$80</f>
        <v>186</v>
      </c>
      <c r="G89" s="24"/>
    </row>
    <row r="90" spans="2:7" ht="15" x14ac:dyDescent="0.25">
      <c r="B90" s="22"/>
      <c r="C90" s="27"/>
      <c r="D90" s="27"/>
      <c r="E90" s="27"/>
      <c r="F90" s="27"/>
      <c r="G90" s="24"/>
    </row>
    <row r="91" spans="2:7" ht="15" x14ac:dyDescent="0.25">
      <c r="B91" s="22" t="s">
        <v>146</v>
      </c>
      <c r="C91" s="27"/>
      <c r="D91" s="31">
        <v>144</v>
      </c>
      <c r="E91" s="27"/>
      <c r="F91" s="27"/>
      <c r="G91" s="24"/>
    </row>
    <row r="92" spans="2:7" ht="15" x14ac:dyDescent="0.25">
      <c r="B92" s="22" t="s">
        <v>147</v>
      </c>
      <c r="C92" s="27"/>
      <c r="D92" s="32">
        <f>F89-D91</f>
        <v>42</v>
      </c>
      <c r="E92" s="27"/>
      <c r="F92" s="27"/>
      <c r="G92" s="24"/>
    </row>
    <row r="93" spans="2:7" ht="15" x14ac:dyDescent="0.25">
      <c r="B93" s="22"/>
      <c r="C93" s="27"/>
      <c r="D93" s="27"/>
      <c r="E93" s="27"/>
      <c r="F93" s="27"/>
      <c r="G93" s="24"/>
    </row>
    <row r="94" spans="2:7" ht="15" x14ac:dyDescent="0.25">
      <c r="B94" s="22" t="s">
        <v>148</v>
      </c>
      <c r="C94" s="27"/>
      <c r="D94" s="33">
        <f>F89+F87</f>
        <v>451</v>
      </c>
      <c r="E94" s="27"/>
      <c r="F94" s="27"/>
      <c r="G94" s="24"/>
    </row>
    <row r="95" spans="2:7" ht="15" x14ac:dyDescent="0.25">
      <c r="B95" s="22" t="s">
        <v>149</v>
      </c>
      <c r="C95" s="27"/>
      <c r="D95" s="26">
        <f>282</f>
        <v>282</v>
      </c>
      <c r="E95" s="27"/>
      <c r="F95" s="27"/>
      <c r="G95" s="24"/>
    </row>
    <row r="96" spans="2:7" ht="15" x14ac:dyDescent="0.25">
      <c r="B96" s="22"/>
      <c r="C96" s="27"/>
      <c r="D96" s="27"/>
      <c r="E96" s="27"/>
      <c r="F96" s="27"/>
      <c r="G96" s="24"/>
    </row>
    <row r="97" spans="2:7" ht="15" x14ac:dyDescent="0.25">
      <c r="B97" s="22" t="s">
        <v>150</v>
      </c>
      <c r="C97" s="27"/>
      <c r="D97" s="28">
        <f>D94-D95</f>
        <v>169</v>
      </c>
      <c r="E97" s="27"/>
      <c r="F97" s="27"/>
      <c r="G97" s="24"/>
    </row>
    <row r="98" spans="2:7" ht="15" x14ac:dyDescent="0.25">
      <c r="B98" s="22"/>
      <c r="C98" s="27"/>
      <c r="D98" s="27"/>
      <c r="E98" s="27"/>
      <c r="F98" s="27"/>
      <c r="G98" s="24"/>
    </row>
    <row r="99" spans="2:7" ht="15" x14ac:dyDescent="0.25">
      <c r="B99" s="22"/>
      <c r="C99" s="27"/>
      <c r="D99" s="27"/>
      <c r="E99" s="27"/>
      <c r="F99" s="27"/>
      <c r="G99" s="24"/>
    </row>
    <row r="100" spans="2:7" ht="15" x14ac:dyDescent="0.25">
      <c r="B100" s="34" t="str">
        <f>IF(D97&lt;0,"DR DTL/DTA","CR DTL/DTA")</f>
        <v>CR DTL/DTA</v>
      </c>
      <c r="C100" s="27"/>
      <c r="D100" s="27">
        <f>IF(D97&gt;0,D97,0)</f>
        <v>169</v>
      </c>
      <c r="E100" s="27"/>
      <c r="F100" s="27"/>
      <c r="G100" s="24"/>
    </row>
    <row r="101" spans="2:7" ht="15" x14ac:dyDescent="0.25">
      <c r="B101" s="34" t="str">
        <f>IF((F89-D91)&lt;0,"CR Revaluation surplus","DR Revaluation surplus")</f>
        <v>DR Revaluation surplus</v>
      </c>
      <c r="C101" s="27">
        <f>IF((F89-D91)&lt;0,0,F89-D91)</f>
        <v>42</v>
      </c>
      <c r="D101" s="27"/>
      <c r="E101" s="27"/>
      <c r="F101" s="27"/>
      <c r="G101" s="24"/>
    </row>
    <row r="102" spans="2:7" ht="15" x14ac:dyDescent="0.25">
      <c r="B102" s="34" t="s">
        <v>151</v>
      </c>
      <c r="C102" s="31">
        <f>IF(D97&gt;0,D100+D101-C101-C100,0)</f>
        <v>127</v>
      </c>
      <c r="D102" s="31"/>
      <c r="E102" s="27"/>
      <c r="F102" s="27"/>
      <c r="G102" s="24"/>
    </row>
    <row r="103" spans="2:7" ht="15.75" thickBot="1" x14ac:dyDescent="0.3">
      <c r="B103" s="35"/>
      <c r="C103" s="36"/>
      <c r="D103" s="36"/>
      <c r="E103" s="36"/>
      <c r="F103" s="36"/>
      <c r="G103" s="37"/>
    </row>
  </sheetData>
  <hyperlinks>
    <hyperlink ref="A1" location="Main!A1" display="Main" xr:uid="{9DD068DD-E0D8-4962-B7B0-075C5E2660ED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Module 20</vt:lpstr>
      <vt:lpstr>WSE20.1</vt:lpstr>
      <vt:lpstr>WSE20.2</vt:lpstr>
      <vt:lpstr>WSE20.3</vt:lpstr>
      <vt:lpstr>WSE20.4</vt:lpstr>
      <vt:lpstr>WSE20.5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2023-06-01T17:21:58Z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