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537" documentId="8_{BDDAC32E-D3A0-4B07-82DD-9254471C4621}" xr6:coauthVersionLast="47" xr6:coauthVersionMax="47" xr10:uidLastSave="{1F56D80C-CF48-48AC-A675-1B2779DEB8C2}"/>
  <bookViews>
    <workbookView xWindow="-120" yWindow="-120" windowWidth="29040" windowHeight="15840" activeTab="2" xr2:uid="{750A9A79-C9DD-463F-8BC6-11A10655965C}"/>
  </bookViews>
  <sheets>
    <sheet name="Main" sheetId="1" r:id="rId1"/>
    <sheet name="Module 29" sheetId="2" r:id="rId2"/>
    <sheet name="WSE29.1" sheetId="5" r:id="rId3"/>
    <sheet name="WSE29.2" sheetId="6" r:id="rId4"/>
    <sheet name="WSE29.3" sheetId="7" r:id="rId5"/>
    <sheet name="WSE29.4" sheetId="8" r:id="rId6"/>
    <sheet name="WSE29.5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7" i="10" l="1"/>
  <c r="E186" i="10"/>
  <c r="D184" i="10"/>
  <c r="D183" i="10"/>
  <c r="D182" i="10"/>
  <c r="F177" i="10"/>
  <c r="E176" i="10"/>
  <c r="E152" i="10"/>
  <c r="F153" i="10" s="1"/>
  <c r="E138" i="10"/>
  <c r="F138" i="10" s="1"/>
  <c r="E142" i="10" s="1"/>
  <c r="E137" i="10"/>
  <c r="F137" i="10" s="1"/>
  <c r="F107" i="10"/>
  <c r="E106" i="10"/>
  <c r="F83" i="10"/>
  <c r="E81" i="10"/>
  <c r="E76" i="10"/>
  <c r="C165" i="10"/>
  <c r="D165" i="10" s="1"/>
  <c r="D166" i="10" s="1"/>
  <c r="C148" i="10"/>
  <c r="C149" i="10" s="1"/>
  <c r="C150" i="10" s="1"/>
  <c r="C116" i="10"/>
  <c r="D103" i="10"/>
  <c r="D102" i="10" s="1"/>
  <c r="D104" i="10" s="1"/>
  <c r="F172" i="10" l="1"/>
  <c r="F139" i="10"/>
  <c r="F143" i="10" s="1"/>
  <c r="E141" i="10"/>
  <c r="F108" i="10"/>
  <c r="D167" i="10"/>
  <c r="E156" i="10"/>
  <c r="F157" i="10"/>
  <c r="E171" i="10" l="1"/>
  <c r="E170" i="10" s="1"/>
  <c r="D168" i="10"/>
  <c r="E80" i="10" l="1"/>
  <c r="F35" i="10"/>
  <c r="E33" i="10"/>
  <c r="E32" i="10"/>
  <c r="E31" i="10"/>
  <c r="E28" i="10"/>
  <c r="E25" i="10" s="1"/>
  <c r="F15" i="10"/>
  <c r="F13" i="10"/>
  <c r="F12" i="10"/>
  <c r="F11" i="10"/>
  <c r="F10" i="10"/>
  <c r="F9" i="10"/>
  <c r="F7" i="10"/>
  <c r="F6" i="10"/>
  <c r="E8" i="10"/>
  <c r="E14" i="10" s="1"/>
  <c r="E16" i="10" s="1"/>
  <c r="D117" i="10" s="1"/>
  <c r="D8" i="10"/>
  <c r="D14" i="10" s="1"/>
  <c r="D16" i="10" s="1"/>
  <c r="E65" i="10" s="1"/>
  <c r="F68" i="10" s="1"/>
  <c r="C8" i="10"/>
  <c r="C14" i="10" s="1"/>
  <c r="C16" i="10" s="1"/>
  <c r="E42" i="8"/>
  <c r="E41" i="8"/>
  <c r="E229" i="2"/>
  <c r="E35" i="8"/>
  <c r="E84" i="8" s="1"/>
  <c r="E76" i="8"/>
  <c r="E64" i="8"/>
  <c r="F65" i="8" s="1"/>
  <c r="E54" i="8"/>
  <c r="E51" i="8"/>
  <c r="E53" i="8" s="1"/>
  <c r="F30" i="8"/>
  <c r="E28" i="8"/>
  <c r="E27" i="8"/>
  <c r="D21" i="8"/>
  <c r="E26" i="8" s="1"/>
  <c r="E11" i="8"/>
  <c r="E9" i="8"/>
  <c r="E8" i="8"/>
  <c r="E7" i="8"/>
  <c r="E5" i="8"/>
  <c r="D10" i="8"/>
  <c r="D12" i="8" s="1"/>
  <c r="E72" i="8" s="1"/>
  <c r="C10" i="8"/>
  <c r="C12" i="8" s="1"/>
  <c r="E39" i="7"/>
  <c r="F21" i="7"/>
  <c r="D14" i="7"/>
  <c r="E19" i="7" s="1"/>
  <c r="D7" i="7"/>
  <c r="D13" i="7" s="1"/>
  <c r="E67" i="6"/>
  <c r="D64" i="6"/>
  <c r="C64" i="6"/>
  <c r="C65" i="6"/>
  <c r="B64" i="6"/>
  <c r="F35" i="6"/>
  <c r="E54" i="6"/>
  <c r="E53" i="6"/>
  <c r="C52" i="6"/>
  <c r="E45" i="6"/>
  <c r="D22" i="6"/>
  <c r="E28" i="6" s="1"/>
  <c r="D21" i="6"/>
  <c r="E27" i="6" s="1"/>
  <c r="G11" i="6"/>
  <c r="E18" i="6" s="1"/>
  <c r="C15" i="6"/>
  <c r="F11" i="6"/>
  <c r="F12" i="6"/>
  <c r="D36" i="6" s="1"/>
  <c r="F10" i="6"/>
  <c r="C6" i="6"/>
  <c r="D20" i="6" s="1"/>
  <c r="E223" i="2"/>
  <c r="E198" i="2"/>
  <c r="E181" i="2"/>
  <c r="E230" i="2"/>
  <c r="F235" i="2"/>
  <c r="F234" i="2"/>
  <c r="F233" i="2"/>
  <c r="F232" i="2"/>
  <c r="E228" i="2"/>
  <c r="E241" i="2" s="1"/>
  <c r="D176" i="2"/>
  <c r="E180" i="2" s="1"/>
  <c r="E174" i="2"/>
  <c r="F183" i="2" s="1"/>
  <c r="E166" i="2"/>
  <c r="E164" i="2"/>
  <c r="E163" i="2"/>
  <c r="E162" i="2"/>
  <c r="E161" i="2"/>
  <c r="E159" i="2"/>
  <c r="E158" i="2"/>
  <c r="E152" i="2"/>
  <c r="E153" i="2" s="1"/>
  <c r="E149" i="2"/>
  <c r="E150" i="2" s="1"/>
  <c r="E146" i="2"/>
  <c r="E145" i="2"/>
  <c r="E147" i="2" s="1"/>
  <c r="E140" i="2"/>
  <c r="E139" i="2"/>
  <c r="E138" i="2"/>
  <c r="E135" i="2"/>
  <c r="E134" i="2"/>
  <c r="D160" i="2"/>
  <c r="D153" i="2"/>
  <c r="D150" i="2"/>
  <c r="D147" i="2"/>
  <c r="E224" i="2" s="1"/>
  <c r="D141" i="2"/>
  <c r="D136" i="2"/>
  <c r="C160" i="2"/>
  <c r="C165" i="2" s="1"/>
  <c r="C167" i="2" s="1"/>
  <c r="C153" i="2"/>
  <c r="C150" i="2"/>
  <c r="C147" i="2"/>
  <c r="C141" i="2"/>
  <c r="C136" i="2"/>
  <c r="F108" i="2"/>
  <c r="E105" i="2"/>
  <c r="E102" i="2"/>
  <c r="F107" i="2" s="1"/>
  <c r="E92" i="2"/>
  <c r="C55" i="5"/>
  <c r="C54" i="5"/>
  <c r="C32" i="5"/>
  <c r="C31" i="5"/>
  <c r="E35" i="5" s="1"/>
  <c r="C20" i="5"/>
  <c r="E24" i="5" s="1"/>
  <c r="H13" i="5"/>
  <c r="D17" i="5" s="1"/>
  <c r="F26" i="5" s="1"/>
  <c r="F12" i="5"/>
  <c r="F13" i="5"/>
  <c r="F14" i="5"/>
  <c r="F11" i="5"/>
  <c r="G11" i="5" s="1"/>
  <c r="G12" i="5" s="1"/>
  <c r="G13" i="5" s="1"/>
  <c r="G14" i="5" s="1"/>
  <c r="B55" i="5" s="1"/>
  <c r="D55" i="5" s="1"/>
  <c r="C8" i="5"/>
  <c r="D69" i="2"/>
  <c r="E71" i="2" s="1"/>
  <c r="E82" i="2" s="1"/>
  <c r="F83" i="2" s="1"/>
  <c r="E60" i="2"/>
  <c r="E58" i="2"/>
  <c r="E57" i="2"/>
  <c r="E42" i="2"/>
  <c r="E41" i="2"/>
  <c r="D21" i="2"/>
  <c r="D20" i="2"/>
  <c r="E25" i="2" s="1" a="1"/>
  <c r="E25" i="2" s="1"/>
  <c r="E18" i="2"/>
  <c r="F28" i="2" s="1"/>
  <c r="F13" i="2"/>
  <c r="F12" i="2"/>
  <c r="G12" i="2" s="1"/>
  <c r="D119" i="10" l="1"/>
  <c r="D121" i="10" s="1"/>
  <c r="D122" i="10" s="1"/>
  <c r="E124" i="10" s="1"/>
  <c r="F125" i="10" s="1"/>
  <c r="E130" i="10"/>
  <c r="F131" i="10" s="1"/>
  <c r="E55" i="10"/>
  <c r="E56" i="10" s="1"/>
  <c r="E58" i="10" s="1"/>
  <c r="E59" i="10" s="1"/>
  <c r="E61" i="10" s="1"/>
  <c r="F62" i="10" s="1"/>
  <c r="F8" i="10"/>
  <c r="F14" i="10" s="1"/>
  <c r="F16" i="10" s="1"/>
  <c r="E67" i="10"/>
  <c r="E88" i="10"/>
  <c r="F36" i="10"/>
  <c r="E29" i="10"/>
  <c r="E43" i="8"/>
  <c r="E44" i="8" s="1"/>
  <c r="E46" i="8" s="1"/>
  <c r="F47" i="8" s="1"/>
  <c r="E85" i="8"/>
  <c r="E55" i="8"/>
  <c r="E56" i="8" s="1"/>
  <c r="E58" i="8" s="1"/>
  <c r="F59" i="8" s="1"/>
  <c r="E10" i="8"/>
  <c r="E12" i="8" s="1"/>
  <c r="E23" i="8"/>
  <c r="E20" i="8" s="1"/>
  <c r="E14" i="7"/>
  <c r="E12" i="7" s="1"/>
  <c r="E15" i="7" s="1"/>
  <c r="E18" i="7"/>
  <c r="E35" i="7" s="1"/>
  <c r="E36" i="6"/>
  <c r="F36" i="6" s="1"/>
  <c r="E55" i="6"/>
  <c r="E56" i="6" s="1"/>
  <c r="E58" i="6" s="1"/>
  <c r="F59" i="6" s="1"/>
  <c r="D65" i="6"/>
  <c r="E22" i="6"/>
  <c r="E19" i="6" s="1"/>
  <c r="F31" i="6" s="1"/>
  <c r="E26" i="6"/>
  <c r="F30" i="6"/>
  <c r="C154" i="2"/>
  <c r="C155" i="2" s="1"/>
  <c r="E141" i="2"/>
  <c r="C142" i="2"/>
  <c r="E136" i="2"/>
  <c r="E177" i="2"/>
  <c r="E175" i="2" s="1"/>
  <c r="F184" i="2" s="1"/>
  <c r="E154" i="2"/>
  <c r="E43" i="2"/>
  <c r="E48" i="2" s="1"/>
  <c r="E59" i="2"/>
  <c r="E61" i="2" s="1"/>
  <c r="E62" i="2" s="1"/>
  <c r="E64" i="2" s="1"/>
  <c r="F65" i="2" s="1"/>
  <c r="E160" i="2"/>
  <c r="E165" i="2" s="1"/>
  <c r="D165" i="2"/>
  <c r="D167" i="2" s="1"/>
  <c r="G13" i="2"/>
  <c r="E178" i="2"/>
  <c r="E167" i="2"/>
  <c r="E155" i="2"/>
  <c r="F109" i="2"/>
  <c r="D154" i="2"/>
  <c r="D155" i="2" s="1"/>
  <c r="D142" i="2"/>
  <c r="F72" i="2"/>
  <c r="E47" i="2"/>
  <c r="E36" i="5"/>
  <c r="E41" i="5" s="1"/>
  <c r="B54" i="5"/>
  <c r="D54" i="5" s="1"/>
  <c r="E57" i="5" s="1"/>
  <c r="E68" i="5" s="1"/>
  <c r="F69" i="5" s="1"/>
  <c r="C19" i="5"/>
  <c r="D20" i="5" s="1"/>
  <c r="D18" i="5"/>
  <c r="D21" i="5" s="1"/>
  <c r="E25" i="5" s="1"/>
  <c r="E23" i="5"/>
  <c r="F58" i="5"/>
  <c r="E21" i="2"/>
  <c r="E19" i="2" s="1"/>
  <c r="F29" i="2" s="1"/>
  <c r="E42" i="10" l="1"/>
  <c r="E41" i="10"/>
  <c r="E34" i="10"/>
  <c r="F79" i="8"/>
  <c r="E77" i="8"/>
  <c r="F31" i="8"/>
  <c r="E24" i="8"/>
  <c r="E29" i="8" s="1"/>
  <c r="E71" i="8" s="1"/>
  <c r="F78" i="8" s="1"/>
  <c r="E40" i="7"/>
  <c r="F42" i="7"/>
  <c r="F22" i="7"/>
  <c r="E20" i="7"/>
  <c r="E34" i="7" s="1"/>
  <c r="E39" i="6"/>
  <c r="F37" i="6"/>
  <c r="E40" i="6" s="1"/>
  <c r="F68" i="6"/>
  <c r="E78" i="6"/>
  <c r="F79" i="6" s="1"/>
  <c r="E23" i="6"/>
  <c r="E29" i="6" s="1"/>
  <c r="E199" i="2"/>
  <c r="E200" i="2" s="1"/>
  <c r="E202" i="2" s="1"/>
  <c r="E203" i="2" s="1"/>
  <c r="E205" i="2" s="1"/>
  <c r="F206" i="2" s="1"/>
  <c r="E211" i="2"/>
  <c r="F212" i="2" s="1"/>
  <c r="E142" i="2"/>
  <c r="F49" i="2"/>
  <c r="F231" i="2"/>
  <c r="E182" i="2"/>
  <c r="E189" i="2" s="1"/>
  <c r="E190" i="2" s="1"/>
  <c r="E192" i="2" s="1"/>
  <c r="F193" i="2" s="1"/>
  <c r="E37" i="5"/>
  <c r="E42" i="5" s="1"/>
  <c r="F43" i="5"/>
  <c r="F27" i="5"/>
  <c r="E22" i="2"/>
  <c r="E27" i="2" s="1"/>
  <c r="E43" i="10" l="1"/>
  <c r="E44" i="10" s="1"/>
  <c r="E73" i="8"/>
  <c r="F80" i="8" s="1"/>
  <c r="E86" i="8" s="1"/>
  <c r="E87" i="8" s="1"/>
  <c r="F90" i="8" s="1"/>
  <c r="E89" i="8" s="1"/>
  <c r="E36" i="7"/>
  <c r="F43" i="7" s="1"/>
  <c r="F41" i="7"/>
  <c r="F41" i="6"/>
  <c r="E225" i="2"/>
  <c r="F236" i="2" s="1"/>
  <c r="E242" i="2" s="1"/>
  <c r="E243" i="2" s="1"/>
  <c r="E245" i="2" s="1"/>
  <c r="F246" i="2" s="1"/>
  <c r="E46" i="10" l="1"/>
  <c r="F47" i="10" s="1"/>
  <c r="E75" i="10" s="1"/>
  <c r="E77" i="10" s="1"/>
  <c r="E84" i="10" s="1"/>
  <c r="E89" i="10" s="1"/>
  <c r="F82" i="10" l="1"/>
  <c r="E90" i="10"/>
  <c r="E92" i="10" s="1"/>
  <c r="F9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<sst xmlns="http://schemas.openxmlformats.org/spreadsheetml/2006/main" count="541" uniqueCount="283">
  <si>
    <t>Module 29 - Consolidated Financial Statements: Changes in Ownership</t>
  </si>
  <si>
    <t>Main</t>
  </si>
  <si>
    <t>Carrying value is remeasured to fair value with any gain or loss realised</t>
  </si>
  <si>
    <t>if the shareholding was previously held as an associate, then the gain goes through the PL</t>
  </si>
  <si>
    <t>Step 2: Goodwill is calculated including the fair value of the previously held shareholding</t>
  </si>
  <si>
    <t>SC</t>
  </si>
  <si>
    <t>FV</t>
  </si>
  <si>
    <t>Recognise goodwill and NCI at the date of acquisition</t>
  </si>
  <si>
    <t>Investment in Mist</t>
  </si>
  <si>
    <t>NCI control of net assets</t>
  </si>
  <si>
    <t>RE</t>
  </si>
  <si>
    <t>GW</t>
  </si>
  <si>
    <t>dr - Share capital</t>
  </si>
  <si>
    <t>Dr - RE</t>
  </si>
  <si>
    <t>DR -gw</t>
  </si>
  <si>
    <t>cr Investment in Mist</t>
  </si>
  <si>
    <t>CR SFP - NCI</t>
  </si>
  <si>
    <t>being elimination of investment and recognition of goodwill and NCI</t>
  </si>
  <si>
    <t>Activity 2</t>
  </si>
  <si>
    <t>Shares</t>
  </si>
  <si>
    <t>Cost</t>
  </si>
  <si>
    <t>control %</t>
  </si>
  <si>
    <t>cum. %</t>
  </si>
  <si>
    <t>Purchased a futher 20,000 shares</t>
  </si>
  <si>
    <t xml:space="preserve">for </t>
  </si>
  <si>
    <t>Additional investment in Mist</t>
  </si>
  <si>
    <t>Net assets acquired from NCI</t>
  </si>
  <si>
    <t>Loss to RE</t>
  </si>
  <si>
    <t>Profits</t>
  </si>
  <si>
    <t>Loss to retained earnings</t>
  </si>
  <si>
    <t>Dr - SFP NCI</t>
  </si>
  <si>
    <t>dr - RE</t>
  </si>
  <si>
    <t>cr - investments</t>
  </si>
  <si>
    <t>being eliminationo of additoinal investmnet and reductoin in NCI</t>
  </si>
  <si>
    <t>Step 3: recognition of goodwill impairment</t>
  </si>
  <si>
    <t>n/a</t>
  </si>
  <si>
    <t>Step 4: Allocate historical profits</t>
  </si>
  <si>
    <t>DR - RE</t>
  </si>
  <si>
    <t>cr - SFP NCI</t>
  </si>
  <si>
    <t>Step 5: allocate subsidiary CY profit/loss</t>
  </si>
  <si>
    <t>Dr - SPL NCI</t>
  </si>
  <si>
    <t>cr - SFP - NCI</t>
  </si>
  <si>
    <t>being NCI share of CY profits</t>
  </si>
  <si>
    <t>Step 6:</t>
  </si>
  <si>
    <t>Eliminate IC transactions and balances an allocate share of adjustments to subsidiaries PL to NCI</t>
  </si>
  <si>
    <t>No IC balances</t>
  </si>
  <si>
    <t>final Step</t>
  </si>
  <si>
    <t>transfer adjustements in the consolidated statement of profit loss to the consol SFP</t>
  </si>
  <si>
    <t>cr - SPL</t>
  </si>
  <si>
    <t>being transfer to retained earnings</t>
  </si>
  <si>
    <t>Bit Group</t>
  </si>
  <si>
    <t xml:space="preserve"> YE</t>
  </si>
  <si>
    <t>four separate pars</t>
  </si>
  <si>
    <t>par</t>
  </si>
  <si>
    <t>Cost RE</t>
  </si>
  <si>
    <t>no. shares</t>
  </si>
  <si>
    <t xml:space="preserve">share addes </t>
  </si>
  <si>
    <t>cum %</t>
  </si>
  <si>
    <t>investment in Part</t>
  </si>
  <si>
    <t>NCI</t>
  </si>
  <si>
    <t>dr - SC</t>
  </si>
  <si>
    <t>dr- RE</t>
  </si>
  <si>
    <t>dr - GW</t>
  </si>
  <si>
    <t>cr - investment in part</t>
  </si>
  <si>
    <t>being elimination of investment a recognition of goodwill</t>
  </si>
  <si>
    <t>Purchased a futher 160k shares</t>
  </si>
  <si>
    <t>(net asset pluc SC)*share acquired</t>
  </si>
  <si>
    <t>n/a - subsidiary acquied on the final day of the prior year</t>
  </si>
  <si>
    <t>Pro - rate the CY profits.  6m into 12 of 11m profit</t>
  </si>
  <si>
    <t>Full disposal</t>
  </si>
  <si>
    <t>Proceeds</t>
  </si>
  <si>
    <t>Carrying amount of goodwill disposed</t>
  </si>
  <si>
    <t xml:space="preserve">net assets disposed of </t>
  </si>
  <si>
    <t>gain on disposal</t>
  </si>
  <si>
    <t>If the gain or loss is material it is normally presented as a separate item in the</t>
  </si>
  <si>
    <t>consolidated statement of profit or loss.</t>
  </si>
  <si>
    <t xml:space="preserve"> </t>
  </si>
  <si>
    <t>dr - bank</t>
  </si>
  <si>
    <t>dr - SFP - NCI</t>
  </si>
  <si>
    <t>cr - gw</t>
  </si>
  <si>
    <t>cr - net assets</t>
  </si>
  <si>
    <t>cr - SPL gain on disposal (dr is a loss)</t>
  </si>
  <si>
    <t>Step 7</t>
  </si>
  <si>
    <t>being eliminate the subdsidiaries assets and liabilities at the disposal date and recognise any profit or loss</t>
  </si>
  <si>
    <t>&lt;&lt;&lt;&lt;split amount assets and liabilities</t>
  </si>
  <si>
    <t>income and expenses only factored in from start of the year until the date of disposal.  P</t>
  </si>
  <si>
    <t>pro-rate any PL</t>
  </si>
  <si>
    <t>When a subsidiary is disposed of such that control is lost, it may require</t>
  </si>
  <si>
    <t>disclosure as a discontinued operation in accordance with IFRS 5 Noncurrent</t>
  </si>
  <si>
    <t>Assets Held for Sale and Discontinued Operations (See Module 4).</t>
  </si>
  <si>
    <t>Black</t>
  </si>
  <si>
    <t>Blue</t>
  </si>
  <si>
    <t>PBT</t>
  </si>
  <si>
    <t>Tax</t>
  </si>
  <si>
    <t>PAT</t>
  </si>
  <si>
    <t>finance</t>
  </si>
  <si>
    <t>admin</t>
  </si>
  <si>
    <t>dist</t>
  </si>
  <si>
    <t>other income</t>
  </si>
  <si>
    <t>GP</t>
  </si>
  <si>
    <t>COS</t>
  </si>
  <si>
    <t>rev</t>
  </si>
  <si>
    <t>E+L</t>
  </si>
  <si>
    <t>TL</t>
  </si>
  <si>
    <t>CL</t>
  </si>
  <si>
    <t>AP</t>
  </si>
  <si>
    <t>NCL</t>
  </si>
  <si>
    <t>Debt</t>
  </si>
  <si>
    <t>E</t>
  </si>
  <si>
    <t>TA</t>
  </si>
  <si>
    <t>Cash</t>
  </si>
  <si>
    <t>AR</t>
  </si>
  <si>
    <t>Inv</t>
  </si>
  <si>
    <t>INV - Blue</t>
  </si>
  <si>
    <t>PPE</t>
  </si>
  <si>
    <t>step 1: add accounts together</t>
  </si>
  <si>
    <t>Step 2: Recognise gw and NCI at date of acq</t>
  </si>
  <si>
    <t>investment in Blue</t>
  </si>
  <si>
    <t xml:space="preserve">NCI </t>
  </si>
  <si>
    <t>gw</t>
  </si>
  <si>
    <t>Disposal of shares in subsidiary</t>
  </si>
  <si>
    <t>Carrying amounr of goodwill disposed</t>
  </si>
  <si>
    <t>Net assets disposed of</t>
  </si>
  <si>
    <t>&lt;&lt;&lt;assets times control %</t>
  </si>
  <si>
    <t>dr - SPL other income</t>
  </si>
  <si>
    <t>dr - SFP NCI</t>
  </si>
  <si>
    <t>Step 6</t>
  </si>
  <si>
    <t>dr - AR</t>
  </si>
  <si>
    <t>cr - Goodwill</t>
  </si>
  <si>
    <t>cr - PPE</t>
  </si>
  <si>
    <t>cr - inventory</t>
  </si>
  <si>
    <t>cr - AR</t>
  </si>
  <si>
    <t>cr - cash</t>
  </si>
  <si>
    <t>being correction to disposal of subsidiary</t>
  </si>
  <si>
    <t>Final step</t>
  </si>
  <si>
    <t>NCI interst share of CY profit</t>
  </si>
  <si>
    <t>Correction to dispoal of subsidiary</t>
  </si>
  <si>
    <t>correction to disposal of subsidiary</t>
  </si>
  <si>
    <t>cr</t>
  </si>
  <si>
    <t>dr</t>
  </si>
  <si>
    <t>dr  -RE</t>
  </si>
  <si>
    <t>being transfer to RE</t>
  </si>
  <si>
    <t>dr to RE</t>
  </si>
  <si>
    <t>dr - gw</t>
  </si>
  <si>
    <t>cr - investment in Blue</t>
  </si>
  <si>
    <t>cr  -SFP NCI</t>
  </si>
  <si>
    <t>being elimination of investment and recognition of goodwill</t>
  </si>
  <si>
    <t>Step 3:  recognise and impairment in gw</t>
  </si>
  <si>
    <t>historical impairmnet</t>
  </si>
  <si>
    <t>dr -RE</t>
  </si>
  <si>
    <t>being historical impairment of goodwill</t>
  </si>
  <si>
    <t>Step 4:  allocate share of subsidiary historical PL and other gains/losses to Nci</t>
  </si>
  <si>
    <t>beiing NCI interest share of historical profit</t>
  </si>
  <si>
    <t>Step 5: CY profit</t>
  </si>
  <si>
    <t>dr - SPL NCI</t>
  </si>
  <si>
    <t>cr - RE</t>
  </si>
  <si>
    <t>being NCI share of CY Profit</t>
  </si>
  <si>
    <t>Eliminate IC transactions</t>
  </si>
  <si>
    <t>N/aa - no IC transactions</t>
  </si>
  <si>
    <t>Add up the liab</t>
  </si>
  <si>
    <t>Bruin</t>
  </si>
  <si>
    <t>YE</t>
  </si>
  <si>
    <t>31/02/2023</t>
  </si>
  <si>
    <t>SP</t>
  </si>
  <si>
    <t>cost</t>
  </si>
  <si>
    <t>date took control</t>
  </si>
  <si>
    <t>investment in Gumdrop</t>
  </si>
  <si>
    <t>dr - SP</t>
  </si>
  <si>
    <t>cr - investment in Gumdrop</t>
  </si>
  <si>
    <t>cr- SFP NCI</t>
  </si>
  <si>
    <t>being elimination of investment in subsidiary and recognition of goodwill at ye 31/12/2021</t>
  </si>
  <si>
    <t>being write down in goodwill.  Posted to RE as PY</t>
  </si>
  <si>
    <t>Step 3: historical profits</t>
  </si>
  <si>
    <t>increase</t>
  </si>
  <si>
    <t>Additional investment</t>
  </si>
  <si>
    <t>Additional investment in Gumdrop</t>
  </si>
  <si>
    <t>Loss on retained earnings</t>
  </si>
  <si>
    <t>dr - Investment in Gumdrop</t>
  </si>
  <si>
    <t>being elimination of additional investment and reductoin in NCI</t>
  </si>
  <si>
    <t>Shah Group</t>
  </si>
  <si>
    <t>Shah</t>
  </si>
  <si>
    <t>Mia</t>
  </si>
  <si>
    <t>investment in Mia</t>
  </si>
  <si>
    <t>cr - investment in Mia</t>
  </si>
  <si>
    <t>being elimination of investment in Mia on consol</t>
  </si>
  <si>
    <t>being subsequent impairment of gw</t>
  </si>
  <si>
    <t>dr - suspense</t>
  </si>
  <si>
    <t>being correction to gain on full disposal of subsidiary</t>
  </si>
  <si>
    <t>Simpson</t>
  </si>
  <si>
    <t>RVS</t>
  </si>
  <si>
    <t>Net Assets</t>
  </si>
  <si>
    <t>Prima</t>
  </si>
  <si>
    <t>Step 1:  add TB together</t>
  </si>
  <si>
    <t>Step 2:  eliminate investmen in sub and recognise gw</t>
  </si>
  <si>
    <t>investment in Prime</t>
  </si>
  <si>
    <t>dr - RVS</t>
  </si>
  <si>
    <t>dr  -gw</t>
  </si>
  <si>
    <t>cr - investment in Prime</t>
  </si>
  <si>
    <t>Step 3: impair gw</t>
  </si>
  <si>
    <t>cr - SPL - gain on disposal</t>
  </si>
  <si>
    <t>Step 4:  allocate historical profit and other gains and loss to non controlling interest</t>
  </si>
  <si>
    <t>revaluation surplus</t>
  </si>
  <si>
    <t>Decrease</t>
  </si>
  <si>
    <t>NCI share</t>
  </si>
  <si>
    <t>DR - SFP NCI</t>
  </si>
  <si>
    <t>cr - RVS</t>
  </si>
  <si>
    <t>being NCI share of historical revaluation decrease</t>
  </si>
  <si>
    <t>dr - SPL</t>
  </si>
  <si>
    <t>cr  -RE</t>
  </si>
  <si>
    <t>cr to RE</t>
  </si>
  <si>
    <t>Xander Group</t>
  </si>
  <si>
    <t>Finance cost</t>
  </si>
  <si>
    <t>finance income</t>
  </si>
  <si>
    <t>Other income</t>
  </si>
  <si>
    <t>Rev</t>
  </si>
  <si>
    <t>Magnum</t>
  </si>
  <si>
    <t>Step 1:  add the FS together</t>
  </si>
  <si>
    <t>Xander</t>
  </si>
  <si>
    <t>Omricon</t>
  </si>
  <si>
    <t>AGG</t>
  </si>
  <si>
    <t>Step 2:  Eliminate investment and recognisde Gw</t>
  </si>
  <si>
    <t>investment in Magnum</t>
  </si>
  <si>
    <t>cr - investment in Magnum</t>
  </si>
  <si>
    <t>being elimination of investment in sub - Magnum</t>
  </si>
  <si>
    <t>Step 3: impairment to gw</t>
  </si>
  <si>
    <t>open</t>
  </si>
  <si>
    <t>cr - GW</t>
  </si>
  <si>
    <t>being cumulative impairment in gw</t>
  </si>
  <si>
    <t>Step 4:  IC trades</t>
  </si>
  <si>
    <t>N/a - no divis</t>
  </si>
  <si>
    <t>Step 5:  Historical losses and other gains/losses</t>
  </si>
  <si>
    <t>LAT</t>
  </si>
  <si>
    <t>Step 5: CY loss</t>
  </si>
  <si>
    <t>being NCI share of CY loss</t>
  </si>
  <si>
    <t>loss on disposal</t>
  </si>
  <si>
    <t>dr - SPL - loss on disposal</t>
  </si>
  <si>
    <t>CY loss</t>
  </si>
  <si>
    <t>dr  - RE</t>
  </si>
  <si>
    <t>Step 1: eliminate the investment and recognise the gw at date of acquisition</t>
  </si>
  <si>
    <t>investment in Omicron</t>
  </si>
  <si>
    <t>Step 2:  impairment of gw</t>
  </si>
  <si>
    <t>n/a - no gw</t>
  </si>
  <si>
    <t>Step 3:  alliocated historical profits</t>
  </si>
  <si>
    <t>dividend</t>
  </si>
  <si>
    <t>dr - Finance inceom</t>
  </si>
  <si>
    <t>Step 6:  IC balances</t>
  </si>
  <si>
    <t>parent sold to sub</t>
  </si>
  <si>
    <t>revenue</t>
  </si>
  <si>
    <t>unrealised profits</t>
  </si>
  <si>
    <t>dr - COS</t>
  </si>
  <si>
    <t>being correction for unsold inventory</t>
  </si>
  <si>
    <t>missing the jouranl here to account for the NCI part</t>
  </si>
  <si>
    <t>NBV</t>
  </si>
  <si>
    <t>gain on sale</t>
  </si>
  <si>
    <t>cr - investment in omicron</t>
  </si>
  <si>
    <t>being elimination of investment and recognition of NCI at the date of incorporation</t>
  </si>
  <si>
    <t>Dividend paid</t>
  </si>
  <si>
    <t xml:space="preserve">Group share of dividend </t>
  </si>
  <si>
    <t>NCI share of dividend</t>
  </si>
  <si>
    <t>being elimination of IC dividend</t>
  </si>
  <si>
    <t>dr - SPL revenue</t>
  </si>
  <si>
    <t>cr - SPL  CPS</t>
  </si>
  <si>
    <t>being elimination of IC sales and purchases</t>
  </si>
  <si>
    <t>NCI share of gain</t>
  </si>
  <si>
    <t>dr - IA cost</t>
  </si>
  <si>
    <t>dr - SPL gain on disposal</t>
  </si>
  <si>
    <t>cr - IA AA</t>
  </si>
  <si>
    <t>being elimination of IC transfer of Non current assets</t>
  </si>
  <si>
    <t>cr - SPL NCI</t>
  </si>
  <si>
    <t>being NCI share of elimination of IC gain on disposal</t>
  </si>
  <si>
    <t>Post- transfer period</t>
  </si>
  <si>
    <t xml:space="preserve">actual amortisation charged </t>
  </si>
  <si>
    <t>equivalnet historical amortisatoin</t>
  </si>
  <si>
    <t>Excesss depr</t>
  </si>
  <si>
    <t>dr - intangibel assets AA</t>
  </si>
  <si>
    <t>cr - SPL amortisation</t>
  </si>
  <si>
    <t>being adjustment to depr charge</t>
  </si>
  <si>
    <t>Module 29</t>
  </si>
  <si>
    <t>WSE29.1</t>
  </si>
  <si>
    <t>WSE29.2</t>
  </si>
  <si>
    <t>WSE29.3</t>
  </si>
  <si>
    <t>WSE29.4</t>
  </si>
  <si>
    <t>WSE29.5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</si>
</sst>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10" fontId="1" fillId="0" borderId="0" xfId="0" applyNumberFormat="1" applyFont="1"/>
    <xf numFmtId="6" fontId="1" fillId="0" borderId="0" xfId="0" applyNumberFormat="1" applyFont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0" fontId="1" fillId="0" borderId="0" xfId="0" applyFont="1" applyFill="1"/>
    <xf numFmtId="3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0</xdr:rowOff>
    </xdr:from>
    <xdr:to>
      <xdr:col>7</xdr:col>
      <xdr:colOff>0</xdr:colOff>
      <xdr:row>119</xdr:row>
      <xdr:rowOff>68052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572A21-FDAB-992F-B3B7-D1449A916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17145000"/>
          <a:ext cx="3648807" cy="129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B7B-8EDB-4BF0-B7EC-1D709AD83C44}">
  <dimension ref="B2:C6"/>
  <sheetViews>
    <sheetView workbookViewId="0">
      <selection activeCell="C2" sqref="C2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277</v>
      </c>
      <c r="C2" s="2" t="s">
        <v>278</v>
      </c>
    </row>
    <row r="3" spans="2:3" x14ac:dyDescent="0.25">
      <c r="C3" s="2" t="s">
        <v>279</v>
      </c>
    </row>
    <row r="4" spans="2:3" x14ac:dyDescent="0.25">
      <c r="C4" s="2" t="s">
        <v>280</v>
      </c>
    </row>
    <row r="5" spans="2:3" x14ac:dyDescent="0.25">
      <c r="C5" s="2" t="s">
        <v>281</v>
      </c>
    </row>
    <row r="6" spans="2:3" x14ac:dyDescent="0.25">
      <c r="C6" s="2" t="s">
        <v>282</v>
      </c>
    </row>
  </sheetData>
  <hyperlinks>
    <hyperlink ref="B2" location="'Module 29'!A1" display="Module 29" xr:uid="{383423FD-EBB2-4FAA-8A16-0B2D1627722E}"/>
    <hyperlink ref="C2" location="WSE29.1!A1" display="WSE29.1" xr:uid="{DB989A5F-A240-4CC9-8941-7E43F2B19B5B}"/>
    <hyperlink ref="C3" location="WSE29.2!A1" display="WSE29.2" xr:uid="{C3E2D34B-9407-47AE-B10A-5E30876CDC12}"/>
    <hyperlink ref="C4" location="WSE29.3!A1" display="WSE29.3" xr:uid="{337060F8-DDA3-4F43-8A21-9957EA6CB23C}"/>
    <hyperlink ref="C5" location="WSE29.4!A1" display="WSE29.4" xr:uid="{DE3FB92D-F00D-4FB3-80F4-5350CDDFD646}"/>
    <hyperlink ref="C6" location="WSE29.5!A1" display="WSE29.5" xr:uid="{B3904CB8-BCED-4B38-B1F0-FA923DCB491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87CA-2AB8-4CD1-87A3-9B264B8F5BB4}">
  <dimension ref="A1:J247"/>
  <sheetViews>
    <sheetView topLeftCell="A206" zoomScale="130" zoomScaleNormal="130" workbookViewId="0">
      <selection activeCell="B206" sqref="B206"/>
    </sheetView>
  </sheetViews>
  <sheetFormatPr defaultRowHeight="12" x14ac:dyDescent="0.2"/>
  <cols>
    <col min="1" max="16384" width="9.140625" style="1"/>
  </cols>
  <sheetData>
    <row r="1" spans="1:8" ht="15" x14ac:dyDescent="0.25">
      <c r="A1" s="2" t="s">
        <v>1</v>
      </c>
    </row>
    <row r="2" spans="1:8" x14ac:dyDescent="0.2">
      <c r="B2" s="1" t="s">
        <v>0</v>
      </c>
    </row>
    <row r="4" spans="1:8" x14ac:dyDescent="0.2">
      <c r="B4" s="1" t="s">
        <v>2</v>
      </c>
    </row>
    <row r="5" spans="1:8" x14ac:dyDescent="0.2">
      <c r="B5" s="1" t="s">
        <v>3</v>
      </c>
    </row>
    <row r="7" spans="1:8" x14ac:dyDescent="0.2">
      <c r="B7" s="1" t="s">
        <v>4</v>
      </c>
    </row>
    <row r="9" spans="1:8" x14ac:dyDescent="0.2">
      <c r="B9" s="1" t="s">
        <v>5</v>
      </c>
      <c r="C9" s="1">
        <v>100</v>
      </c>
    </row>
    <row r="11" spans="1:8" x14ac:dyDescent="0.2">
      <c r="C11" s="1" t="s">
        <v>19</v>
      </c>
      <c r="D11" s="1" t="s">
        <v>20</v>
      </c>
      <c r="E11" s="1" t="s">
        <v>10</v>
      </c>
      <c r="F11" s="1" t="s">
        <v>21</v>
      </c>
      <c r="G11" s="1" t="s">
        <v>22</v>
      </c>
      <c r="H11" s="1" t="s">
        <v>6</v>
      </c>
    </row>
    <row r="12" spans="1:8" x14ac:dyDescent="0.2">
      <c r="B12" s="3">
        <v>44562</v>
      </c>
      <c r="C12" s="1">
        <v>15</v>
      </c>
      <c r="D12" s="1">
        <v>60</v>
      </c>
      <c r="E12" s="1">
        <v>150</v>
      </c>
      <c r="F12" s="4">
        <f>+C12/C9</f>
        <v>0.15</v>
      </c>
      <c r="G12" s="4">
        <f>F12</f>
        <v>0.15</v>
      </c>
      <c r="H12" s="1">
        <v>78</v>
      </c>
    </row>
    <row r="13" spans="1:8" x14ac:dyDescent="0.2">
      <c r="B13" s="3">
        <v>46203</v>
      </c>
      <c r="C13" s="1">
        <v>40</v>
      </c>
      <c r="D13" s="1">
        <v>320</v>
      </c>
      <c r="E13" s="1">
        <v>400</v>
      </c>
      <c r="F13" s="4">
        <f>+C13/C9</f>
        <v>0.4</v>
      </c>
      <c r="G13" s="4">
        <f>F13+G12</f>
        <v>0.55000000000000004</v>
      </c>
      <c r="H13" s="1">
        <v>85</v>
      </c>
    </row>
    <row r="16" spans="1:8" x14ac:dyDescent="0.2">
      <c r="B16" s="1" t="s">
        <v>7</v>
      </c>
    </row>
    <row r="18" spans="2:6" x14ac:dyDescent="0.2">
      <c r="B18" s="1" t="s">
        <v>8</v>
      </c>
      <c r="D18" s="5"/>
      <c r="E18" s="5">
        <f>D13+H13</f>
        <v>405</v>
      </c>
    </row>
    <row r="19" spans="2:6" x14ac:dyDescent="0.2">
      <c r="B19" s="1" t="s">
        <v>9</v>
      </c>
      <c r="D19" s="5"/>
      <c r="E19" s="5">
        <f>-0.45*E21</f>
        <v>225</v>
      </c>
    </row>
    <row r="20" spans="2:6" x14ac:dyDescent="0.2">
      <c r="B20" s="1" t="s">
        <v>5</v>
      </c>
      <c r="D20" s="5">
        <f>C9</f>
        <v>100</v>
      </c>
      <c r="E20" s="5"/>
    </row>
    <row r="21" spans="2:6" x14ac:dyDescent="0.2">
      <c r="B21" s="1" t="s">
        <v>10</v>
      </c>
      <c r="D21" s="5">
        <f>E13</f>
        <v>400</v>
      </c>
      <c r="E21" s="5">
        <f>-SUM(D20:D21)</f>
        <v>-500</v>
      </c>
    </row>
    <row r="22" spans="2:6" x14ac:dyDescent="0.2">
      <c r="B22" s="1" t="s">
        <v>11</v>
      </c>
      <c r="D22" s="5"/>
      <c r="E22" s="5">
        <f>SUM(E18:E21)</f>
        <v>130</v>
      </c>
    </row>
    <row r="25" spans="2:6" x14ac:dyDescent="0.2">
      <c r="B25" s="1" t="s">
        <v>12</v>
      </c>
      <c r="E25" s="5" cm="1">
        <f t="array" ref="E25:E26">D20:D21</f>
        <v>100</v>
      </c>
    </row>
    <row r="26" spans="2:6" x14ac:dyDescent="0.2">
      <c r="B26" s="1" t="s">
        <v>13</v>
      </c>
      <c r="E26" s="1">
        <v>400</v>
      </c>
    </row>
    <row r="27" spans="2:6" x14ac:dyDescent="0.2">
      <c r="B27" s="1" t="s">
        <v>14</v>
      </c>
      <c r="E27" s="5">
        <f>E22</f>
        <v>130</v>
      </c>
    </row>
    <row r="28" spans="2:6" x14ac:dyDescent="0.2">
      <c r="C28" s="1" t="s">
        <v>15</v>
      </c>
      <c r="F28" s="5">
        <f>E18</f>
        <v>405</v>
      </c>
    </row>
    <row r="29" spans="2:6" x14ac:dyDescent="0.2">
      <c r="C29" s="1" t="s">
        <v>16</v>
      </c>
      <c r="F29" s="5">
        <f>E19</f>
        <v>225</v>
      </c>
    </row>
    <row r="30" spans="2:6" x14ac:dyDescent="0.2">
      <c r="B30" s="1" t="s">
        <v>17</v>
      </c>
    </row>
    <row r="33" spans="2:5" x14ac:dyDescent="0.2">
      <c r="B33" s="1" t="s">
        <v>18</v>
      </c>
    </row>
    <row r="36" spans="2:5" x14ac:dyDescent="0.2">
      <c r="B36" s="1" t="s">
        <v>23</v>
      </c>
    </row>
    <row r="37" spans="2:5" x14ac:dyDescent="0.2">
      <c r="B37" s="1" t="s">
        <v>24</v>
      </c>
      <c r="C37" s="1">
        <v>270</v>
      </c>
    </row>
    <row r="38" spans="2:5" x14ac:dyDescent="0.2">
      <c r="B38" s="1" t="s">
        <v>10</v>
      </c>
      <c r="C38" s="1">
        <v>900</v>
      </c>
    </row>
    <row r="39" spans="2:5" x14ac:dyDescent="0.2">
      <c r="B39" s="1" t="s">
        <v>28</v>
      </c>
      <c r="C39" s="1">
        <v>150</v>
      </c>
    </row>
    <row r="41" spans="2:5" x14ac:dyDescent="0.2">
      <c r="B41" s="1" t="s">
        <v>25</v>
      </c>
      <c r="E41" s="1">
        <f>C37</f>
        <v>270</v>
      </c>
    </row>
    <row r="42" spans="2:5" x14ac:dyDescent="0.2">
      <c r="B42" s="1" t="s">
        <v>26</v>
      </c>
      <c r="E42" s="1">
        <f>(C38+C9)*0.2</f>
        <v>200</v>
      </c>
    </row>
    <row r="43" spans="2:5" x14ac:dyDescent="0.2">
      <c r="B43" s="1" t="s">
        <v>27</v>
      </c>
      <c r="E43" s="1">
        <f>E42-E41</f>
        <v>-70</v>
      </c>
    </row>
    <row r="46" spans="2:5" x14ac:dyDescent="0.2">
      <c r="B46" s="1" t="s">
        <v>29</v>
      </c>
    </row>
    <row r="47" spans="2:5" x14ac:dyDescent="0.2">
      <c r="B47" s="1" t="s">
        <v>30</v>
      </c>
      <c r="E47" s="1">
        <f>E42</f>
        <v>200</v>
      </c>
    </row>
    <row r="48" spans="2:5" x14ac:dyDescent="0.2">
      <c r="B48" s="1" t="s">
        <v>31</v>
      </c>
      <c r="E48" s="1">
        <f>-E43</f>
        <v>70</v>
      </c>
    </row>
    <row r="49" spans="2:6" x14ac:dyDescent="0.2">
      <c r="C49" s="1" t="s">
        <v>32</v>
      </c>
      <c r="F49" s="1">
        <f>SUM(E47:E48)</f>
        <v>270</v>
      </c>
    </row>
    <row r="50" spans="2:6" x14ac:dyDescent="0.2">
      <c r="B50" s="1" t="s">
        <v>33</v>
      </c>
    </row>
    <row r="52" spans="2:6" x14ac:dyDescent="0.2">
      <c r="B52" s="1" t="s">
        <v>34</v>
      </c>
    </row>
    <row r="53" spans="2:6" x14ac:dyDescent="0.2">
      <c r="B53" s="1" t="s">
        <v>35</v>
      </c>
    </row>
    <row r="55" spans="2:6" x14ac:dyDescent="0.2">
      <c r="B55" s="1" t="s">
        <v>36</v>
      </c>
    </row>
    <row r="57" spans="2:6" x14ac:dyDescent="0.2">
      <c r="B57" s="1" t="s">
        <v>10</v>
      </c>
      <c r="C57" s="3">
        <v>43646</v>
      </c>
      <c r="E57" s="1">
        <f>C38</f>
        <v>900</v>
      </c>
    </row>
    <row r="58" spans="2:6" x14ac:dyDescent="0.2">
      <c r="C58" s="5"/>
      <c r="D58" s="5"/>
      <c r="E58" s="5">
        <f>-C39</f>
        <v>-150</v>
      </c>
      <c r="F58" s="5"/>
    </row>
    <row r="59" spans="2:6" x14ac:dyDescent="0.2">
      <c r="C59" s="5"/>
      <c r="D59" s="5"/>
      <c r="E59" s="5">
        <f>SUM(E57:E58)</f>
        <v>750</v>
      </c>
      <c r="F59" s="5"/>
    </row>
    <row r="60" spans="2:6" x14ac:dyDescent="0.2">
      <c r="C60" s="5"/>
      <c r="D60" s="5"/>
      <c r="E60" s="5">
        <f>E13</f>
        <v>400</v>
      </c>
      <c r="F60" s="5"/>
    </row>
    <row r="61" spans="2:6" x14ac:dyDescent="0.2">
      <c r="C61" s="5"/>
      <c r="D61" s="5"/>
      <c r="E61" s="5">
        <f>E59-E60</f>
        <v>350</v>
      </c>
      <c r="F61" s="5"/>
    </row>
    <row r="62" spans="2:6" x14ac:dyDescent="0.2">
      <c r="C62" s="5"/>
      <c r="D62" s="5">
        <v>0.45</v>
      </c>
      <c r="E62" s="5">
        <f>D62*E61</f>
        <v>157.5</v>
      </c>
      <c r="F62" s="5"/>
    </row>
    <row r="63" spans="2:6" x14ac:dyDescent="0.2">
      <c r="C63" s="5"/>
      <c r="D63" s="5"/>
      <c r="E63" s="5"/>
      <c r="F63" s="5"/>
    </row>
    <row r="64" spans="2:6" x14ac:dyDescent="0.2">
      <c r="B64" s="1" t="s">
        <v>37</v>
      </c>
      <c r="C64" s="5"/>
      <c r="D64" s="5"/>
      <c r="E64" s="5">
        <f>E62</f>
        <v>157.5</v>
      </c>
      <c r="F64" s="5"/>
    </row>
    <row r="65" spans="2:6" x14ac:dyDescent="0.2">
      <c r="C65" s="5" t="s">
        <v>38</v>
      </c>
      <c r="D65" s="5"/>
      <c r="E65" s="5"/>
      <c r="F65" s="5">
        <f>E64</f>
        <v>157.5</v>
      </c>
    </row>
    <row r="66" spans="2:6" x14ac:dyDescent="0.2">
      <c r="C66" s="5"/>
      <c r="D66" s="5"/>
      <c r="E66" s="5"/>
      <c r="F66" s="5"/>
    </row>
    <row r="67" spans="2:6" x14ac:dyDescent="0.2">
      <c r="B67" s="1" t="s">
        <v>39</v>
      </c>
      <c r="C67" s="5"/>
      <c r="D67" s="5"/>
      <c r="E67" s="5"/>
      <c r="F67" s="5"/>
    </row>
    <row r="68" spans="2:6" x14ac:dyDescent="0.2">
      <c r="C68" s="5"/>
      <c r="D68" s="5"/>
      <c r="E68" s="5"/>
      <c r="F68" s="5"/>
    </row>
    <row r="69" spans="2:6" x14ac:dyDescent="0.2">
      <c r="B69" s="4">
        <v>0.45</v>
      </c>
      <c r="C69" s="5">
        <v>150</v>
      </c>
      <c r="D69" s="5">
        <f>B69*C69</f>
        <v>67.5</v>
      </c>
      <c r="E69" s="5"/>
      <c r="F69" s="5"/>
    </row>
    <row r="70" spans="2:6" x14ac:dyDescent="0.2">
      <c r="C70" s="5"/>
      <c r="D70" s="5"/>
      <c r="E70" s="5"/>
      <c r="F70" s="5"/>
    </row>
    <row r="71" spans="2:6" x14ac:dyDescent="0.2">
      <c r="B71" s="1" t="s">
        <v>40</v>
      </c>
      <c r="C71" s="5"/>
      <c r="D71" s="5"/>
      <c r="E71" s="5">
        <f>D69</f>
        <v>67.5</v>
      </c>
      <c r="F71" s="5"/>
    </row>
    <row r="72" spans="2:6" x14ac:dyDescent="0.2">
      <c r="C72" s="5" t="s">
        <v>41</v>
      </c>
      <c r="D72" s="5"/>
      <c r="E72" s="5"/>
      <c r="F72" s="5">
        <f>E71</f>
        <v>67.5</v>
      </c>
    </row>
    <row r="73" spans="2:6" x14ac:dyDescent="0.2">
      <c r="B73" s="1" t="s">
        <v>42</v>
      </c>
      <c r="C73" s="5"/>
      <c r="D73" s="5"/>
      <c r="E73" s="5"/>
      <c r="F73" s="5"/>
    </row>
    <row r="74" spans="2:6" x14ac:dyDescent="0.2">
      <c r="C74" s="5"/>
      <c r="D74" s="5"/>
      <c r="E74" s="5"/>
      <c r="F74" s="5"/>
    </row>
    <row r="75" spans="2:6" x14ac:dyDescent="0.2">
      <c r="B75" s="1" t="s">
        <v>43</v>
      </c>
      <c r="C75" s="5"/>
      <c r="D75" s="5"/>
      <c r="E75" s="5"/>
      <c r="F75" s="5"/>
    </row>
    <row r="76" spans="2:6" x14ac:dyDescent="0.2">
      <c r="B76" s="1" t="s">
        <v>44</v>
      </c>
      <c r="C76" s="5"/>
      <c r="D76" s="5"/>
      <c r="E76" s="5"/>
      <c r="F76" s="5"/>
    </row>
    <row r="77" spans="2:6" x14ac:dyDescent="0.2">
      <c r="B77" s="1" t="s">
        <v>45</v>
      </c>
      <c r="C77" s="5"/>
      <c r="D77" s="5"/>
      <c r="E77" s="5"/>
      <c r="F77" s="5"/>
    </row>
    <row r="78" spans="2:6" x14ac:dyDescent="0.2">
      <c r="C78" s="5"/>
      <c r="D78" s="5"/>
      <c r="E78" s="5"/>
      <c r="F78" s="5"/>
    </row>
    <row r="79" spans="2:6" x14ac:dyDescent="0.2">
      <c r="B79" s="1" t="s">
        <v>46</v>
      </c>
      <c r="C79" s="5"/>
      <c r="D79" s="5"/>
      <c r="E79" s="5"/>
      <c r="F79" s="5"/>
    </row>
    <row r="80" spans="2:6" x14ac:dyDescent="0.2">
      <c r="B80" s="1" t="s">
        <v>47</v>
      </c>
      <c r="C80" s="5"/>
      <c r="D80" s="5"/>
      <c r="E80" s="5"/>
      <c r="F80" s="5"/>
    </row>
    <row r="81" spans="2:6" x14ac:dyDescent="0.2">
      <c r="C81" s="5"/>
      <c r="D81" s="5"/>
      <c r="E81" s="5"/>
      <c r="F81" s="5"/>
    </row>
    <row r="82" spans="2:6" x14ac:dyDescent="0.2">
      <c r="B82" s="1" t="s">
        <v>31</v>
      </c>
      <c r="C82" s="5"/>
      <c r="D82" s="5"/>
      <c r="E82" s="5">
        <f>E71</f>
        <v>67.5</v>
      </c>
      <c r="F82" s="5"/>
    </row>
    <row r="83" spans="2:6" x14ac:dyDescent="0.2">
      <c r="C83" s="5" t="s">
        <v>48</v>
      </c>
      <c r="D83" s="5"/>
      <c r="E83" s="5"/>
      <c r="F83" s="5">
        <f>E82</f>
        <v>67.5</v>
      </c>
    </row>
    <row r="84" spans="2:6" x14ac:dyDescent="0.2">
      <c r="B84" s="1" t="s">
        <v>49</v>
      </c>
    </row>
    <row r="87" spans="2:6" x14ac:dyDescent="0.2">
      <c r="B87" s="10" t="s">
        <v>69</v>
      </c>
    </row>
    <row r="89" spans="2:6" x14ac:dyDescent="0.2">
      <c r="B89" s="1" t="s">
        <v>70</v>
      </c>
      <c r="E89" s="1">
        <v>900</v>
      </c>
    </row>
    <row r="90" spans="2:6" x14ac:dyDescent="0.2">
      <c r="B90" s="1" t="s">
        <v>71</v>
      </c>
      <c r="E90" s="1">
        <v>-50</v>
      </c>
    </row>
    <row r="91" spans="2:6" x14ac:dyDescent="0.2">
      <c r="B91" s="1" t="s">
        <v>72</v>
      </c>
      <c r="E91" s="1">
        <v>-780</v>
      </c>
    </row>
    <row r="92" spans="2:6" ht="12.75" thickBot="1" x14ac:dyDescent="0.25">
      <c r="B92" s="1" t="s">
        <v>73</v>
      </c>
      <c r="E92" s="12">
        <f>SUM(E89:E91)</f>
        <v>70</v>
      </c>
    </row>
    <row r="93" spans="2:6" ht="12.75" thickTop="1" x14ac:dyDescent="0.2"/>
    <row r="95" spans="2:6" x14ac:dyDescent="0.2">
      <c r="B95" s="1" t="s">
        <v>74</v>
      </c>
    </row>
    <row r="96" spans="2:6" x14ac:dyDescent="0.2">
      <c r="B96" s="1" t="s">
        <v>75</v>
      </c>
    </row>
    <row r="99" spans="2:7" x14ac:dyDescent="0.2">
      <c r="B99" s="1" t="s">
        <v>70</v>
      </c>
      <c r="E99" s="1">
        <v>22000</v>
      </c>
    </row>
    <row r="100" spans="2:7" x14ac:dyDescent="0.2">
      <c r="B100" s="1" t="s">
        <v>71</v>
      </c>
      <c r="E100" s="1">
        <v>1000</v>
      </c>
    </row>
    <row r="101" spans="2:7" x14ac:dyDescent="0.2">
      <c r="B101" s="1" t="s">
        <v>72</v>
      </c>
      <c r="E101" s="1">
        <v>19000</v>
      </c>
    </row>
    <row r="102" spans="2:7" ht="12.75" thickBot="1" x14ac:dyDescent="0.25">
      <c r="B102" s="1" t="s">
        <v>73</v>
      </c>
      <c r="E102" s="12">
        <f>+E99-E100-E101</f>
        <v>2000</v>
      </c>
    </row>
    <row r="103" spans="2:7" ht="12.75" thickTop="1" x14ac:dyDescent="0.2"/>
    <row r="104" spans="2:7" x14ac:dyDescent="0.2">
      <c r="B104" s="10" t="s">
        <v>82</v>
      </c>
    </row>
    <row r="105" spans="2:7" x14ac:dyDescent="0.2">
      <c r="B105" s="1" t="s">
        <v>77</v>
      </c>
      <c r="E105" s="1">
        <f>+E99</f>
        <v>22000</v>
      </c>
    </row>
    <row r="106" spans="2:7" x14ac:dyDescent="0.2">
      <c r="B106" s="1" t="s">
        <v>78</v>
      </c>
    </row>
    <row r="107" spans="2:7" x14ac:dyDescent="0.2">
      <c r="C107" s="1" t="s">
        <v>79</v>
      </c>
      <c r="F107" s="1">
        <f>+E102</f>
        <v>2000</v>
      </c>
    </row>
    <row r="108" spans="2:7" x14ac:dyDescent="0.2">
      <c r="C108" s="1" t="s">
        <v>80</v>
      </c>
      <c r="F108" s="1">
        <f>+E101</f>
        <v>19000</v>
      </c>
      <c r="G108" s="1" t="s">
        <v>84</v>
      </c>
    </row>
    <row r="109" spans="2:7" x14ac:dyDescent="0.2">
      <c r="C109" s="1" t="s">
        <v>81</v>
      </c>
      <c r="F109" s="1">
        <f>+E102</f>
        <v>2000</v>
      </c>
    </row>
    <row r="110" spans="2:7" x14ac:dyDescent="0.2">
      <c r="B110" s="1" t="s">
        <v>83</v>
      </c>
    </row>
    <row r="122" spans="2:2" x14ac:dyDescent="0.2">
      <c r="B122" s="1" t="s">
        <v>85</v>
      </c>
    </row>
    <row r="123" spans="2:2" x14ac:dyDescent="0.2">
      <c r="B123" s="1" t="s">
        <v>86</v>
      </c>
    </row>
    <row r="126" spans="2:2" x14ac:dyDescent="0.2">
      <c r="B126" s="1" t="s">
        <v>87</v>
      </c>
    </row>
    <row r="127" spans="2:2" x14ac:dyDescent="0.2">
      <c r="B127" s="1" t="s">
        <v>88</v>
      </c>
    </row>
    <row r="128" spans="2:2" x14ac:dyDescent="0.2">
      <c r="B128" s="1" t="s">
        <v>89</v>
      </c>
    </row>
    <row r="132" spans="2:5" x14ac:dyDescent="0.2">
      <c r="C132" s="1" t="s">
        <v>90</v>
      </c>
      <c r="D132" s="1" t="s">
        <v>91</v>
      </c>
    </row>
    <row r="134" spans="2:5" x14ac:dyDescent="0.2">
      <c r="B134" s="1" t="s">
        <v>114</v>
      </c>
      <c r="C134" s="1">
        <v>600</v>
      </c>
      <c r="D134" s="1">
        <v>150</v>
      </c>
      <c r="E134" s="1">
        <f>+C134+D134</f>
        <v>750</v>
      </c>
    </row>
    <row r="135" spans="2:5" x14ac:dyDescent="0.2">
      <c r="B135" s="1" t="s">
        <v>113</v>
      </c>
      <c r="C135" s="1">
        <v>160</v>
      </c>
      <c r="D135" s="1">
        <v>0</v>
      </c>
      <c r="E135" s="1">
        <f>+C135+D135</f>
        <v>160</v>
      </c>
    </row>
    <row r="136" spans="2:5" x14ac:dyDescent="0.2">
      <c r="C136" s="1">
        <f>SUM(C134:C135)</f>
        <v>760</v>
      </c>
      <c r="D136" s="1">
        <f>SUM(D134:D135)</f>
        <v>150</v>
      </c>
      <c r="E136" s="1">
        <f>SUM(E134:E135)</f>
        <v>910</v>
      </c>
    </row>
    <row r="138" spans="2:5" x14ac:dyDescent="0.2">
      <c r="B138" s="1" t="s">
        <v>112</v>
      </c>
      <c r="C138" s="1">
        <v>400</v>
      </c>
      <c r="D138" s="1">
        <v>500</v>
      </c>
      <c r="E138" s="1">
        <f>+C138+D138</f>
        <v>900</v>
      </c>
    </row>
    <row r="139" spans="2:5" x14ac:dyDescent="0.2">
      <c r="B139" s="1" t="s">
        <v>111</v>
      </c>
      <c r="C139" s="1">
        <v>60</v>
      </c>
      <c r="D139" s="1">
        <v>210</v>
      </c>
      <c r="E139" s="1">
        <f>+C139+D139</f>
        <v>270</v>
      </c>
    </row>
    <row r="140" spans="2:5" x14ac:dyDescent="0.2">
      <c r="B140" s="1" t="s">
        <v>110</v>
      </c>
      <c r="C140" s="1">
        <v>140</v>
      </c>
      <c r="D140" s="1">
        <v>150</v>
      </c>
      <c r="E140" s="1">
        <f>+C140+D140</f>
        <v>290</v>
      </c>
    </row>
    <row r="141" spans="2:5" x14ac:dyDescent="0.2">
      <c r="C141" s="1">
        <f>SUM(C138:C140)</f>
        <v>600</v>
      </c>
      <c r="D141" s="1">
        <f>SUM(D138:D140)</f>
        <v>860</v>
      </c>
      <c r="E141" s="1">
        <f>SUM(E138:E140)</f>
        <v>1460</v>
      </c>
    </row>
    <row r="142" spans="2:5" x14ac:dyDescent="0.2">
      <c r="B142" s="1" t="s">
        <v>109</v>
      </c>
      <c r="C142" s="1">
        <f>+C136+C141</f>
        <v>1360</v>
      </c>
      <c r="D142" s="1">
        <f>+D136+D141</f>
        <v>1010</v>
      </c>
      <c r="E142" s="1">
        <f>+E136+E141</f>
        <v>2370</v>
      </c>
    </row>
    <row r="145" spans="2:5" x14ac:dyDescent="0.2">
      <c r="B145" s="1" t="s">
        <v>5</v>
      </c>
      <c r="C145" s="1">
        <v>150</v>
      </c>
      <c r="D145" s="1">
        <v>100</v>
      </c>
      <c r="E145" s="1">
        <f>+C145+D145</f>
        <v>250</v>
      </c>
    </row>
    <row r="146" spans="2:5" x14ac:dyDescent="0.2">
      <c r="B146" s="1" t="s">
        <v>10</v>
      </c>
      <c r="C146" s="1">
        <v>721</v>
      </c>
      <c r="D146" s="1">
        <v>239</v>
      </c>
      <c r="E146" s="1">
        <f>+C146+D146</f>
        <v>960</v>
      </c>
    </row>
    <row r="147" spans="2:5" x14ac:dyDescent="0.2">
      <c r="B147" s="1" t="s">
        <v>108</v>
      </c>
      <c r="C147" s="1">
        <f>SUM(C145:C146)</f>
        <v>871</v>
      </c>
      <c r="D147" s="1">
        <f>SUM(D145:D146)</f>
        <v>339</v>
      </c>
      <c r="E147" s="1">
        <f>SUM(E145:E146)</f>
        <v>1210</v>
      </c>
    </row>
    <row r="149" spans="2:5" x14ac:dyDescent="0.2">
      <c r="B149" s="1" t="s">
        <v>107</v>
      </c>
      <c r="C149" s="1">
        <v>200</v>
      </c>
      <c r="D149" s="1">
        <v>0</v>
      </c>
      <c r="E149" s="1">
        <f>+C149+D149</f>
        <v>200</v>
      </c>
    </row>
    <row r="150" spans="2:5" x14ac:dyDescent="0.2">
      <c r="B150" s="1" t="s">
        <v>106</v>
      </c>
      <c r="C150" s="1">
        <f>SUM(C149)</f>
        <v>200</v>
      </c>
      <c r="D150" s="1">
        <f>SUM(D149)</f>
        <v>0</v>
      </c>
      <c r="E150" s="1">
        <f>SUM(E149)</f>
        <v>200</v>
      </c>
    </row>
    <row r="152" spans="2:5" x14ac:dyDescent="0.2">
      <c r="B152" s="1" t="s">
        <v>105</v>
      </c>
      <c r="C152" s="1">
        <v>289</v>
      </c>
      <c r="D152" s="1">
        <v>671</v>
      </c>
      <c r="E152" s="1">
        <f>+C152+D152</f>
        <v>960</v>
      </c>
    </row>
    <row r="153" spans="2:5" x14ac:dyDescent="0.2">
      <c r="B153" s="1" t="s">
        <v>104</v>
      </c>
      <c r="C153" s="1">
        <f>SUM(C152)</f>
        <v>289</v>
      </c>
      <c r="D153" s="1">
        <f>SUM(D152)</f>
        <v>671</v>
      </c>
      <c r="E153" s="1">
        <f>SUM(E152)</f>
        <v>960</v>
      </c>
    </row>
    <row r="154" spans="2:5" x14ac:dyDescent="0.2">
      <c r="B154" s="1" t="s">
        <v>103</v>
      </c>
      <c r="C154" s="1">
        <f>+C150+C153</f>
        <v>489</v>
      </c>
      <c r="D154" s="1">
        <f>+D150+D153</f>
        <v>671</v>
      </c>
      <c r="E154" s="1">
        <f>+E150+E153</f>
        <v>1160</v>
      </c>
    </row>
    <row r="155" spans="2:5" x14ac:dyDescent="0.2">
      <c r="B155" s="1" t="s">
        <v>102</v>
      </c>
      <c r="C155" s="1">
        <f>+C154+C147</f>
        <v>1360</v>
      </c>
      <c r="D155" s="1">
        <f>+D154+D147</f>
        <v>1010</v>
      </c>
      <c r="E155" s="1">
        <f>+E154+E147</f>
        <v>2370</v>
      </c>
    </row>
    <row r="158" spans="2:5" x14ac:dyDescent="0.2">
      <c r="B158" s="1" t="s">
        <v>101</v>
      </c>
      <c r="C158" s="1">
        <v>3682</v>
      </c>
      <c r="D158" s="1">
        <v>2010</v>
      </c>
      <c r="E158" s="1">
        <f>+C158+D158</f>
        <v>5692</v>
      </c>
    </row>
    <row r="159" spans="2:5" x14ac:dyDescent="0.2">
      <c r="B159" s="1" t="s">
        <v>100</v>
      </c>
      <c r="C159" s="1">
        <v>-3181</v>
      </c>
      <c r="D159" s="1">
        <v>-1845</v>
      </c>
      <c r="E159" s="1">
        <f>+C159+D159</f>
        <v>-5026</v>
      </c>
    </row>
    <row r="160" spans="2:5" x14ac:dyDescent="0.2">
      <c r="B160" s="1" t="s">
        <v>99</v>
      </c>
      <c r="C160" s="1">
        <f>SUM(C158:C159)</f>
        <v>501</v>
      </c>
      <c r="D160" s="1">
        <f>SUM(D158:D159)</f>
        <v>165</v>
      </c>
      <c r="E160" s="1">
        <f>SUM(E158:E159)</f>
        <v>666</v>
      </c>
    </row>
    <row r="161" spans="2:6" x14ac:dyDescent="0.2">
      <c r="B161" s="1" t="s">
        <v>98</v>
      </c>
      <c r="C161" s="1">
        <v>300</v>
      </c>
      <c r="D161" s="1">
        <v>-14</v>
      </c>
      <c r="E161" s="1">
        <f>+C161+D161</f>
        <v>286</v>
      </c>
    </row>
    <row r="162" spans="2:6" x14ac:dyDescent="0.2">
      <c r="B162" s="1" t="s">
        <v>97</v>
      </c>
      <c r="C162" s="1">
        <v>-96</v>
      </c>
      <c r="D162" s="1">
        <v>0</v>
      </c>
      <c r="E162" s="1">
        <f>+C162+D162</f>
        <v>-96</v>
      </c>
    </row>
    <row r="163" spans="2:6" x14ac:dyDescent="0.2">
      <c r="B163" s="1" t="s">
        <v>96</v>
      </c>
      <c r="C163" s="1">
        <v>-289</v>
      </c>
      <c r="D163" s="1">
        <v>-106</v>
      </c>
      <c r="E163" s="1">
        <f>+C163+D163</f>
        <v>-395</v>
      </c>
    </row>
    <row r="164" spans="2:6" x14ac:dyDescent="0.2">
      <c r="B164" s="1" t="s">
        <v>95</v>
      </c>
      <c r="C164" s="1">
        <v>-12</v>
      </c>
      <c r="D164" s="1">
        <v>-3</v>
      </c>
      <c r="E164" s="1">
        <f>+C164+D164</f>
        <v>-15</v>
      </c>
    </row>
    <row r="165" spans="2:6" x14ac:dyDescent="0.2">
      <c r="B165" s="1" t="s">
        <v>92</v>
      </c>
      <c r="C165" s="1">
        <f>SUM(C160:C164)</f>
        <v>404</v>
      </c>
      <c r="D165" s="1">
        <f>SUM(D160:D164)</f>
        <v>42</v>
      </c>
      <c r="E165" s="1">
        <f>SUM(E160:E164)</f>
        <v>446</v>
      </c>
    </row>
    <row r="166" spans="2:6" x14ac:dyDescent="0.2">
      <c r="B166" s="1" t="s">
        <v>93</v>
      </c>
      <c r="C166" s="1">
        <v>-45</v>
      </c>
      <c r="D166" s="1">
        <v>-24</v>
      </c>
      <c r="E166" s="1">
        <f>+C166+D166</f>
        <v>-69</v>
      </c>
    </row>
    <row r="167" spans="2:6" x14ac:dyDescent="0.2">
      <c r="B167" s="1" t="s">
        <v>94</v>
      </c>
      <c r="C167" s="1">
        <f>SUM(C165:C166)</f>
        <v>359</v>
      </c>
      <c r="D167" s="1">
        <f>SUM(D165:D166)</f>
        <v>18</v>
      </c>
      <c r="E167" s="1">
        <f>SUM(E165:E166)</f>
        <v>377</v>
      </c>
    </row>
    <row r="170" spans="2:6" x14ac:dyDescent="0.2">
      <c r="B170" s="1" t="s">
        <v>115</v>
      </c>
    </row>
    <row r="172" spans="2:6" x14ac:dyDescent="0.2">
      <c r="B172" s="1" t="s">
        <v>116</v>
      </c>
    </row>
    <row r="174" spans="2:6" x14ac:dyDescent="0.2">
      <c r="B174" s="1" t="s">
        <v>117</v>
      </c>
      <c r="D174" s="5"/>
      <c r="E174" s="5">
        <f>+C135</f>
        <v>160</v>
      </c>
      <c r="F174" s="5"/>
    </row>
    <row r="175" spans="2:6" x14ac:dyDescent="0.2">
      <c r="B175" s="1" t="s">
        <v>118</v>
      </c>
      <c r="D175" s="5"/>
      <c r="E175" s="5">
        <f>-20/D145*E177</f>
        <v>37.200000000000003</v>
      </c>
      <c r="F175" s="5"/>
    </row>
    <row r="176" spans="2:6" x14ac:dyDescent="0.2">
      <c r="B176" s="1" t="s">
        <v>5</v>
      </c>
      <c r="D176" s="5">
        <f>+D145</f>
        <v>100</v>
      </c>
      <c r="E176" s="5"/>
      <c r="F176" s="5"/>
    </row>
    <row r="177" spans="2:6" x14ac:dyDescent="0.2">
      <c r="B177" s="1" t="s">
        <v>10</v>
      </c>
      <c r="D177" s="5">
        <v>86</v>
      </c>
      <c r="E177" s="5">
        <f>-SUM(D176:D177)</f>
        <v>-186</v>
      </c>
      <c r="F177" s="5"/>
    </row>
    <row r="178" spans="2:6" x14ac:dyDescent="0.2">
      <c r="B178" s="1" t="s">
        <v>119</v>
      </c>
      <c r="D178" s="5"/>
      <c r="E178" s="5">
        <f>SUM(E174:E177)</f>
        <v>11.199999999999989</v>
      </c>
      <c r="F178" s="5"/>
    </row>
    <row r="179" spans="2:6" x14ac:dyDescent="0.2">
      <c r="D179" s="5"/>
      <c r="E179" s="5"/>
      <c r="F179" s="5"/>
    </row>
    <row r="180" spans="2:6" x14ac:dyDescent="0.2">
      <c r="B180" s="1" t="s">
        <v>12</v>
      </c>
      <c r="D180" s="5"/>
      <c r="E180" s="5">
        <f>+D176</f>
        <v>100</v>
      </c>
      <c r="F180" s="5"/>
    </row>
    <row r="181" spans="2:6" x14ac:dyDescent="0.2">
      <c r="B181" s="1" t="s">
        <v>31</v>
      </c>
      <c r="D181" s="5"/>
      <c r="E181" s="5">
        <f>+D177</f>
        <v>86</v>
      </c>
      <c r="F181" s="5"/>
    </row>
    <row r="182" spans="2:6" x14ac:dyDescent="0.2">
      <c r="B182" s="1" t="s">
        <v>143</v>
      </c>
      <c r="D182" s="5"/>
      <c r="E182" s="5">
        <f>+E178</f>
        <v>11.199999999999989</v>
      </c>
      <c r="F182" s="5"/>
    </row>
    <row r="183" spans="2:6" x14ac:dyDescent="0.2">
      <c r="C183" s="1" t="s">
        <v>144</v>
      </c>
      <c r="D183" s="5"/>
      <c r="E183" s="5"/>
      <c r="F183" s="5">
        <f>+E174</f>
        <v>160</v>
      </c>
    </row>
    <row r="184" spans="2:6" x14ac:dyDescent="0.2">
      <c r="C184" s="1" t="s">
        <v>145</v>
      </c>
      <c r="D184" s="5"/>
      <c r="E184" s="5"/>
      <c r="F184" s="5">
        <f>+E175</f>
        <v>37.200000000000003</v>
      </c>
    </row>
    <row r="185" spans="2:6" x14ac:dyDescent="0.2">
      <c r="B185" s="1" t="s">
        <v>146</v>
      </c>
      <c r="D185" s="5"/>
      <c r="E185" s="5"/>
      <c r="F185" s="5"/>
    </row>
    <row r="186" spans="2:6" x14ac:dyDescent="0.2">
      <c r="D186" s="5"/>
      <c r="E186" s="5"/>
      <c r="F186" s="5"/>
    </row>
    <row r="187" spans="2:6" x14ac:dyDescent="0.2">
      <c r="B187" s="1" t="s">
        <v>147</v>
      </c>
      <c r="D187" s="5"/>
      <c r="E187" s="5"/>
      <c r="F187" s="5"/>
    </row>
    <row r="188" spans="2:6" x14ac:dyDescent="0.2">
      <c r="B188" s="1" t="s">
        <v>148</v>
      </c>
      <c r="D188" s="5"/>
      <c r="E188" s="4">
        <v>0.2</v>
      </c>
      <c r="F188" s="5"/>
    </row>
    <row r="189" spans="2:6" x14ac:dyDescent="0.2">
      <c r="D189" s="5"/>
      <c r="E189" s="5">
        <f>+E182</f>
        <v>11.199999999999989</v>
      </c>
      <c r="F189" s="5"/>
    </row>
    <row r="190" spans="2:6" x14ac:dyDescent="0.2">
      <c r="D190" s="5"/>
      <c r="E190" s="5">
        <f>+E188*E189</f>
        <v>2.239999999999998</v>
      </c>
      <c r="F190" s="5"/>
    </row>
    <row r="191" spans="2:6" x14ac:dyDescent="0.2">
      <c r="D191" s="5"/>
      <c r="E191" s="5"/>
      <c r="F191" s="5"/>
    </row>
    <row r="192" spans="2:6" x14ac:dyDescent="0.2">
      <c r="B192" s="1" t="s">
        <v>149</v>
      </c>
      <c r="D192" s="5"/>
      <c r="E192" s="5">
        <f>+E190</f>
        <v>2.239999999999998</v>
      </c>
      <c r="F192" s="5"/>
    </row>
    <row r="193" spans="2:10" x14ac:dyDescent="0.2">
      <c r="C193" s="1" t="s">
        <v>79</v>
      </c>
      <c r="D193" s="5"/>
      <c r="E193" s="5"/>
      <c r="F193" s="5">
        <f>+E192</f>
        <v>2.239999999999998</v>
      </c>
    </row>
    <row r="194" spans="2:10" x14ac:dyDescent="0.2">
      <c r="B194" s="1" t="s">
        <v>150</v>
      </c>
      <c r="D194" s="5"/>
      <c r="E194" s="5"/>
      <c r="F194" s="5"/>
    </row>
    <row r="195" spans="2:10" x14ac:dyDescent="0.2">
      <c r="D195" s="5"/>
      <c r="E195" s="5"/>
      <c r="F195" s="5"/>
    </row>
    <row r="196" spans="2:10" x14ac:dyDescent="0.2">
      <c r="B196" s="1" t="s">
        <v>151</v>
      </c>
      <c r="D196" s="5"/>
      <c r="E196" s="5"/>
      <c r="F196" s="5"/>
    </row>
    <row r="197" spans="2:10" x14ac:dyDescent="0.2">
      <c r="D197" s="5"/>
      <c r="E197" s="5"/>
      <c r="F197" s="5"/>
    </row>
    <row r="198" spans="2:10" x14ac:dyDescent="0.2">
      <c r="B198" s="1" t="s">
        <v>10</v>
      </c>
      <c r="C198" s="3">
        <v>47118</v>
      </c>
      <c r="D198" s="5"/>
      <c r="E198" s="5">
        <f>+D146</f>
        <v>239</v>
      </c>
      <c r="F198" s="5"/>
    </row>
    <row r="199" spans="2:10" x14ac:dyDescent="0.2">
      <c r="B199" s="1" t="s">
        <v>94</v>
      </c>
      <c r="C199" s="3">
        <v>47118</v>
      </c>
      <c r="D199" s="5"/>
      <c r="E199" s="5">
        <f>-D167</f>
        <v>-18</v>
      </c>
      <c r="F199" s="5"/>
    </row>
    <row r="200" spans="2:10" x14ac:dyDescent="0.2">
      <c r="B200" s="1" t="s">
        <v>10</v>
      </c>
      <c r="C200" s="3">
        <v>46752</v>
      </c>
      <c r="D200" s="5"/>
      <c r="E200" s="5">
        <f>SUM(E198:E199)</f>
        <v>221</v>
      </c>
      <c r="F200" s="5"/>
    </row>
    <row r="201" spans="2:10" x14ac:dyDescent="0.2">
      <c r="B201" s="1" t="s">
        <v>10</v>
      </c>
      <c r="C201" s="3">
        <v>44197</v>
      </c>
      <c r="D201" s="5"/>
      <c r="E201" s="5">
        <v>86</v>
      </c>
      <c r="F201" s="5"/>
    </row>
    <row r="202" spans="2:10" x14ac:dyDescent="0.2">
      <c r="D202" s="5"/>
      <c r="E202" s="5">
        <f>+E200-E201</f>
        <v>135</v>
      </c>
      <c r="F202" s="5"/>
    </row>
    <row r="203" spans="2:10" x14ac:dyDescent="0.2">
      <c r="D203" s="5"/>
      <c r="E203" s="5">
        <f>0.2*E202</f>
        <v>27</v>
      </c>
      <c r="F203" s="5" t="s">
        <v>76</v>
      </c>
      <c r="J203" s="14"/>
    </row>
    <row r="204" spans="2:10" x14ac:dyDescent="0.2">
      <c r="D204" s="5"/>
      <c r="E204" s="5"/>
      <c r="F204" s="5"/>
      <c r="J204" s="14"/>
    </row>
    <row r="205" spans="2:10" x14ac:dyDescent="0.2">
      <c r="B205" s="1" t="s">
        <v>140</v>
      </c>
      <c r="D205" s="5"/>
      <c r="E205" s="5">
        <f>+E203</f>
        <v>27</v>
      </c>
      <c r="F205" s="5"/>
      <c r="J205" s="14"/>
    </row>
    <row r="206" spans="2:10" x14ac:dyDescent="0.2">
      <c r="C206" s="1" t="s">
        <v>145</v>
      </c>
      <c r="D206" s="5"/>
      <c r="E206" s="5"/>
      <c r="F206" s="5">
        <f>+E205</f>
        <v>27</v>
      </c>
      <c r="J206" s="14"/>
    </row>
    <row r="207" spans="2:10" x14ac:dyDescent="0.2">
      <c r="B207" s="1" t="s">
        <v>152</v>
      </c>
      <c r="D207" s="5"/>
      <c r="E207" s="5"/>
      <c r="F207" s="5"/>
      <c r="J207" s="14"/>
    </row>
    <row r="208" spans="2:10" x14ac:dyDescent="0.2">
      <c r="D208" s="5"/>
      <c r="E208" s="5"/>
      <c r="F208" s="5"/>
      <c r="J208" s="14"/>
    </row>
    <row r="209" spans="2:10" x14ac:dyDescent="0.2">
      <c r="B209" s="1" t="s">
        <v>153</v>
      </c>
      <c r="D209" s="5"/>
      <c r="E209" s="5"/>
      <c r="F209" s="5"/>
      <c r="J209" s="14"/>
    </row>
    <row r="210" spans="2:10" x14ac:dyDescent="0.2">
      <c r="D210" s="5"/>
      <c r="E210" s="5"/>
      <c r="F210" s="5"/>
      <c r="J210" s="14"/>
    </row>
    <row r="211" spans="2:10" x14ac:dyDescent="0.2">
      <c r="B211" s="1" t="s">
        <v>154</v>
      </c>
      <c r="D211" s="5"/>
      <c r="E211" s="5">
        <f>+D167*0.2</f>
        <v>3.6</v>
      </c>
      <c r="F211" s="5"/>
      <c r="J211" s="14"/>
    </row>
    <row r="212" spans="2:10" x14ac:dyDescent="0.2">
      <c r="C212" s="1" t="s">
        <v>38</v>
      </c>
      <c r="D212" s="5"/>
      <c r="E212" s="5"/>
      <c r="F212" s="5">
        <f>+E211</f>
        <v>3.6</v>
      </c>
      <c r="J212" s="14"/>
    </row>
    <row r="213" spans="2:10" x14ac:dyDescent="0.2">
      <c r="B213" s="1" t="s">
        <v>156</v>
      </c>
      <c r="D213" s="5"/>
      <c r="E213" s="5"/>
      <c r="F213" s="5"/>
      <c r="J213" s="14"/>
    </row>
    <row r="214" spans="2:10" x14ac:dyDescent="0.2">
      <c r="D214" s="5"/>
      <c r="E214" s="5"/>
      <c r="F214" s="5"/>
      <c r="J214" s="14"/>
    </row>
    <row r="215" spans="2:10" x14ac:dyDescent="0.2">
      <c r="B215" s="1" t="s">
        <v>126</v>
      </c>
      <c r="D215" s="5"/>
      <c r="E215" s="5"/>
      <c r="F215" s="5"/>
      <c r="J215" s="14"/>
    </row>
    <row r="216" spans="2:10" x14ac:dyDescent="0.2">
      <c r="B216" s="1" t="s">
        <v>157</v>
      </c>
      <c r="D216" s="5"/>
      <c r="E216" s="5"/>
      <c r="F216" s="5"/>
      <c r="J216" s="14"/>
    </row>
    <row r="217" spans="2:10" x14ac:dyDescent="0.2">
      <c r="B217" s="1" t="s">
        <v>158</v>
      </c>
      <c r="D217" s="5"/>
      <c r="E217" s="5"/>
      <c r="F217" s="5"/>
      <c r="J217" s="14"/>
    </row>
    <row r="218" spans="2:10" x14ac:dyDescent="0.2">
      <c r="D218" s="5"/>
      <c r="E218" s="5"/>
      <c r="F218" s="5"/>
    </row>
    <row r="219" spans="2:10" x14ac:dyDescent="0.2">
      <c r="B219" s="1" t="s">
        <v>82</v>
      </c>
      <c r="D219" s="5"/>
      <c r="E219" s="5"/>
      <c r="F219" s="5"/>
    </row>
    <row r="220" spans="2:10" x14ac:dyDescent="0.2">
      <c r="D220" s="5"/>
      <c r="E220" s="5"/>
      <c r="F220" s="5"/>
    </row>
    <row r="221" spans="2:10" x14ac:dyDescent="0.2">
      <c r="B221" s="1" t="s">
        <v>120</v>
      </c>
      <c r="D221" s="5"/>
      <c r="E221" s="5"/>
      <c r="F221" s="5"/>
    </row>
    <row r="222" spans="2:10" x14ac:dyDescent="0.2">
      <c r="B222" s="1" t="s">
        <v>70</v>
      </c>
      <c r="D222" s="5"/>
      <c r="E222" s="5">
        <v>300</v>
      </c>
      <c r="F222" s="5"/>
    </row>
    <row r="223" spans="2:10" x14ac:dyDescent="0.2">
      <c r="B223" s="1" t="s">
        <v>121</v>
      </c>
      <c r="D223" s="5"/>
      <c r="E223" s="5">
        <f>+E182-F193</f>
        <v>8.9599999999999902</v>
      </c>
      <c r="F223" s="5"/>
    </row>
    <row r="224" spans="2:10" x14ac:dyDescent="0.2">
      <c r="B224" s="1" t="s">
        <v>122</v>
      </c>
      <c r="D224" s="5"/>
      <c r="E224" s="5">
        <f>+D147*0.8</f>
        <v>271.2</v>
      </c>
      <c r="F224" s="5" t="s">
        <v>123</v>
      </c>
    </row>
    <row r="225" spans="2:6" ht="12.75" thickBot="1" x14ac:dyDescent="0.25">
      <c r="B225" s="1" t="s">
        <v>73</v>
      </c>
      <c r="D225" s="5"/>
      <c r="E225" s="13">
        <f>+E222-E223-E224</f>
        <v>19.840000000000032</v>
      </c>
      <c r="F225" s="5"/>
    </row>
    <row r="226" spans="2:6" ht="12.75" thickTop="1" x14ac:dyDescent="0.2">
      <c r="D226" s="5"/>
      <c r="E226" s="5"/>
      <c r="F226" s="5"/>
    </row>
    <row r="227" spans="2:6" x14ac:dyDescent="0.2">
      <c r="D227" s="5"/>
      <c r="E227" s="5"/>
      <c r="F227" s="5"/>
    </row>
    <row r="228" spans="2:6" x14ac:dyDescent="0.2">
      <c r="B228" s="1" t="s">
        <v>124</v>
      </c>
      <c r="D228" s="5"/>
      <c r="E228" s="5">
        <f>+E222</f>
        <v>300</v>
      </c>
      <c r="F228" s="5"/>
    </row>
    <row r="229" spans="2:6" x14ac:dyDescent="0.2">
      <c r="B229" s="1" t="s">
        <v>125</v>
      </c>
      <c r="D229" s="5" t="s">
        <v>159</v>
      </c>
      <c r="E229" s="5">
        <f>+E224/0.8</f>
        <v>338.99999999999994</v>
      </c>
      <c r="F229" s="5"/>
    </row>
    <row r="230" spans="2:6" x14ac:dyDescent="0.2">
      <c r="B230" s="1" t="s">
        <v>127</v>
      </c>
      <c r="D230" s="5"/>
      <c r="E230" s="5">
        <f>+D152</f>
        <v>671</v>
      </c>
      <c r="F230" s="5"/>
    </row>
    <row r="231" spans="2:6" x14ac:dyDescent="0.2">
      <c r="C231" s="1" t="s">
        <v>128</v>
      </c>
      <c r="D231" s="5"/>
      <c r="E231" s="5"/>
      <c r="F231" s="5">
        <f>+E223</f>
        <v>8.9599999999999902</v>
      </c>
    </row>
    <row r="232" spans="2:6" x14ac:dyDescent="0.2">
      <c r="C232" s="1" t="s">
        <v>129</v>
      </c>
      <c r="D232" s="5"/>
      <c r="E232" s="5"/>
      <c r="F232" s="5">
        <f>+D134</f>
        <v>150</v>
      </c>
    </row>
    <row r="233" spans="2:6" x14ac:dyDescent="0.2">
      <c r="C233" s="1" t="s">
        <v>130</v>
      </c>
      <c r="D233" s="5"/>
      <c r="E233" s="5"/>
      <c r="F233" s="5">
        <f>+D138</f>
        <v>500</v>
      </c>
    </row>
    <row r="234" spans="2:6" x14ac:dyDescent="0.2">
      <c r="C234" s="1" t="s">
        <v>131</v>
      </c>
      <c r="D234" s="5"/>
      <c r="E234" s="5"/>
      <c r="F234" s="5">
        <f>+D139</f>
        <v>210</v>
      </c>
    </row>
    <row r="235" spans="2:6" x14ac:dyDescent="0.2">
      <c r="C235" s="1" t="s">
        <v>132</v>
      </c>
      <c r="D235" s="5"/>
      <c r="E235" s="5"/>
      <c r="F235" s="5">
        <f>+D140</f>
        <v>150</v>
      </c>
    </row>
    <row r="236" spans="2:6" x14ac:dyDescent="0.2">
      <c r="C236" s="1" t="s">
        <v>48</v>
      </c>
      <c r="D236" s="5"/>
      <c r="E236" s="5"/>
      <c r="F236" s="5">
        <f>+E225</f>
        <v>19.840000000000032</v>
      </c>
    </row>
    <row r="237" spans="2:6" x14ac:dyDescent="0.2">
      <c r="B237" s="1" t="s">
        <v>133</v>
      </c>
    </row>
    <row r="239" spans="2:6" x14ac:dyDescent="0.2">
      <c r="B239" s="1" t="s">
        <v>134</v>
      </c>
    </row>
    <row r="240" spans="2:6" x14ac:dyDescent="0.2">
      <c r="B240" s="1" t="s">
        <v>135</v>
      </c>
      <c r="E240" s="1">
        <v>4</v>
      </c>
      <c r="F240" s="1" t="s">
        <v>139</v>
      </c>
    </row>
    <row r="241" spans="2:6" x14ac:dyDescent="0.2">
      <c r="B241" s="1" t="s">
        <v>136</v>
      </c>
      <c r="E241" s="5">
        <f>+E228</f>
        <v>300</v>
      </c>
      <c r="F241" s="1" t="s">
        <v>139</v>
      </c>
    </row>
    <row r="242" spans="2:6" x14ac:dyDescent="0.2">
      <c r="B242" s="1" t="s">
        <v>137</v>
      </c>
      <c r="E242" s="5">
        <f>+F236</f>
        <v>19.840000000000032</v>
      </c>
      <c r="F242" s="1" t="s">
        <v>138</v>
      </c>
    </row>
    <row r="243" spans="2:6" ht="12.75" thickBot="1" x14ac:dyDescent="0.25">
      <c r="E243" s="13">
        <f>+E240+E241-E242</f>
        <v>284.15999999999997</v>
      </c>
      <c r="F243" s="1" t="s">
        <v>142</v>
      </c>
    </row>
    <row r="244" spans="2:6" ht="12.75" thickTop="1" x14ac:dyDescent="0.2"/>
    <row r="245" spans="2:6" x14ac:dyDescent="0.2">
      <c r="B245" s="1" t="s">
        <v>140</v>
      </c>
      <c r="E245" s="5">
        <f>+E243</f>
        <v>284.15999999999997</v>
      </c>
    </row>
    <row r="246" spans="2:6" x14ac:dyDescent="0.2">
      <c r="C246" s="1" t="s">
        <v>48</v>
      </c>
      <c r="F246" s="5">
        <f>+E245</f>
        <v>284.15999999999997</v>
      </c>
    </row>
    <row r="247" spans="2:6" x14ac:dyDescent="0.2">
      <c r="B247" s="1" t="s">
        <v>141</v>
      </c>
    </row>
  </sheetData>
  <hyperlinks>
    <hyperlink ref="A1" location="Main!A1" display="Main" xr:uid="{FE638D56-84A8-4070-BEF0-DBF84399EAA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CEA-24A2-48F0-BA33-266232C41B0D}">
  <dimension ref="A1:H70"/>
  <sheetViews>
    <sheetView tabSelected="1" zoomScale="175" zoomScaleNormal="175" workbookViewId="0">
      <selection activeCell="C4" sqref="C4"/>
    </sheetView>
  </sheetViews>
  <sheetFormatPr defaultRowHeight="12" x14ac:dyDescent="0.2"/>
  <cols>
    <col min="1" max="1" width="9.140625" style="1"/>
    <col min="2" max="2" width="9.42578125" style="1" bestFit="1" customWidth="1"/>
    <col min="3" max="16384" width="9.140625" style="1"/>
  </cols>
  <sheetData>
    <row r="1" spans="1:8" ht="15" x14ac:dyDescent="0.25">
      <c r="A1" s="2" t="s">
        <v>1</v>
      </c>
    </row>
    <row r="2" spans="1:8" x14ac:dyDescent="0.2">
      <c r="B2" s="1" t="s">
        <v>50</v>
      </c>
    </row>
    <row r="3" spans="1:8" x14ac:dyDescent="0.2">
      <c r="B3" s="1" t="s">
        <v>51</v>
      </c>
      <c r="C3" s="3">
        <v>46934</v>
      </c>
    </row>
    <row r="4" spans="1:8" x14ac:dyDescent="0.2">
      <c r="B4" s="1" t="s">
        <v>52</v>
      </c>
    </row>
    <row r="6" spans="1:8" x14ac:dyDescent="0.2">
      <c r="B6" s="1" t="s">
        <v>55</v>
      </c>
      <c r="C6" s="1">
        <v>1600</v>
      </c>
    </row>
    <row r="7" spans="1:8" x14ac:dyDescent="0.2">
      <c r="B7" s="1" t="s">
        <v>53</v>
      </c>
      <c r="C7" s="6">
        <v>0.25</v>
      </c>
    </row>
    <row r="8" spans="1:8" x14ac:dyDescent="0.2">
      <c r="B8" s="1" t="s">
        <v>5</v>
      </c>
      <c r="C8" s="5">
        <f>+C6*C7</f>
        <v>400</v>
      </c>
    </row>
    <row r="10" spans="1:8" x14ac:dyDescent="0.2">
      <c r="C10" s="1" t="s">
        <v>19</v>
      </c>
      <c r="D10" s="1" t="s">
        <v>54</v>
      </c>
      <c r="E10" s="1" t="s">
        <v>10</v>
      </c>
      <c r="F10" s="1" t="s">
        <v>56</v>
      </c>
      <c r="G10" s="1" t="s">
        <v>57</v>
      </c>
      <c r="H10" s="1" t="s">
        <v>6</v>
      </c>
    </row>
    <row r="11" spans="1:8" x14ac:dyDescent="0.2">
      <c r="B11" s="3">
        <v>45229</v>
      </c>
      <c r="C11" s="5">
        <v>80</v>
      </c>
      <c r="D11" s="5">
        <v>160</v>
      </c>
      <c r="E11" s="5">
        <v>1800</v>
      </c>
      <c r="F11" s="4">
        <f>+C11/$C$6</f>
        <v>0.05</v>
      </c>
      <c r="G11" s="4">
        <f>+F11</f>
        <v>0.05</v>
      </c>
      <c r="H11" s="1">
        <v>200</v>
      </c>
    </row>
    <row r="12" spans="1:8" x14ac:dyDescent="0.2">
      <c r="B12" s="3">
        <v>44286</v>
      </c>
      <c r="C12" s="5">
        <v>192</v>
      </c>
      <c r="D12" s="5">
        <v>403</v>
      </c>
      <c r="E12" s="5">
        <v>2200</v>
      </c>
      <c r="F12" s="4">
        <f t="shared" ref="F12:F14" si="0">+C12/$C$6</f>
        <v>0.12</v>
      </c>
      <c r="G12" s="4">
        <f>+F12+G11</f>
        <v>0.16999999999999998</v>
      </c>
      <c r="H12" s="1">
        <v>480</v>
      </c>
    </row>
    <row r="13" spans="1:8" x14ac:dyDescent="0.2">
      <c r="B13" s="7">
        <v>46568</v>
      </c>
      <c r="C13" s="8">
        <v>640</v>
      </c>
      <c r="D13" s="8">
        <v>1440</v>
      </c>
      <c r="E13" s="8">
        <v>3000</v>
      </c>
      <c r="F13" s="9">
        <f t="shared" si="0"/>
        <v>0.4</v>
      </c>
      <c r="G13" s="9">
        <f t="shared" ref="G13:G14" si="1">+F13+G12</f>
        <v>0.57000000000000006</v>
      </c>
      <c r="H13" s="8">
        <f>+D13</f>
        <v>1440</v>
      </c>
    </row>
    <row r="14" spans="1:8" x14ac:dyDescent="0.2">
      <c r="B14" s="3">
        <v>46752</v>
      </c>
      <c r="C14" s="5">
        <v>160</v>
      </c>
      <c r="D14" s="5">
        <v>450</v>
      </c>
      <c r="E14" s="5">
        <v>3500</v>
      </c>
      <c r="F14" s="4">
        <f t="shared" si="0"/>
        <v>0.1</v>
      </c>
      <c r="G14" s="4">
        <f t="shared" si="1"/>
        <v>0.67</v>
      </c>
    </row>
    <row r="17" spans="2:6" x14ac:dyDescent="0.2">
      <c r="B17" s="1" t="s">
        <v>58</v>
      </c>
      <c r="D17" s="5">
        <f>SUM(H11:H13)</f>
        <v>2120</v>
      </c>
    </row>
    <row r="18" spans="2:6" x14ac:dyDescent="0.2">
      <c r="B18" s="1" t="s">
        <v>59</v>
      </c>
      <c r="D18" s="11">
        <f>-+(1-G13)*D20</f>
        <v>1461.9999999999998</v>
      </c>
    </row>
    <row r="19" spans="2:6" x14ac:dyDescent="0.2">
      <c r="B19" s="1" t="s">
        <v>5</v>
      </c>
      <c r="C19" s="5">
        <f>+C8</f>
        <v>400</v>
      </c>
    </row>
    <row r="20" spans="2:6" x14ac:dyDescent="0.2">
      <c r="B20" s="1" t="s">
        <v>10</v>
      </c>
      <c r="C20" s="5">
        <f>+E13</f>
        <v>3000</v>
      </c>
      <c r="D20" s="5">
        <f>-SUM(C19:C20)</f>
        <v>-3400</v>
      </c>
    </row>
    <row r="21" spans="2:6" x14ac:dyDescent="0.2">
      <c r="B21" s="1" t="s">
        <v>11</v>
      </c>
      <c r="D21" s="5">
        <f>SUM(D17:D20)</f>
        <v>182</v>
      </c>
    </row>
    <row r="23" spans="2:6" x14ac:dyDescent="0.2">
      <c r="B23" s="1" t="s">
        <v>60</v>
      </c>
      <c r="E23" s="5">
        <f>+C19</f>
        <v>400</v>
      </c>
    </row>
    <row r="24" spans="2:6" x14ac:dyDescent="0.2">
      <c r="B24" s="1" t="s">
        <v>61</v>
      </c>
      <c r="E24" s="5">
        <f>+C20</f>
        <v>3000</v>
      </c>
    </row>
    <row r="25" spans="2:6" x14ac:dyDescent="0.2">
      <c r="B25" s="1" t="s">
        <v>62</v>
      </c>
      <c r="E25" s="5">
        <f>+D21</f>
        <v>182</v>
      </c>
    </row>
    <row r="26" spans="2:6" x14ac:dyDescent="0.2">
      <c r="C26" s="1" t="s">
        <v>63</v>
      </c>
      <c r="F26" s="5">
        <f>+D17</f>
        <v>2120</v>
      </c>
    </row>
    <row r="27" spans="2:6" x14ac:dyDescent="0.2">
      <c r="C27" s="1" t="s">
        <v>38</v>
      </c>
      <c r="F27" s="5">
        <f>+D18</f>
        <v>1461.9999999999998</v>
      </c>
    </row>
    <row r="28" spans="2:6" x14ac:dyDescent="0.2">
      <c r="B28" s="1" t="s">
        <v>64</v>
      </c>
    </row>
    <row r="30" spans="2:6" x14ac:dyDescent="0.2">
      <c r="B30" s="1" t="s">
        <v>65</v>
      </c>
    </row>
    <row r="31" spans="2:6" x14ac:dyDescent="0.2">
      <c r="B31" s="1" t="s">
        <v>24</v>
      </c>
      <c r="C31" s="5">
        <f>+D14</f>
        <v>450</v>
      </c>
    </row>
    <row r="32" spans="2:6" x14ac:dyDescent="0.2">
      <c r="B32" s="1" t="s">
        <v>10</v>
      </c>
      <c r="C32" s="5">
        <f>+E14</f>
        <v>3500</v>
      </c>
    </row>
    <row r="33" spans="2:6" x14ac:dyDescent="0.2">
      <c r="B33" s="1" t="s">
        <v>28</v>
      </c>
      <c r="C33" s="1">
        <v>150</v>
      </c>
    </row>
    <row r="35" spans="2:6" x14ac:dyDescent="0.2">
      <c r="B35" s="1" t="s">
        <v>25</v>
      </c>
      <c r="E35" s="1">
        <f>C31</f>
        <v>450</v>
      </c>
    </row>
    <row r="36" spans="2:6" x14ac:dyDescent="0.2">
      <c r="B36" s="1" t="s">
        <v>26</v>
      </c>
      <c r="E36" s="5">
        <f>+(E14+C8)*(G14-G13)</f>
        <v>389.99999999999989</v>
      </c>
      <c r="F36" s="1" t="s">
        <v>66</v>
      </c>
    </row>
    <row r="37" spans="2:6" x14ac:dyDescent="0.2">
      <c r="B37" s="1" t="s">
        <v>27</v>
      </c>
      <c r="E37" s="1">
        <f>E36-E35</f>
        <v>-60.000000000000114</v>
      </c>
    </row>
    <row r="40" spans="2:6" x14ac:dyDescent="0.2">
      <c r="B40" s="1" t="s">
        <v>29</v>
      </c>
    </row>
    <row r="41" spans="2:6" x14ac:dyDescent="0.2">
      <c r="B41" s="1" t="s">
        <v>30</v>
      </c>
      <c r="E41" s="1">
        <f>E36</f>
        <v>389.99999999999989</v>
      </c>
    </row>
    <row r="42" spans="2:6" x14ac:dyDescent="0.2">
      <c r="B42" s="1" t="s">
        <v>31</v>
      </c>
      <c r="E42" s="1">
        <f>-E37</f>
        <v>60.000000000000114</v>
      </c>
    </row>
    <row r="43" spans="2:6" x14ac:dyDescent="0.2">
      <c r="C43" s="1" t="s">
        <v>32</v>
      </c>
      <c r="F43" s="1">
        <f>SUM(E41:E42)</f>
        <v>450</v>
      </c>
    </row>
    <row r="44" spans="2:6" x14ac:dyDescent="0.2">
      <c r="B44" s="1" t="s">
        <v>33</v>
      </c>
    </row>
    <row r="46" spans="2:6" x14ac:dyDescent="0.2">
      <c r="B46" s="1" t="s">
        <v>34</v>
      </c>
    </row>
    <row r="47" spans="2:6" x14ac:dyDescent="0.2">
      <c r="B47" s="1" t="s">
        <v>35</v>
      </c>
    </row>
    <row r="49" spans="2:6" x14ac:dyDescent="0.2">
      <c r="B49" s="1" t="s">
        <v>36</v>
      </c>
    </row>
    <row r="50" spans="2:6" x14ac:dyDescent="0.2">
      <c r="B50" s="1" t="s">
        <v>67</v>
      </c>
    </row>
    <row r="51" spans="2:6" x14ac:dyDescent="0.2">
      <c r="C51" s="5"/>
      <c r="D51" s="5"/>
      <c r="E51" s="5"/>
      <c r="F51" s="5"/>
    </row>
    <row r="52" spans="2:6" x14ac:dyDescent="0.2">
      <c r="B52" s="1" t="s">
        <v>39</v>
      </c>
      <c r="C52" s="5"/>
      <c r="D52" s="5"/>
      <c r="E52" s="5"/>
      <c r="F52" s="5"/>
    </row>
    <row r="53" spans="2:6" x14ac:dyDescent="0.2">
      <c r="C53" s="5" t="s">
        <v>68</v>
      </c>
      <c r="D53" s="5"/>
      <c r="E53" s="5"/>
      <c r="F53" s="5"/>
    </row>
    <row r="54" spans="2:6" x14ac:dyDescent="0.2">
      <c r="B54" s="4">
        <f>1-G13</f>
        <v>0.42999999999999994</v>
      </c>
      <c r="C54" s="5">
        <f>0.5*1000</f>
        <v>500</v>
      </c>
      <c r="D54" s="5">
        <f>B54*C54</f>
        <v>214.99999999999997</v>
      </c>
      <c r="E54" s="5"/>
      <c r="F54" s="5"/>
    </row>
    <row r="55" spans="2:6" x14ac:dyDescent="0.2">
      <c r="B55" s="4">
        <f>1-G14</f>
        <v>0.32999999999999996</v>
      </c>
      <c r="C55" s="5">
        <f>0.5*1000</f>
        <v>500</v>
      </c>
      <c r="D55" s="5">
        <f>B55*C55</f>
        <v>164.99999999999997</v>
      </c>
      <c r="E55" s="5"/>
      <c r="F55" s="5"/>
    </row>
    <row r="56" spans="2:6" x14ac:dyDescent="0.2">
      <c r="C56" s="5"/>
      <c r="D56" s="5"/>
      <c r="E56" s="5"/>
      <c r="F56" s="5"/>
    </row>
    <row r="57" spans="2:6" x14ac:dyDescent="0.2">
      <c r="B57" s="1" t="s">
        <v>40</v>
      </c>
      <c r="C57" s="5"/>
      <c r="D57" s="5"/>
      <c r="E57" s="5">
        <f>SUM(D54:D55)</f>
        <v>379.99999999999994</v>
      </c>
      <c r="F57" s="5"/>
    </row>
    <row r="58" spans="2:6" x14ac:dyDescent="0.2">
      <c r="C58" s="5" t="s">
        <v>41</v>
      </c>
      <c r="D58" s="5"/>
      <c r="E58" s="5"/>
      <c r="F58" s="5">
        <f>E57</f>
        <v>379.99999999999994</v>
      </c>
    </row>
    <row r="59" spans="2:6" x14ac:dyDescent="0.2">
      <c r="B59" s="1" t="s">
        <v>42</v>
      </c>
      <c r="C59" s="5"/>
      <c r="D59" s="5"/>
      <c r="E59" s="5"/>
      <c r="F59" s="5"/>
    </row>
    <row r="60" spans="2:6" x14ac:dyDescent="0.2">
      <c r="C60" s="5"/>
      <c r="D60" s="5"/>
      <c r="E60" s="5"/>
      <c r="F60" s="5"/>
    </row>
    <row r="61" spans="2:6" x14ac:dyDescent="0.2">
      <c r="B61" s="1" t="s">
        <v>43</v>
      </c>
      <c r="C61" s="5"/>
      <c r="D61" s="5"/>
      <c r="E61" s="5"/>
      <c r="F61" s="5"/>
    </row>
    <row r="62" spans="2:6" x14ac:dyDescent="0.2">
      <c r="B62" s="1" t="s">
        <v>44</v>
      </c>
      <c r="C62" s="5"/>
      <c r="D62" s="5"/>
      <c r="E62" s="5"/>
      <c r="F62" s="5"/>
    </row>
    <row r="63" spans="2:6" x14ac:dyDescent="0.2">
      <c r="B63" s="1" t="s">
        <v>45</v>
      </c>
      <c r="C63" s="5"/>
      <c r="D63" s="5"/>
      <c r="E63" s="5"/>
      <c r="F63" s="5"/>
    </row>
    <row r="64" spans="2:6" x14ac:dyDescent="0.2">
      <c r="C64" s="5"/>
      <c r="D64" s="5"/>
      <c r="E64" s="5"/>
      <c r="F64" s="5"/>
    </row>
    <row r="65" spans="2:6" x14ac:dyDescent="0.2">
      <c r="B65" s="1" t="s">
        <v>46</v>
      </c>
      <c r="C65" s="5"/>
      <c r="D65" s="5"/>
      <c r="E65" s="5"/>
      <c r="F65" s="5"/>
    </row>
    <row r="66" spans="2:6" x14ac:dyDescent="0.2">
      <c r="B66" s="1" t="s">
        <v>47</v>
      </c>
      <c r="C66" s="5"/>
      <c r="D66" s="5"/>
      <c r="E66" s="5"/>
      <c r="F66" s="5"/>
    </row>
    <row r="67" spans="2:6" x14ac:dyDescent="0.2">
      <c r="C67" s="5"/>
      <c r="D67" s="5"/>
      <c r="E67" s="5"/>
      <c r="F67" s="5"/>
    </row>
    <row r="68" spans="2:6" x14ac:dyDescent="0.2">
      <c r="B68" s="1" t="s">
        <v>31</v>
      </c>
      <c r="C68" s="5"/>
      <c r="D68" s="5"/>
      <c r="E68" s="5">
        <f>E57</f>
        <v>379.99999999999994</v>
      </c>
      <c r="F68" s="5"/>
    </row>
    <row r="69" spans="2:6" x14ac:dyDescent="0.2">
      <c r="C69" s="5" t="s">
        <v>48</v>
      </c>
      <c r="D69" s="5"/>
      <c r="E69" s="5"/>
      <c r="F69" s="5">
        <f>E68</f>
        <v>379.99999999999994</v>
      </c>
    </row>
    <row r="70" spans="2:6" x14ac:dyDescent="0.2">
      <c r="B70" s="1" t="s">
        <v>49</v>
      </c>
    </row>
  </sheetData>
  <hyperlinks>
    <hyperlink ref="A1" location="Main!A1" display="Main" xr:uid="{C61BDD30-B400-4E3D-BF75-6F3DC52195B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AF12-3393-4031-9589-100800D3BBFB}">
  <dimension ref="A1:J80"/>
  <sheetViews>
    <sheetView topLeftCell="A50" zoomScale="160" zoomScaleNormal="160" workbookViewId="0">
      <selection activeCell="E69" sqref="E69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1</v>
      </c>
    </row>
    <row r="2" spans="1:7" x14ac:dyDescent="0.2">
      <c r="B2" s="1" t="s">
        <v>160</v>
      </c>
    </row>
    <row r="3" spans="1:7" x14ac:dyDescent="0.2">
      <c r="B3" s="1" t="s">
        <v>161</v>
      </c>
      <c r="C3" s="1" t="s">
        <v>162</v>
      </c>
    </row>
    <row r="4" spans="1:7" x14ac:dyDescent="0.2">
      <c r="B4" s="1" t="s">
        <v>55</v>
      </c>
      <c r="C4" s="1">
        <v>2000</v>
      </c>
    </row>
    <row r="5" spans="1:7" x14ac:dyDescent="0.2">
      <c r="B5" s="1" t="s">
        <v>53</v>
      </c>
      <c r="C5" s="15">
        <v>1</v>
      </c>
    </row>
    <row r="6" spans="1:7" x14ac:dyDescent="0.2">
      <c r="B6" s="1" t="s">
        <v>5</v>
      </c>
      <c r="C6" s="15">
        <f>+C4*C5</f>
        <v>2000</v>
      </c>
    </row>
    <row r="7" spans="1:7" x14ac:dyDescent="0.2">
      <c r="B7" s="1" t="s">
        <v>163</v>
      </c>
      <c r="C7" s="15">
        <v>500</v>
      </c>
    </row>
    <row r="8" spans="1:7" x14ac:dyDescent="0.2">
      <c r="C8" s="15"/>
    </row>
    <row r="9" spans="1:7" x14ac:dyDescent="0.2">
      <c r="C9" s="1" t="s">
        <v>55</v>
      </c>
      <c r="D9" s="1" t="s">
        <v>164</v>
      </c>
      <c r="E9" s="1" t="s">
        <v>10</v>
      </c>
      <c r="G9" s="1" t="s">
        <v>6</v>
      </c>
    </row>
    <row r="10" spans="1:7" x14ac:dyDescent="0.2">
      <c r="B10" s="3">
        <v>44328</v>
      </c>
      <c r="C10" s="5">
        <v>100</v>
      </c>
      <c r="D10" s="5">
        <v>200</v>
      </c>
      <c r="E10" s="5">
        <v>1425</v>
      </c>
      <c r="F10" s="4">
        <f>+C10/$C$4</f>
        <v>0.05</v>
      </c>
      <c r="G10" s="1">
        <v>215</v>
      </c>
    </row>
    <row r="11" spans="1:7" x14ac:dyDescent="0.2">
      <c r="B11" s="3">
        <v>44561</v>
      </c>
      <c r="C11" s="5">
        <v>1000</v>
      </c>
      <c r="D11" s="5">
        <v>2150</v>
      </c>
      <c r="E11" s="5">
        <v>1680</v>
      </c>
      <c r="F11" s="4">
        <f t="shared" ref="F11:F12" si="0">+C11/$C$4</f>
        <v>0.5</v>
      </c>
      <c r="G11" s="5">
        <f>+D11</f>
        <v>2150</v>
      </c>
    </row>
    <row r="12" spans="1:7" x14ac:dyDescent="0.2">
      <c r="B12" s="3">
        <v>45047</v>
      </c>
      <c r="C12" s="5">
        <v>200</v>
      </c>
      <c r="D12" s="5">
        <v>520</v>
      </c>
      <c r="E12" s="5">
        <v>2143</v>
      </c>
      <c r="F12" s="4">
        <f t="shared" si="0"/>
        <v>0.1</v>
      </c>
    </row>
    <row r="15" spans="1:7" x14ac:dyDescent="0.2">
      <c r="B15" s="1" t="s">
        <v>165</v>
      </c>
      <c r="C15" s="3">
        <f>+B11</f>
        <v>44561</v>
      </c>
    </row>
    <row r="18" spans="2:6" x14ac:dyDescent="0.2">
      <c r="B18" s="1" t="s">
        <v>166</v>
      </c>
      <c r="D18" s="5"/>
      <c r="E18" s="5">
        <f>SUM(G10:G11)</f>
        <v>2365</v>
      </c>
    </row>
    <row r="19" spans="2:6" x14ac:dyDescent="0.2">
      <c r="B19" s="1" t="s">
        <v>59</v>
      </c>
      <c r="D19" s="5"/>
      <c r="E19" s="5">
        <f>+-0.45*E22</f>
        <v>1881</v>
      </c>
    </row>
    <row r="20" spans="2:6" x14ac:dyDescent="0.2">
      <c r="B20" s="1" t="s">
        <v>5</v>
      </c>
      <c r="D20" s="5">
        <f>+C6</f>
        <v>2000</v>
      </c>
      <c r="E20" s="5"/>
    </row>
    <row r="21" spans="2:6" x14ac:dyDescent="0.2">
      <c r="B21" s="1" t="s">
        <v>163</v>
      </c>
      <c r="D21" s="5">
        <f>+C7</f>
        <v>500</v>
      </c>
      <c r="E21" s="5"/>
    </row>
    <row r="22" spans="2:6" x14ac:dyDescent="0.2">
      <c r="B22" s="1" t="s">
        <v>10</v>
      </c>
      <c r="D22" s="5">
        <f>+E11</f>
        <v>1680</v>
      </c>
      <c r="E22" s="5">
        <f>-SUM(D20:D22)</f>
        <v>-4180</v>
      </c>
    </row>
    <row r="23" spans="2:6" x14ac:dyDescent="0.2">
      <c r="B23" s="1" t="s">
        <v>11</v>
      </c>
      <c r="E23" s="5">
        <f>SUM(E18:E22)</f>
        <v>66</v>
      </c>
    </row>
    <row r="26" spans="2:6" x14ac:dyDescent="0.2">
      <c r="B26" s="1" t="s">
        <v>60</v>
      </c>
      <c r="E26" s="5">
        <f>+D20</f>
        <v>2000</v>
      </c>
    </row>
    <row r="27" spans="2:6" x14ac:dyDescent="0.2">
      <c r="B27" s="1" t="s">
        <v>167</v>
      </c>
      <c r="E27" s="5">
        <f>+D21</f>
        <v>500</v>
      </c>
    </row>
    <row r="28" spans="2:6" x14ac:dyDescent="0.2">
      <c r="B28" s="1" t="s">
        <v>31</v>
      </c>
      <c r="E28" s="5">
        <f>+D22</f>
        <v>1680</v>
      </c>
    </row>
    <row r="29" spans="2:6" x14ac:dyDescent="0.2">
      <c r="B29" s="1" t="s">
        <v>62</v>
      </c>
      <c r="E29" s="5">
        <f>+E23</f>
        <v>66</v>
      </c>
    </row>
    <row r="30" spans="2:6" x14ac:dyDescent="0.2">
      <c r="C30" s="1" t="s">
        <v>168</v>
      </c>
      <c r="F30" s="5">
        <f>+E18</f>
        <v>2365</v>
      </c>
    </row>
    <row r="31" spans="2:6" x14ac:dyDescent="0.2">
      <c r="C31" s="1" t="s">
        <v>169</v>
      </c>
      <c r="F31" s="5">
        <f>+E19</f>
        <v>1881</v>
      </c>
    </row>
    <row r="32" spans="2:6" x14ac:dyDescent="0.2">
      <c r="B32" s="1" t="s">
        <v>170</v>
      </c>
    </row>
    <row r="34" spans="2:6" x14ac:dyDescent="0.2">
      <c r="B34" s="1" t="s">
        <v>174</v>
      </c>
    </row>
    <row r="35" spans="2:6" x14ac:dyDescent="0.2">
      <c r="B35" s="1" t="s">
        <v>175</v>
      </c>
      <c r="E35" s="5"/>
      <c r="F35" s="5">
        <f>+D12</f>
        <v>520</v>
      </c>
    </row>
    <row r="36" spans="2:6" x14ac:dyDescent="0.2">
      <c r="B36" s="1" t="s">
        <v>26</v>
      </c>
      <c r="D36" s="4">
        <f>+F12</f>
        <v>0.1</v>
      </c>
      <c r="E36" s="5">
        <f>+D20+D21+E12</f>
        <v>4643</v>
      </c>
      <c r="F36" s="1">
        <f>+D36*E36</f>
        <v>464.3</v>
      </c>
    </row>
    <row r="37" spans="2:6" ht="12.75" thickBot="1" x14ac:dyDescent="0.25">
      <c r="B37" s="1" t="s">
        <v>176</v>
      </c>
      <c r="F37" s="13">
        <f>+F36-F35</f>
        <v>-55.699999999999989</v>
      </c>
    </row>
    <row r="38" spans="2:6" ht="12.75" thickTop="1" x14ac:dyDescent="0.2"/>
    <row r="39" spans="2:6" x14ac:dyDescent="0.2">
      <c r="B39" s="1" t="s">
        <v>125</v>
      </c>
      <c r="E39" s="1">
        <f>+F36</f>
        <v>464.3</v>
      </c>
    </row>
    <row r="40" spans="2:6" x14ac:dyDescent="0.2">
      <c r="B40" s="1" t="s">
        <v>155</v>
      </c>
      <c r="E40" s="5">
        <f>-F37</f>
        <v>55.699999999999989</v>
      </c>
    </row>
    <row r="41" spans="2:6" x14ac:dyDescent="0.2">
      <c r="C41" s="1" t="s">
        <v>177</v>
      </c>
      <c r="F41" s="1">
        <f>SUM(E39:E40)</f>
        <v>520</v>
      </c>
    </row>
    <row r="42" spans="2:6" x14ac:dyDescent="0.2">
      <c r="B42" s="1" t="s">
        <v>178</v>
      </c>
    </row>
    <row r="44" spans="2:6" x14ac:dyDescent="0.2">
      <c r="B44" s="1" t="s">
        <v>147</v>
      </c>
    </row>
    <row r="45" spans="2:6" x14ac:dyDescent="0.2">
      <c r="B45" s="1" t="s">
        <v>31</v>
      </c>
      <c r="E45" s="1">
        <f>+F46</f>
        <v>40</v>
      </c>
    </row>
    <row r="46" spans="2:6" x14ac:dyDescent="0.2">
      <c r="C46" s="1" t="s">
        <v>79</v>
      </c>
      <c r="F46" s="1">
        <v>40</v>
      </c>
    </row>
    <row r="47" spans="2:6" x14ac:dyDescent="0.2">
      <c r="B47" s="1" t="s">
        <v>171</v>
      </c>
    </row>
    <row r="49" spans="2:10" x14ac:dyDescent="0.2">
      <c r="B49" s="1" t="s">
        <v>172</v>
      </c>
    </row>
    <row r="51" spans="2:10" x14ac:dyDescent="0.2">
      <c r="B51" s="1" t="s">
        <v>10</v>
      </c>
      <c r="C51" s="3">
        <v>45291</v>
      </c>
      <c r="E51" s="1">
        <v>2410</v>
      </c>
    </row>
    <row r="52" spans="2:10" x14ac:dyDescent="0.2">
      <c r="B52" s="1" t="s">
        <v>94</v>
      </c>
      <c r="C52" s="1">
        <f>+C4</f>
        <v>2000</v>
      </c>
      <c r="E52" s="1">
        <v>-400</v>
      </c>
    </row>
    <row r="53" spans="2:10" x14ac:dyDescent="0.2">
      <c r="B53" s="1" t="s">
        <v>10</v>
      </c>
      <c r="C53" s="3">
        <v>44926</v>
      </c>
      <c r="E53" s="1">
        <f>SUM(E51:E52)</f>
        <v>2010</v>
      </c>
    </row>
    <row r="54" spans="2:10" x14ac:dyDescent="0.2">
      <c r="B54" s="1" t="s">
        <v>10</v>
      </c>
      <c r="C54" s="3">
        <v>44561</v>
      </c>
      <c r="E54" s="5">
        <f>+E11</f>
        <v>1680</v>
      </c>
    </row>
    <row r="55" spans="2:10" x14ac:dyDescent="0.2">
      <c r="B55" s="1" t="s">
        <v>173</v>
      </c>
      <c r="E55" s="5">
        <f>+E53-E54</f>
        <v>330</v>
      </c>
    </row>
    <row r="56" spans="2:10" x14ac:dyDescent="0.2">
      <c r="D56" s="5"/>
      <c r="E56" s="5">
        <f>0.45*E55</f>
        <v>148.5</v>
      </c>
      <c r="F56" s="5"/>
      <c r="J56" s="14"/>
    </row>
    <row r="57" spans="2:10" x14ac:dyDescent="0.2">
      <c r="D57" s="5"/>
      <c r="E57" s="5"/>
      <c r="F57" s="5"/>
      <c r="J57" s="14"/>
    </row>
    <row r="58" spans="2:10" x14ac:dyDescent="0.2">
      <c r="B58" s="1" t="s">
        <v>140</v>
      </c>
      <c r="D58" s="5"/>
      <c r="E58" s="5">
        <f>+E56</f>
        <v>148.5</v>
      </c>
      <c r="F58" s="5"/>
      <c r="J58" s="14"/>
    </row>
    <row r="59" spans="2:10" x14ac:dyDescent="0.2">
      <c r="C59" s="1" t="s">
        <v>145</v>
      </c>
      <c r="D59" s="5"/>
      <c r="E59" s="5"/>
      <c r="F59" s="5">
        <f>+E58</f>
        <v>148.5</v>
      </c>
      <c r="J59" s="14"/>
    </row>
    <row r="60" spans="2:10" x14ac:dyDescent="0.2">
      <c r="B60" s="1" t="s">
        <v>152</v>
      </c>
      <c r="D60" s="5"/>
      <c r="E60" s="5"/>
      <c r="F60" s="5"/>
      <c r="J60" s="14"/>
    </row>
    <row r="62" spans="2:10" x14ac:dyDescent="0.2">
      <c r="B62" s="1" t="s">
        <v>39</v>
      </c>
      <c r="C62" s="5"/>
      <c r="D62" s="5"/>
      <c r="E62" s="5"/>
      <c r="F62" s="5"/>
    </row>
    <row r="63" spans="2:10" x14ac:dyDescent="0.2">
      <c r="C63" s="5" t="s">
        <v>68</v>
      </c>
      <c r="D63" s="5"/>
      <c r="E63" s="5"/>
      <c r="F63" s="5"/>
    </row>
    <row r="64" spans="2:10" x14ac:dyDescent="0.2">
      <c r="B64" s="1">
        <f>0.45</f>
        <v>0.45</v>
      </c>
      <c r="C64" s="5">
        <f>0.333333333333333*400</f>
        <v>133.33333333333331</v>
      </c>
      <c r="D64" s="5">
        <f>B64*C64</f>
        <v>59.999999999999993</v>
      </c>
      <c r="E64" s="5"/>
      <c r="F64" s="5"/>
    </row>
    <row r="65" spans="2:6" x14ac:dyDescent="0.2">
      <c r="B65" s="4">
        <v>0.35</v>
      </c>
      <c r="C65" s="5">
        <f>0.666666666666667*400</f>
        <v>266.66666666666663</v>
      </c>
      <c r="D65" s="5">
        <f>B65*C65</f>
        <v>93.333333333333314</v>
      </c>
      <c r="E65" s="5"/>
      <c r="F65" s="5"/>
    </row>
    <row r="66" spans="2:6" x14ac:dyDescent="0.2">
      <c r="C66" s="5"/>
      <c r="D66" s="5"/>
      <c r="E66" s="5"/>
      <c r="F66" s="5"/>
    </row>
    <row r="67" spans="2:6" x14ac:dyDescent="0.2">
      <c r="B67" s="1" t="s">
        <v>40</v>
      </c>
      <c r="C67" s="5"/>
      <c r="D67" s="5"/>
      <c r="E67" s="5">
        <f>SUM(D64:D65)</f>
        <v>153.33333333333331</v>
      </c>
      <c r="F67" s="5"/>
    </row>
    <row r="68" spans="2:6" x14ac:dyDescent="0.2">
      <c r="C68" s="5" t="s">
        <v>41</v>
      </c>
      <c r="D68" s="5"/>
      <c r="E68" s="5"/>
      <c r="F68" s="5">
        <f>E67</f>
        <v>153.33333333333331</v>
      </c>
    </row>
    <row r="69" spans="2:6" x14ac:dyDescent="0.2">
      <c r="B69" s="1" t="s">
        <v>42</v>
      </c>
      <c r="C69" s="5"/>
      <c r="D69" s="5"/>
      <c r="E69" s="5"/>
      <c r="F69" s="5"/>
    </row>
    <row r="70" spans="2:6" x14ac:dyDescent="0.2">
      <c r="C70" s="5"/>
      <c r="D70" s="5"/>
      <c r="E70" s="5"/>
      <c r="F70" s="5"/>
    </row>
    <row r="71" spans="2:6" x14ac:dyDescent="0.2">
      <c r="B71" s="1" t="s">
        <v>43</v>
      </c>
      <c r="C71" s="5"/>
      <c r="D71" s="5"/>
      <c r="E71" s="5"/>
      <c r="F71" s="5"/>
    </row>
    <row r="72" spans="2:6" x14ac:dyDescent="0.2">
      <c r="B72" s="1" t="s">
        <v>44</v>
      </c>
      <c r="C72" s="5"/>
      <c r="D72" s="5"/>
      <c r="E72" s="5"/>
      <c r="F72" s="5"/>
    </row>
    <row r="73" spans="2:6" x14ac:dyDescent="0.2">
      <c r="B73" s="1" t="s">
        <v>45</v>
      </c>
      <c r="C73" s="5"/>
      <c r="D73" s="5"/>
      <c r="E73" s="5"/>
      <c r="F73" s="5"/>
    </row>
    <row r="74" spans="2:6" x14ac:dyDescent="0.2">
      <c r="C74" s="5"/>
      <c r="D74" s="5"/>
      <c r="E74" s="5"/>
      <c r="F74" s="5"/>
    </row>
    <row r="75" spans="2:6" x14ac:dyDescent="0.2">
      <c r="B75" s="1" t="s">
        <v>46</v>
      </c>
      <c r="C75" s="5"/>
      <c r="D75" s="5"/>
      <c r="E75" s="5"/>
      <c r="F75" s="5"/>
    </row>
    <row r="76" spans="2:6" x14ac:dyDescent="0.2">
      <c r="B76" s="1" t="s">
        <v>47</v>
      </c>
      <c r="C76" s="5"/>
      <c r="D76" s="5"/>
      <c r="E76" s="5"/>
      <c r="F76" s="5"/>
    </row>
    <row r="77" spans="2:6" x14ac:dyDescent="0.2">
      <c r="C77" s="5"/>
      <c r="D77" s="5"/>
      <c r="E77" s="5"/>
      <c r="F77" s="5"/>
    </row>
    <row r="78" spans="2:6" x14ac:dyDescent="0.2">
      <c r="B78" s="1" t="s">
        <v>31</v>
      </c>
      <c r="C78" s="5"/>
      <c r="D78" s="5"/>
      <c r="E78" s="5">
        <f>E67</f>
        <v>153.33333333333331</v>
      </c>
      <c r="F78" s="5"/>
    </row>
    <row r="79" spans="2:6" x14ac:dyDescent="0.2">
      <c r="C79" s="5" t="s">
        <v>48</v>
      </c>
      <c r="D79" s="5"/>
      <c r="E79" s="5"/>
      <c r="F79" s="5">
        <f>E78</f>
        <v>153.33333333333331</v>
      </c>
    </row>
    <row r="80" spans="2:6" x14ac:dyDescent="0.2">
      <c r="B80" s="1" t="s">
        <v>49</v>
      </c>
    </row>
  </sheetData>
  <hyperlinks>
    <hyperlink ref="A1" location="Main!A1" display="Main" xr:uid="{5C916CD6-088D-4CEC-935B-3712DB94671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A469-45B4-4134-B5EE-9BAE04D29F96}">
  <dimension ref="A1:F44"/>
  <sheetViews>
    <sheetView zoomScale="160" zoomScaleNormal="160" workbookViewId="0">
      <selection activeCell="F29" sqref="F29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1</v>
      </c>
    </row>
    <row r="2" spans="1:5" x14ac:dyDescent="0.2">
      <c r="B2" s="1" t="s">
        <v>179</v>
      </c>
    </row>
    <row r="4" spans="1:5" x14ac:dyDescent="0.2">
      <c r="C4" s="1" t="s">
        <v>180</v>
      </c>
      <c r="D4" s="1" t="s">
        <v>181</v>
      </c>
    </row>
    <row r="5" spans="1:5" x14ac:dyDescent="0.2">
      <c r="B5" s="1" t="s">
        <v>55</v>
      </c>
      <c r="D5" s="1">
        <v>500</v>
      </c>
    </row>
    <row r="6" spans="1:5" x14ac:dyDescent="0.2">
      <c r="B6" s="1" t="s">
        <v>53</v>
      </c>
      <c r="D6" s="1">
        <v>0.5</v>
      </c>
    </row>
    <row r="7" spans="1:5" x14ac:dyDescent="0.2">
      <c r="B7" s="1" t="s">
        <v>5</v>
      </c>
      <c r="D7" s="1">
        <f>+D5*D6</f>
        <v>250</v>
      </c>
    </row>
    <row r="8" spans="1:5" x14ac:dyDescent="0.2">
      <c r="B8" s="1" t="s">
        <v>10</v>
      </c>
      <c r="D8" s="1">
        <v>400</v>
      </c>
    </row>
    <row r="11" spans="1:5" x14ac:dyDescent="0.2">
      <c r="B11" s="1" t="s">
        <v>182</v>
      </c>
      <c r="E11" s="1">
        <v>785</v>
      </c>
    </row>
    <row r="12" spans="1:5" x14ac:dyDescent="0.2">
      <c r="B12" s="1" t="s">
        <v>59</v>
      </c>
      <c r="E12" s="1">
        <f>-0.1*E14</f>
        <v>65</v>
      </c>
    </row>
    <row r="13" spans="1:5" x14ac:dyDescent="0.2">
      <c r="B13" s="1" t="s">
        <v>5</v>
      </c>
      <c r="D13" s="1">
        <f>+D7</f>
        <v>250</v>
      </c>
    </row>
    <row r="14" spans="1:5" x14ac:dyDescent="0.2">
      <c r="B14" s="1" t="s">
        <v>10</v>
      </c>
      <c r="D14" s="1">
        <f>+D8</f>
        <v>400</v>
      </c>
      <c r="E14" s="1">
        <f>-SUM(D13:D14)</f>
        <v>-650</v>
      </c>
    </row>
    <row r="15" spans="1:5" x14ac:dyDescent="0.2">
      <c r="B15" s="1" t="s">
        <v>119</v>
      </c>
      <c r="E15" s="1">
        <f>SUM(E11:E14)</f>
        <v>200</v>
      </c>
    </row>
    <row r="18" spans="2:6" x14ac:dyDescent="0.2">
      <c r="B18" s="1" t="s">
        <v>60</v>
      </c>
      <c r="E18" s="1">
        <f>+D13</f>
        <v>250</v>
      </c>
    </row>
    <row r="19" spans="2:6" x14ac:dyDescent="0.2">
      <c r="B19" s="1" t="s">
        <v>31</v>
      </c>
      <c r="E19" s="1">
        <f>+D14</f>
        <v>400</v>
      </c>
    </row>
    <row r="20" spans="2:6" x14ac:dyDescent="0.2">
      <c r="B20" s="1" t="s">
        <v>143</v>
      </c>
      <c r="E20" s="1">
        <f>+E15</f>
        <v>200</v>
      </c>
    </row>
    <row r="21" spans="2:6" x14ac:dyDescent="0.2">
      <c r="C21" s="1" t="s">
        <v>183</v>
      </c>
      <c r="F21" s="1">
        <f>+E11</f>
        <v>785</v>
      </c>
    </row>
    <row r="22" spans="2:6" x14ac:dyDescent="0.2">
      <c r="C22" s="1" t="s">
        <v>38</v>
      </c>
      <c r="F22" s="1">
        <f>+E12</f>
        <v>65</v>
      </c>
    </row>
    <row r="23" spans="2:6" x14ac:dyDescent="0.2">
      <c r="B23" s="1" t="s">
        <v>184</v>
      </c>
    </row>
    <row r="25" spans="2:6" x14ac:dyDescent="0.2">
      <c r="B25" s="1" t="s">
        <v>31</v>
      </c>
      <c r="E25" s="1">
        <v>18</v>
      </c>
    </row>
    <row r="26" spans="2:6" x14ac:dyDescent="0.2">
      <c r="C26" s="1" t="s">
        <v>79</v>
      </c>
      <c r="F26" s="1">
        <v>18</v>
      </c>
    </row>
    <row r="27" spans="2:6" x14ac:dyDescent="0.2">
      <c r="B27" s="1" t="s">
        <v>185</v>
      </c>
    </row>
    <row r="30" spans="2:6" x14ac:dyDescent="0.2">
      <c r="B30" s="1" t="s">
        <v>82</v>
      </c>
      <c r="D30" s="5"/>
      <c r="E30" s="5"/>
      <c r="F30" s="5"/>
    </row>
    <row r="31" spans="2:6" x14ac:dyDescent="0.2">
      <c r="D31" s="5"/>
      <c r="E31" s="5"/>
      <c r="F31" s="5"/>
    </row>
    <row r="32" spans="2:6" x14ac:dyDescent="0.2">
      <c r="B32" s="1" t="s">
        <v>120</v>
      </c>
      <c r="D32" s="5"/>
      <c r="E32" s="5"/>
      <c r="F32" s="5"/>
    </row>
    <row r="33" spans="2:6" x14ac:dyDescent="0.2">
      <c r="B33" s="1" t="s">
        <v>70</v>
      </c>
      <c r="D33" s="5"/>
      <c r="E33" s="5">
        <v>1500</v>
      </c>
      <c r="F33" s="5"/>
    </row>
    <row r="34" spans="2:6" x14ac:dyDescent="0.2">
      <c r="B34" s="1" t="s">
        <v>121</v>
      </c>
      <c r="D34" s="5"/>
      <c r="E34" s="5">
        <f>+E20-F26</f>
        <v>182</v>
      </c>
      <c r="F34" s="5"/>
    </row>
    <row r="35" spans="2:6" x14ac:dyDescent="0.2">
      <c r="B35" s="1" t="s">
        <v>122</v>
      </c>
      <c r="D35" s="5"/>
      <c r="E35" s="5">
        <f>+(E18+880)*0.9</f>
        <v>1017</v>
      </c>
      <c r="F35" s="5" t="s">
        <v>123</v>
      </c>
    </row>
    <row r="36" spans="2:6" ht="12.75" thickBot="1" x14ac:dyDescent="0.25">
      <c r="B36" s="1" t="s">
        <v>73</v>
      </c>
      <c r="D36" s="5"/>
      <c r="E36" s="13">
        <f>+E33-E34-E35</f>
        <v>301</v>
      </c>
      <c r="F36" s="5"/>
    </row>
    <row r="37" spans="2:6" ht="12.75" thickTop="1" x14ac:dyDescent="0.2">
      <c r="D37" s="5"/>
      <c r="E37" s="5"/>
      <c r="F37" s="5"/>
    </row>
    <row r="38" spans="2:6" x14ac:dyDescent="0.2">
      <c r="D38" s="5"/>
      <c r="E38" s="5"/>
      <c r="F38" s="5"/>
    </row>
    <row r="39" spans="2:6" x14ac:dyDescent="0.2">
      <c r="B39" s="1" t="s">
        <v>186</v>
      </c>
      <c r="D39" s="5"/>
      <c r="E39" s="5">
        <f>+E33</f>
        <v>1500</v>
      </c>
      <c r="F39" s="5"/>
    </row>
    <row r="40" spans="2:6" x14ac:dyDescent="0.2">
      <c r="B40" s="1" t="s">
        <v>125</v>
      </c>
      <c r="D40" s="5" t="s">
        <v>159</v>
      </c>
      <c r="E40" s="5">
        <f>+E35/0.9*0.1</f>
        <v>113</v>
      </c>
      <c r="F40" s="5"/>
    </row>
    <row r="41" spans="2:6" x14ac:dyDescent="0.2">
      <c r="C41" s="1" t="s">
        <v>128</v>
      </c>
      <c r="D41" s="5"/>
      <c r="E41" s="5"/>
      <c r="F41" s="5">
        <f>+E34</f>
        <v>182</v>
      </c>
    </row>
    <row r="42" spans="2:6" x14ac:dyDescent="0.2">
      <c r="C42" s="1" t="s">
        <v>80</v>
      </c>
      <c r="D42" s="5"/>
      <c r="E42" s="5"/>
      <c r="F42" s="5">
        <f>+E35/0.9</f>
        <v>1130</v>
      </c>
    </row>
    <row r="43" spans="2:6" x14ac:dyDescent="0.2">
      <c r="C43" s="1" t="s">
        <v>48</v>
      </c>
      <c r="D43" s="5"/>
      <c r="E43" s="5"/>
      <c r="F43" s="5">
        <f>+E36</f>
        <v>301</v>
      </c>
    </row>
    <row r="44" spans="2:6" x14ac:dyDescent="0.2">
      <c r="B44" s="1" t="s">
        <v>187</v>
      </c>
    </row>
  </sheetData>
  <hyperlinks>
    <hyperlink ref="A1" location="Main!A1" display="Main" xr:uid="{9AC3F4A0-6450-41FD-9A5A-4C8DD8A8489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91DF-7C72-42A0-9DD6-F9A7E608CA12}">
  <dimension ref="A1:J91"/>
  <sheetViews>
    <sheetView topLeftCell="A56" zoomScale="145" zoomScaleNormal="145" workbookViewId="0">
      <selection activeCell="B91" sqref="A67:XFD91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1</v>
      </c>
    </row>
    <row r="2" spans="1:5" x14ac:dyDescent="0.2">
      <c r="B2" s="1" t="s">
        <v>188</v>
      </c>
    </row>
    <row r="4" spans="1:5" x14ac:dyDescent="0.2">
      <c r="C4" s="1" t="s">
        <v>188</v>
      </c>
      <c r="D4" s="1" t="s">
        <v>191</v>
      </c>
    </row>
    <row r="5" spans="1:5" x14ac:dyDescent="0.2">
      <c r="B5" s="1" t="s">
        <v>190</v>
      </c>
      <c r="C5" s="5">
        <v>13140</v>
      </c>
      <c r="D5" s="5">
        <v>3110</v>
      </c>
      <c r="E5" s="5">
        <f>+C5+D5</f>
        <v>16250</v>
      </c>
    </row>
    <row r="6" spans="1:5" x14ac:dyDescent="0.2">
      <c r="C6" s="5"/>
      <c r="D6" s="5"/>
      <c r="E6" s="5"/>
    </row>
    <row r="7" spans="1:5" x14ac:dyDescent="0.2">
      <c r="B7" s="1" t="s">
        <v>5</v>
      </c>
      <c r="C7" s="5">
        <v>4000</v>
      </c>
      <c r="D7" s="5">
        <v>400</v>
      </c>
      <c r="E7" s="5">
        <f>+C7+D7</f>
        <v>4400</v>
      </c>
    </row>
    <row r="8" spans="1:5" x14ac:dyDescent="0.2">
      <c r="B8" s="1" t="s">
        <v>189</v>
      </c>
      <c r="C8" s="5">
        <v>800</v>
      </c>
      <c r="D8" s="5">
        <v>60</v>
      </c>
      <c r="E8" s="5">
        <f>+C8+D8</f>
        <v>860</v>
      </c>
    </row>
    <row r="9" spans="1:5" x14ac:dyDescent="0.2">
      <c r="B9" s="1" t="s">
        <v>10</v>
      </c>
      <c r="C9" s="5">
        <v>6340</v>
      </c>
      <c r="D9" s="5">
        <v>2650</v>
      </c>
      <c r="E9" s="5">
        <f>+C9+D9</f>
        <v>8990</v>
      </c>
    </row>
    <row r="10" spans="1:5" x14ac:dyDescent="0.2">
      <c r="C10" s="5">
        <f>SUM(C7:C9)</f>
        <v>11140</v>
      </c>
      <c r="D10" s="5">
        <f>SUM(D7:D9)</f>
        <v>3110</v>
      </c>
      <c r="E10" s="5">
        <f>SUM(E7:E9)</f>
        <v>14250</v>
      </c>
    </row>
    <row r="11" spans="1:5" x14ac:dyDescent="0.2">
      <c r="B11" s="1" t="s">
        <v>59</v>
      </c>
      <c r="C11" s="5">
        <v>2000</v>
      </c>
      <c r="D11" s="5">
        <v>0</v>
      </c>
      <c r="E11" s="5">
        <f>+C11+D11</f>
        <v>2000</v>
      </c>
    </row>
    <row r="12" spans="1:5" x14ac:dyDescent="0.2">
      <c r="B12" s="1" t="s">
        <v>108</v>
      </c>
      <c r="C12" s="5">
        <f>SUM(C10:C11)</f>
        <v>13140</v>
      </c>
      <c r="D12" s="5">
        <f>SUM(D10:D11)</f>
        <v>3110</v>
      </c>
      <c r="E12" s="5">
        <f>SUM(E10:E11)</f>
        <v>16250</v>
      </c>
    </row>
    <row r="16" spans="1:5" x14ac:dyDescent="0.2">
      <c r="B16" s="1" t="s">
        <v>192</v>
      </c>
    </row>
    <row r="17" spans="2:6" x14ac:dyDescent="0.2">
      <c r="B17" s="1" t="s">
        <v>193</v>
      </c>
    </row>
    <row r="19" spans="2:6" x14ac:dyDescent="0.2">
      <c r="B19" s="1" t="s">
        <v>194</v>
      </c>
      <c r="E19" s="1">
        <v>900</v>
      </c>
    </row>
    <row r="20" spans="2:6" x14ac:dyDescent="0.2">
      <c r="B20" s="1" t="s">
        <v>59</v>
      </c>
      <c r="D20" s="4">
        <v>0.4</v>
      </c>
      <c r="E20" s="1">
        <f>-D20*E23</f>
        <v>268</v>
      </c>
    </row>
    <row r="21" spans="2:6" x14ac:dyDescent="0.2">
      <c r="B21" s="1" t="s">
        <v>5</v>
      </c>
      <c r="D21" s="5">
        <f>+D7</f>
        <v>400</v>
      </c>
    </row>
    <row r="22" spans="2:6" x14ac:dyDescent="0.2">
      <c r="B22" s="1" t="s">
        <v>189</v>
      </c>
      <c r="D22" s="1">
        <v>150</v>
      </c>
    </row>
    <row r="23" spans="2:6" x14ac:dyDescent="0.2">
      <c r="B23" s="1" t="s">
        <v>10</v>
      </c>
      <c r="D23" s="1">
        <v>120</v>
      </c>
      <c r="E23" s="5">
        <f>-SUM(D21:D23)</f>
        <v>-670</v>
      </c>
    </row>
    <row r="24" spans="2:6" x14ac:dyDescent="0.2">
      <c r="B24" s="1" t="s">
        <v>119</v>
      </c>
      <c r="E24" s="1">
        <f>SUM(E19:E23)</f>
        <v>498</v>
      </c>
    </row>
    <row r="26" spans="2:6" x14ac:dyDescent="0.2">
      <c r="B26" s="1" t="s">
        <v>60</v>
      </c>
      <c r="E26" s="5">
        <f>+D21</f>
        <v>400</v>
      </c>
    </row>
    <row r="27" spans="2:6" x14ac:dyDescent="0.2">
      <c r="B27" s="1" t="s">
        <v>195</v>
      </c>
      <c r="E27" s="5">
        <f>+D22</f>
        <v>150</v>
      </c>
    </row>
    <row r="28" spans="2:6" x14ac:dyDescent="0.2">
      <c r="B28" s="1" t="s">
        <v>31</v>
      </c>
      <c r="E28" s="5">
        <f>+D23</f>
        <v>120</v>
      </c>
    </row>
    <row r="29" spans="2:6" x14ac:dyDescent="0.2">
      <c r="B29" s="1" t="s">
        <v>196</v>
      </c>
      <c r="E29" s="1">
        <f>+E24</f>
        <v>498</v>
      </c>
    </row>
    <row r="30" spans="2:6" x14ac:dyDescent="0.2">
      <c r="C30" s="1" t="s">
        <v>197</v>
      </c>
      <c r="F30" s="1">
        <f>+E19</f>
        <v>900</v>
      </c>
    </row>
    <row r="31" spans="2:6" x14ac:dyDescent="0.2">
      <c r="C31" s="1" t="s">
        <v>38</v>
      </c>
      <c r="F31" s="1">
        <f>+E20</f>
        <v>268</v>
      </c>
    </row>
    <row r="34" spans="2:6" x14ac:dyDescent="0.2">
      <c r="B34" s="1" t="s">
        <v>198</v>
      </c>
    </row>
    <row r="35" spans="2:6" x14ac:dyDescent="0.2">
      <c r="B35" s="1" t="s">
        <v>31</v>
      </c>
      <c r="E35" s="1">
        <f>+F36</f>
        <v>249</v>
      </c>
    </row>
    <row r="36" spans="2:6" x14ac:dyDescent="0.2">
      <c r="C36" s="1" t="s">
        <v>79</v>
      </c>
      <c r="F36" s="1">
        <v>249</v>
      </c>
    </row>
    <row r="38" spans="2:6" x14ac:dyDescent="0.2">
      <c r="B38" s="1" t="s">
        <v>200</v>
      </c>
    </row>
    <row r="40" spans="2:6" x14ac:dyDescent="0.2">
      <c r="B40" s="1" t="s">
        <v>201</v>
      </c>
    </row>
    <row r="41" spans="2:6" x14ac:dyDescent="0.2">
      <c r="B41" s="1" t="s">
        <v>189</v>
      </c>
      <c r="C41" s="3">
        <v>43465</v>
      </c>
      <c r="E41" s="5">
        <f>+D8</f>
        <v>60</v>
      </c>
    </row>
    <row r="42" spans="2:6" x14ac:dyDescent="0.2">
      <c r="B42" s="1" t="s">
        <v>189</v>
      </c>
      <c r="C42" s="3">
        <v>44412</v>
      </c>
      <c r="E42" s="1">
        <f>+D22</f>
        <v>150</v>
      </c>
    </row>
    <row r="43" spans="2:6" x14ac:dyDescent="0.2">
      <c r="B43" s="1" t="s">
        <v>202</v>
      </c>
      <c r="E43" s="5">
        <f>+E41-E42</f>
        <v>-90</v>
      </c>
    </row>
    <row r="44" spans="2:6" x14ac:dyDescent="0.2">
      <c r="B44" s="1" t="s">
        <v>203</v>
      </c>
      <c r="E44" s="5">
        <f>0.4*E43</f>
        <v>-36</v>
      </c>
    </row>
    <row r="45" spans="2:6" x14ac:dyDescent="0.2">
      <c r="E45" s="5"/>
    </row>
    <row r="46" spans="2:6" x14ac:dyDescent="0.2">
      <c r="B46" s="1" t="s">
        <v>204</v>
      </c>
      <c r="E46" s="5">
        <f>-E44</f>
        <v>36</v>
      </c>
    </row>
    <row r="47" spans="2:6" x14ac:dyDescent="0.2">
      <c r="C47" s="1" t="s">
        <v>205</v>
      </c>
      <c r="F47" s="5">
        <f>+E46</f>
        <v>36</v>
      </c>
    </row>
    <row r="48" spans="2:6" x14ac:dyDescent="0.2">
      <c r="B48" s="1" t="s">
        <v>206</v>
      </c>
    </row>
    <row r="51" spans="2:10" x14ac:dyDescent="0.2">
      <c r="B51" s="1" t="s">
        <v>10</v>
      </c>
      <c r="C51" s="3">
        <v>43830</v>
      </c>
      <c r="E51" s="5">
        <f>+D9</f>
        <v>2650</v>
      </c>
    </row>
    <row r="52" spans="2:10" x14ac:dyDescent="0.2">
      <c r="B52" s="1" t="s">
        <v>94</v>
      </c>
      <c r="C52" s="3">
        <v>43830</v>
      </c>
      <c r="E52" s="1">
        <v>-820</v>
      </c>
    </row>
    <row r="53" spans="2:10" x14ac:dyDescent="0.2">
      <c r="B53" s="1" t="s">
        <v>10</v>
      </c>
      <c r="C53" s="3">
        <v>43465</v>
      </c>
      <c r="E53" s="5">
        <f>SUM(E51:E52)</f>
        <v>1830</v>
      </c>
    </row>
    <row r="54" spans="2:10" x14ac:dyDescent="0.2">
      <c r="B54" s="1" t="s">
        <v>10</v>
      </c>
      <c r="C54" s="3">
        <v>40759</v>
      </c>
      <c r="E54" s="1">
        <f>+D23</f>
        <v>120</v>
      </c>
    </row>
    <row r="55" spans="2:10" x14ac:dyDescent="0.2">
      <c r="B55" s="1" t="s">
        <v>173</v>
      </c>
      <c r="E55" s="5">
        <f>+E53-E54</f>
        <v>1710</v>
      </c>
    </row>
    <row r="56" spans="2:10" x14ac:dyDescent="0.2">
      <c r="D56" s="5"/>
      <c r="E56" s="5">
        <f>0.4*E55</f>
        <v>684</v>
      </c>
      <c r="F56" s="5"/>
      <c r="J56" s="14"/>
    </row>
    <row r="57" spans="2:10" x14ac:dyDescent="0.2">
      <c r="D57" s="5"/>
      <c r="E57" s="5"/>
      <c r="F57" s="5"/>
      <c r="J57" s="14"/>
    </row>
    <row r="58" spans="2:10" x14ac:dyDescent="0.2">
      <c r="B58" s="1" t="s">
        <v>140</v>
      </c>
      <c r="D58" s="5"/>
      <c r="E58" s="5">
        <f>+E56</f>
        <v>684</v>
      </c>
      <c r="F58" s="5"/>
      <c r="J58" s="14"/>
    </row>
    <row r="59" spans="2:10" x14ac:dyDescent="0.2">
      <c r="C59" s="1" t="s">
        <v>145</v>
      </c>
      <c r="D59" s="5"/>
      <c r="E59" s="5"/>
      <c r="F59" s="5">
        <f>+E58</f>
        <v>684</v>
      </c>
      <c r="J59" s="14"/>
    </row>
    <row r="60" spans="2:10" x14ac:dyDescent="0.2">
      <c r="B60" s="1" t="s">
        <v>152</v>
      </c>
      <c r="D60" s="5"/>
      <c r="E60" s="5"/>
      <c r="F60" s="5"/>
      <c r="J60" s="14"/>
    </row>
    <row r="62" spans="2:10" x14ac:dyDescent="0.2">
      <c r="B62" s="1" t="s">
        <v>153</v>
      </c>
      <c r="D62" s="5"/>
      <c r="E62" s="5"/>
      <c r="F62" s="5"/>
      <c r="J62" s="14"/>
    </row>
    <row r="63" spans="2:10" x14ac:dyDescent="0.2">
      <c r="D63" s="5"/>
      <c r="E63" s="5"/>
      <c r="F63" s="5"/>
      <c r="J63" s="14"/>
    </row>
    <row r="64" spans="2:10" x14ac:dyDescent="0.2">
      <c r="B64" s="1" t="s">
        <v>154</v>
      </c>
      <c r="D64" s="5"/>
      <c r="E64" s="5">
        <f>-E52*0.4</f>
        <v>328</v>
      </c>
      <c r="F64" s="5"/>
      <c r="J64" s="14"/>
    </row>
    <row r="65" spans="2:10" x14ac:dyDescent="0.2">
      <c r="C65" s="1" t="s">
        <v>38</v>
      </c>
      <c r="D65" s="5"/>
      <c r="E65" s="5"/>
      <c r="F65" s="5">
        <f>+E64</f>
        <v>328</v>
      </c>
      <c r="J65" s="14"/>
    </row>
    <row r="66" spans="2:10" x14ac:dyDescent="0.2">
      <c r="B66" s="1" t="s">
        <v>156</v>
      </c>
      <c r="D66" s="5"/>
      <c r="E66" s="5"/>
      <c r="F66" s="5"/>
      <c r="J66" s="14"/>
    </row>
    <row r="67" spans="2:10" x14ac:dyDescent="0.2">
      <c r="B67" s="1" t="s">
        <v>82</v>
      </c>
      <c r="D67" s="5"/>
      <c r="E67" s="5"/>
      <c r="F67" s="5"/>
    </row>
    <row r="68" spans="2:10" x14ac:dyDescent="0.2">
      <c r="D68" s="5"/>
      <c r="E68" s="5"/>
      <c r="F68" s="5"/>
    </row>
    <row r="69" spans="2:10" x14ac:dyDescent="0.2">
      <c r="B69" s="1" t="s">
        <v>120</v>
      </c>
      <c r="D69" s="5"/>
      <c r="E69" s="5"/>
      <c r="F69" s="5"/>
    </row>
    <row r="70" spans="2:10" x14ac:dyDescent="0.2">
      <c r="B70" s="1" t="s">
        <v>70</v>
      </c>
      <c r="D70" s="5"/>
      <c r="E70" s="5">
        <v>3000</v>
      </c>
      <c r="F70" s="5"/>
    </row>
    <row r="71" spans="2:10" x14ac:dyDescent="0.2">
      <c r="B71" s="1" t="s">
        <v>121</v>
      </c>
      <c r="D71" s="5"/>
      <c r="E71" s="5">
        <f>+E29-F36</f>
        <v>249</v>
      </c>
      <c r="F71" s="5"/>
    </row>
    <row r="72" spans="2:10" x14ac:dyDescent="0.2">
      <c r="B72" s="1" t="s">
        <v>122</v>
      </c>
      <c r="D72" s="5"/>
      <c r="E72" s="5">
        <f>+D12*0.6</f>
        <v>1866</v>
      </c>
      <c r="F72" s="5" t="s">
        <v>123</v>
      </c>
    </row>
    <row r="73" spans="2:10" ht="12.75" thickBot="1" x14ac:dyDescent="0.25">
      <c r="B73" s="1" t="s">
        <v>73</v>
      </c>
      <c r="D73" s="5"/>
      <c r="E73" s="13">
        <f>+E70-E71-E72</f>
        <v>885</v>
      </c>
      <c r="F73" s="5"/>
    </row>
    <row r="74" spans="2:10" ht="12.75" thickTop="1" x14ac:dyDescent="0.2">
      <c r="D74" s="5"/>
      <c r="E74" s="5"/>
      <c r="F74" s="5"/>
    </row>
    <row r="75" spans="2:10" x14ac:dyDescent="0.2">
      <c r="D75" s="5"/>
      <c r="E75" s="5"/>
      <c r="F75" s="5"/>
    </row>
    <row r="76" spans="2:10" x14ac:dyDescent="0.2">
      <c r="B76" s="1" t="s">
        <v>124</v>
      </c>
      <c r="D76" s="5"/>
      <c r="E76" s="5">
        <f>+E70</f>
        <v>3000</v>
      </c>
      <c r="F76" s="5"/>
    </row>
    <row r="77" spans="2:10" x14ac:dyDescent="0.2">
      <c r="B77" s="1" t="s">
        <v>125</v>
      </c>
      <c r="D77" s="5" t="s">
        <v>159</v>
      </c>
      <c r="E77" s="5">
        <f>+E72/0.6*0.4</f>
        <v>1244</v>
      </c>
      <c r="F77" s="5"/>
    </row>
    <row r="78" spans="2:10" x14ac:dyDescent="0.2">
      <c r="C78" s="1" t="s">
        <v>128</v>
      </c>
      <c r="D78" s="5"/>
      <c r="E78" s="5"/>
      <c r="F78" s="5">
        <f>+E71</f>
        <v>249</v>
      </c>
    </row>
    <row r="79" spans="2:10" x14ac:dyDescent="0.2">
      <c r="C79" s="1" t="s">
        <v>80</v>
      </c>
      <c r="D79" s="5"/>
      <c r="E79" s="5"/>
      <c r="F79" s="5">
        <f>+E72/0.6</f>
        <v>3110</v>
      </c>
    </row>
    <row r="80" spans="2:10" x14ac:dyDescent="0.2">
      <c r="C80" s="1" t="s">
        <v>199</v>
      </c>
      <c r="D80" s="5"/>
      <c r="E80" s="5"/>
      <c r="F80" s="5">
        <f>+E73</f>
        <v>885</v>
      </c>
    </row>
    <row r="81" spans="2:6" x14ac:dyDescent="0.2">
      <c r="B81" s="1" t="s">
        <v>133</v>
      </c>
    </row>
    <row r="83" spans="2:6" x14ac:dyDescent="0.2">
      <c r="B83" s="1" t="s">
        <v>134</v>
      </c>
    </row>
    <row r="84" spans="2:6" x14ac:dyDescent="0.2">
      <c r="B84" s="1" t="s">
        <v>135</v>
      </c>
      <c r="E84" s="1">
        <f>+E35</f>
        <v>249</v>
      </c>
      <c r="F84" s="1" t="s">
        <v>139</v>
      </c>
    </row>
    <row r="85" spans="2:6" x14ac:dyDescent="0.2">
      <c r="B85" s="1" t="s">
        <v>137</v>
      </c>
      <c r="E85" s="5">
        <f>+E64</f>
        <v>328</v>
      </c>
      <c r="F85" s="1" t="s">
        <v>142</v>
      </c>
    </row>
    <row r="86" spans="2:6" x14ac:dyDescent="0.2">
      <c r="E86" s="5">
        <f>+F80</f>
        <v>885</v>
      </c>
      <c r="F86" s="1" t="s">
        <v>138</v>
      </c>
    </row>
    <row r="87" spans="2:6" ht="12.75" thickBot="1" x14ac:dyDescent="0.25">
      <c r="E87" s="13">
        <f>+E84+E85-E86</f>
        <v>-308</v>
      </c>
      <c r="F87" s="1" t="s">
        <v>209</v>
      </c>
    </row>
    <row r="88" spans="2:6" ht="12.75" thickTop="1" x14ac:dyDescent="0.2"/>
    <row r="89" spans="2:6" x14ac:dyDescent="0.2">
      <c r="B89" s="1" t="s">
        <v>207</v>
      </c>
      <c r="E89" s="5">
        <f>+F90</f>
        <v>308</v>
      </c>
      <c r="F89" s="5"/>
    </row>
    <row r="90" spans="2:6" x14ac:dyDescent="0.2">
      <c r="C90" s="1" t="s">
        <v>208</v>
      </c>
      <c r="E90" s="5"/>
      <c r="F90" s="5">
        <f>-E87</f>
        <v>308</v>
      </c>
    </row>
    <row r="91" spans="2:6" x14ac:dyDescent="0.2">
      <c r="B91" s="1" t="s">
        <v>141</v>
      </c>
    </row>
  </sheetData>
  <hyperlinks>
    <hyperlink ref="A1" location="Main!A1" display="Main" xr:uid="{ED911D93-B8B9-4E5E-AFFA-7568E647B0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84AA-5679-495E-B331-6D49F72827DB}">
  <dimension ref="A1:J188"/>
  <sheetViews>
    <sheetView topLeftCell="A151" zoomScale="145" zoomScaleNormal="145" workbookViewId="0">
      <selection activeCell="C188" sqref="C188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1</v>
      </c>
    </row>
    <row r="2" spans="1:6" x14ac:dyDescent="0.2">
      <c r="B2" s="1" t="s">
        <v>210</v>
      </c>
    </row>
    <row r="3" spans="1:6" x14ac:dyDescent="0.2">
      <c r="B3" s="1" t="s">
        <v>161</v>
      </c>
      <c r="C3" s="3">
        <v>43373</v>
      </c>
    </row>
    <row r="5" spans="1:6" x14ac:dyDescent="0.2">
      <c r="C5" s="17" t="s">
        <v>217</v>
      </c>
      <c r="D5" s="17" t="s">
        <v>215</v>
      </c>
      <c r="E5" s="17" t="s">
        <v>218</v>
      </c>
      <c r="F5" s="17" t="s">
        <v>219</v>
      </c>
    </row>
    <row r="6" spans="1:6" x14ac:dyDescent="0.2">
      <c r="B6" s="1" t="s">
        <v>214</v>
      </c>
      <c r="C6" s="5">
        <v>64859</v>
      </c>
      <c r="D6" s="5">
        <v>3156</v>
      </c>
      <c r="E6" s="5">
        <v>6548</v>
      </c>
      <c r="F6" s="5">
        <f>+C6+D6+E6</f>
        <v>74563</v>
      </c>
    </row>
    <row r="7" spans="1:6" x14ac:dyDescent="0.2">
      <c r="B7" s="1" t="s">
        <v>100</v>
      </c>
      <c r="C7" s="16">
        <v>-7589</v>
      </c>
      <c r="D7" s="16">
        <v>-1567</v>
      </c>
      <c r="E7" s="16">
        <v>-2658</v>
      </c>
      <c r="F7" s="16">
        <f>+C7+D7+E7</f>
        <v>-11814</v>
      </c>
    </row>
    <row r="8" spans="1:6" x14ac:dyDescent="0.2">
      <c r="B8" s="1" t="s">
        <v>99</v>
      </c>
      <c r="C8" s="5">
        <f>SUM(C6:C7)</f>
        <v>57270</v>
      </c>
      <c r="D8" s="5">
        <f>SUM(D6:D7)</f>
        <v>1589</v>
      </c>
      <c r="E8" s="5">
        <f>SUM(E6:E7)</f>
        <v>3890</v>
      </c>
      <c r="F8" s="5">
        <f>SUM(F6:F7)</f>
        <v>62749</v>
      </c>
    </row>
    <row r="9" spans="1:6" x14ac:dyDescent="0.2">
      <c r="B9" s="1" t="s">
        <v>213</v>
      </c>
      <c r="C9" s="5">
        <v>659</v>
      </c>
      <c r="D9" s="5">
        <v>0</v>
      </c>
      <c r="E9" s="5">
        <v>0</v>
      </c>
      <c r="F9" s="5">
        <f>+C9+D9+E9</f>
        <v>659</v>
      </c>
    </row>
    <row r="10" spans="1:6" x14ac:dyDescent="0.2">
      <c r="B10" s="1" t="s">
        <v>97</v>
      </c>
      <c r="C10" s="5">
        <v>-9482</v>
      </c>
      <c r="D10" s="5">
        <v>-953</v>
      </c>
      <c r="E10" s="5">
        <v>-1026</v>
      </c>
      <c r="F10" s="5">
        <f>+C10+D10+E10</f>
        <v>-11461</v>
      </c>
    </row>
    <row r="11" spans="1:6" x14ac:dyDescent="0.2">
      <c r="B11" s="1" t="s">
        <v>96</v>
      </c>
      <c r="C11" s="5">
        <v>-26851</v>
      </c>
      <c r="D11" s="5">
        <v>-1584</v>
      </c>
      <c r="E11" s="5">
        <v>-954</v>
      </c>
      <c r="F11" s="5">
        <f>+C11+D11+E11</f>
        <v>-29389</v>
      </c>
    </row>
    <row r="12" spans="1:6" x14ac:dyDescent="0.2">
      <c r="B12" s="1" t="s">
        <v>212</v>
      </c>
      <c r="C12" s="5">
        <v>1465</v>
      </c>
      <c r="D12" s="5">
        <v>0</v>
      </c>
      <c r="E12" s="5">
        <v>0</v>
      </c>
      <c r="F12" s="5">
        <f>+C12+D12+E12</f>
        <v>1465</v>
      </c>
    </row>
    <row r="13" spans="1:6" x14ac:dyDescent="0.2">
      <c r="B13" s="1" t="s">
        <v>211</v>
      </c>
      <c r="C13" s="16">
        <v>-7705</v>
      </c>
      <c r="D13" s="16">
        <v>-81</v>
      </c>
      <c r="E13" s="16">
        <v>-196</v>
      </c>
      <c r="F13" s="16">
        <f>+C13+D13+E13</f>
        <v>-7982</v>
      </c>
    </row>
    <row r="14" spans="1:6" x14ac:dyDescent="0.2">
      <c r="B14" s="1" t="s">
        <v>92</v>
      </c>
      <c r="C14" s="5">
        <f>SUM(C8:C13)</f>
        <v>15356</v>
      </c>
      <c r="D14" s="5">
        <f>SUM(D8:D13)</f>
        <v>-1029</v>
      </c>
      <c r="E14" s="5">
        <f>SUM(E8:E13)</f>
        <v>1714</v>
      </c>
      <c r="F14" s="5">
        <f>SUM(F8:F13)</f>
        <v>16041</v>
      </c>
    </row>
    <row r="15" spans="1:6" x14ac:dyDescent="0.2">
      <c r="B15" s="1" t="s">
        <v>93</v>
      </c>
      <c r="C15" s="5">
        <v>-3480</v>
      </c>
      <c r="D15" s="5">
        <v>0</v>
      </c>
      <c r="E15" s="5">
        <v>-354</v>
      </c>
      <c r="F15" s="5">
        <f>+C15+D15+E15</f>
        <v>-3834</v>
      </c>
    </row>
    <row r="16" spans="1:6" ht="12.75" thickBot="1" x14ac:dyDescent="0.25">
      <c r="B16" s="1" t="s">
        <v>94</v>
      </c>
      <c r="C16" s="13">
        <f>SUM(C14:C15)</f>
        <v>11876</v>
      </c>
      <c r="D16" s="13">
        <f>SUM(D14:D15)</f>
        <v>-1029</v>
      </c>
      <c r="E16" s="13">
        <f>SUM(E14:E15)</f>
        <v>1360</v>
      </c>
      <c r="F16" s="13">
        <f>SUM(F14:F15)</f>
        <v>12207</v>
      </c>
    </row>
    <row r="17" spans="2:5" ht="12.75" thickTop="1" x14ac:dyDescent="0.2"/>
    <row r="19" spans="2:5" x14ac:dyDescent="0.2">
      <c r="B19" s="1" t="s">
        <v>216</v>
      </c>
    </row>
    <row r="21" spans="2:5" x14ac:dyDescent="0.2">
      <c r="B21" s="1" t="s">
        <v>215</v>
      </c>
    </row>
    <row r="22" spans="2:5" x14ac:dyDescent="0.2">
      <c r="B22" s="1" t="s">
        <v>220</v>
      </c>
    </row>
    <row r="24" spans="2:5" x14ac:dyDescent="0.2">
      <c r="B24" s="1" t="s">
        <v>221</v>
      </c>
      <c r="E24" s="5">
        <v>4500</v>
      </c>
    </row>
    <row r="25" spans="2:5" x14ac:dyDescent="0.2">
      <c r="B25" s="1" t="s">
        <v>59</v>
      </c>
      <c r="D25" s="1">
        <v>0.2</v>
      </c>
      <c r="E25" s="5">
        <f>-D25*E28</f>
        <v>892</v>
      </c>
    </row>
    <row r="26" spans="2:5" x14ac:dyDescent="0.2">
      <c r="B26" s="1" t="s">
        <v>5</v>
      </c>
      <c r="D26" s="5">
        <v>1000</v>
      </c>
      <c r="E26" s="5"/>
    </row>
    <row r="27" spans="2:5" x14ac:dyDescent="0.2">
      <c r="B27" s="1" t="s">
        <v>163</v>
      </c>
      <c r="D27" s="5">
        <v>200</v>
      </c>
      <c r="E27" s="5"/>
    </row>
    <row r="28" spans="2:5" x14ac:dyDescent="0.2">
      <c r="B28" s="1" t="s">
        <v>10</v>
      </c>
      <c r="D28" s="5">
        <v>3260</v>
      </c>
      <c r="E28" s="5">
        <f>-SUM(D26:D28)</f>
        <v>-4460</v>
      </c>
    </row>
    <row r="29" spans="2:5" x14ac:dyDescent="0.2">
      <c r="B29" s="1" t="s">
        <v>119</v>
      </c>
      <c r="E29" s="5">
        <f>SUM(E24:E28)</f>
        <v>932</v>
      </c>
    </row>
    <row r="31" spans="2:5" x14ac:dyDescent="0.2">
      <c r="B31" s="1" t="s">
        <v>60</v>
      </c>
      <c r="E31" s="5">
        <f>+D26</f>
        <v>1000</v>
      </c>
    </row>
    <row r="32" spans="2:5" x14ac:dyDescent="0.2">
      <c r="B32" s="1" t="s">
        <v>167</v>
      </c>
      <c r="E32" s="5">
        <f>+D27</f>
        <v>200</v>
      </c>
    </row>
    <row r="33" spans="2:6" x14ac:dyDescent="0.2">
      <c r="B33" s="1" t="s">
        <v>31</v>
      </c>
      <c r="E33" s="5">
        <f>+D28</f>
        <v>3260</v>
      </c>
    </row>
    <row r="34" spans="2:6" x14ac:dyDescent="0.2">
      <c r="B34" s="1" t="s">
        <v>143</v>
      </c>
      <c r="E34" s="5">
        <f>+E29</f>
        <v>932</v>
      </c>
    </row>
    <row r="35" spans="2:6" x14ac:dyDescent="0.2">
      <c r="C35" s="1" t="s">
        <v>222</v>
      </c>
      <c r="F35" s="5">
        <f>+E24</f>
        <v>4500</v>
      </c>
    </row>
    <row r="36" spans="2:6" x14ac:dyDescent="0.2">
      <c r="C36" s="1" t="s">
        <v>38</v>
      </c>
      <c r="F36" s="5">
        <f>+E25</f>
        <v>892</v>
      </c>
    </row>
    <row r="37" spans="2:6" x14ac:dyDescent="0.2">
      <c r="B37" s="1" t="s">
        <v>223</v>
      </c>
    </row>
    <row r="39" spans="2:6" x14ac:dyDescent="0.2">
      <c r="B39" s="1" t="s">
        <v>224</v>
      </c>
    </row>
    <row r="41" spans="2:6" x14ac:dyDescent="0.2">
      <c r="B41" s="1" t="s">
        <v>225</v>
      </c>
      <c r="E41" s="5">
        <f>+E29</f>
        <v>932</v>
      </c>
    </row>
    <row r="42" spans="2:6" x14ac:dyDescent="0.2">
      <c r="B42" s="3">
        <v>42277</v>
      </c>
      <c r="D42" s="4">
        <v>0.6</v>
      </c>
      <c r="E42" s="1">
        <f>-+E29*D42</f>
        <v>-559.19999999999993</v>
      </c>
    </row>
    <row r="43" spans="2:6" x14ac:dyDescent="0.2">
      <c r="B43" s="3">
        <v>42277</v>
      </c>
      <c r="D43" s="4">
        <v>0.1</v>
      </c>
      <c r="E43" s="1">
        <f>-D43*E41</f>
        <v>-93.2</v>
      </c>
    </row>
    <row r="44" spans="2:6" ht="12.75" thickBot="1" x14ac:dyDescent="0.25">
      <c r="E44" s="13">
        <f>SUM(E41:E43)</f>
        <v>279.60000000000008</v>
      </c>
    </row>
    <row r="45" spans="2:6" ht="12.75" thickTop="1" x14ac:dyDescent="0.2"/>
    <row r="46" spans="2:6" x14ac:dyDescent="0.2">
      <c r="B46" s="1" t="s">
        <v>31</v>
      </c>
      <c r="E46" s="5">
        <f>-SUM(E42:E43)</f>
        <v>652.4</v>
      </c>
    </row>
    <row r="47" spans="2:6" x14ac:dyDescent="0.2">
      <c r="C47" s="1" t="s">
        <v>226</v>
      </c>
      <c r="F47" s="5">
        <f>+E46</f>
        <v>652.4</v>
      </c>
    </row>
    <row r="48" spans="2:6" x14ac:dyDescent="0.2">
      <c r="B48" s="1" t="s">
        <v>227</v>
      </c>
    </row>
    <row r="50" spans="2:10" x14ac:dyDescent="0.2">
      <c r="B50" s="1" t="s">
        <v>228</v>
      </c>
    </row>
    <row r="51" spans="2:10" x14ac:dyDescent="0.2">
      <c r="B51" s="1" t="s">
        <v>229</v>
      </c>
    </row>
    <row r="53" spans="2:10" x14ac:dyDescent="0.2">
      <c r="B53" s="1" t="s">
        <v>230</v>
      </c>
    </row>
    <row r="54" spans="2:10" x14ac:dyDescent="0.2">
      <c r="B54" s="1" t="s">
        <v>10</v>
      </c>
      <c r="C54" s="3">
        <v>43373</v>
      </c>
      <c r="E54" s="5">
        <v>2984</v>
      </c>
    </row>
    <row r="55" spans="2:10" x14ac:dyDescent="0.2">
      <c r="B55" s="1" t="s">
        <v>231</v>
      </c>
      <c r="C55" s="3">
        <v>43373</v>
      </c>
      <c r="E55" s="5">
        <f>+D16</f>
        <v>-1029</v>
      </c>
    </row>
    <row r="56" spans="2:10" x14ac:dyDescent="0.2">
      <c r="B56" s="1" t="s">
        <v>10</v>
      </c>
      <c r="C56" s="3">
        <v>43008</v>
      </c>
      <c r="E56" s="5">
        <f>+E54-E55</f>
        <v>4013</v>
      </c>
    </row>
    <row r="57" spans="2:10" x14ac:dyDescent="0.2">
      <c r="B57" s="1" t="s">
        <v>10</v>
      </c>
      <c r="C57" s="3">
        <v>40940</v>
      </c>
      <c r="E57" s="1">
        <v>3260</v>
      </c>
    </row>
    <row r="58" spans="2:10" x14ac:dyDescent="0.2">
      <c r="B58" s="1" t="s">
        <v>173</v>
      </c>
      <c r="E58" s="5">
        <f>+E56-E57</f>
        <v>753</v>
      </c>
    </row>
    <row r="59" spans="2:10" x14ac:dyDescent="0.2">
      <c r="D59" s="5"/>
      <c r="E59" s="5">
        <f>0.2*E58</f>
        <v>150.6</v>
      </c>
      <c r="F59" s="5" t="s">
        <v>76</v>
      </c>
      <c r="J59" s="14"/>
    </row>
    <row r="60" spans="2:10" x14ac:dyDescent="0.2">
      <c r="D60" s="5"/>
      <c r="E60" s="5"/>
      <c r="F60" s="5"/>
      <c r="J60" s="14"/>
    </row>
    <row r="61" spans="2:10" x14ac:dyDescent="0.2">
      <c r="B61" s="1" t="s">
        <v>140</v>
      </c>
      <c r="D61" s="5"/>
      <c r="E61" s="5">
        <f>+E59</f>
        <v>150.6</v>
      </c>
      <c r="F61" s="5"/>
      <c r="J61" s="14"/>
    </row>
    <row r="62" spans="2:10" x14ac:dyDescent="0.2">
      <c r="C62" s="1" t="s">
        <v>145</v>
      </c>
      <c r="D62" s="5"/>
      <c r="E62" s="5"/>
      <c r="F62" s="5">
        <f>+E61</f>
        <v>150.6</v>
      </c>
      <c r="J62" s="14"/>
    </row>
    <row r="63" spans="2:10" x14ac:dyDescent="0.2">
      <c r="B63" s="1" t="s">
        <v>152</v>
      </c>
      <c r="D63" s="5"/>
      <c r="E63" s="5"/>
      <c r="F63" s="5"/>
      <c r="J63" s="14"/>
    </row>
    <row r="64" spans="2:10" x14ac:dyDescent="0.2">
      <c r="D64" s="5"/>
      <c r="E64" s="5"/>
      <c r="F64" s="5"/>
      <c r="J64" s="14"/>
    </row>
    <row r="65" spans="2:10" x14ac:dyDescent="0.2">
      <c r="B65" s="1" t="s">
        <v>232</v>
      </c>
      <c r="D65" s="5"/>
      <c r="E65" s="5">
        <f>+D16*0.2</f>
        <v>-205.8</v>
      </c>
      <c r="F65" s="5"/>
      <c r="J65" s="14"/>
    </row>
    <row r="66" spans="2:10" x14ac:dyDescent="0.2">
      <c r="D66" s="5"/>
      <c r="E66" s="5"/>
      <c r="F66" s="5"/>
      <c r="J66" s="14"/>
    </row>
    <row r="67" spans="2:10" x14ac:dyDescent="0.2">
      <c r="B67" s="1" t="s">
        <v>38</v>
      </c>
      <c r="D67" s="5"/>
      <c r="E67" s="5">
        <f>+F68</f>
        <v>205.8</v>
      </c>
      <c r="J67" s="14"/>
    </row>
    <row r="68" spans="2:10" x14ac:dyDescent="0.2">
      <c r="C68" s="1" t="s">
        <v>154</v>
      </c>
      <c r="D68" s="5"/>
      <c r="F68" s="5">
        <f>-E65</f>
        <v>205.8</v>
      </c>
      <c r="J68" s="14"/>
    </row>
    <row r="69" spans="2:10" x14ac:dyDescent="0.2">
      <c r="B69" s="1" t="s">
        <v>233</v>
      </c>
      <c r="D69" s="5"/>
      <c r="E69" s="5"/>
      <c r="F69" s="5"/>
      <c r="J69" s="14"/>
    </row>
    <row r="71" spans="2:10" x14ac:dyDescent="0.2">
      <c r="B71" s="1" t="s">
        <v>82</v>
      </c>
      <c r="D71" s="5"/>
      <c r="E71" s="5"/>
      <c r="F71" s="5"/>
    </row>
    <row r="72" spans="2:10" x14ac:dyDescent="0.2">
      <c r="D72" s="5"/>
      <c r="E72" s="5"/>
      <c r="F72" s="5"/>
    </row>
    <row r="73" spans="2:10" x14ac:dyDescent="0.2">
      <c r="B73" s="1" t="s">
        <v>120</v>
      </c>
      <c r="D73" s="5"/>
      <c r="E73" s="5"/>
      <c r="F73" s="5"/>
    </row>
    <row r="74" spans="2:10" x14ac:dyDescent="0.2">
      <c r="B74" s="1" t="s">
        <v>70</v>
      </c>
      <c r="D74" s="5"/>
      <c r="E74" s="5">
        <v>3000</v>
      </c>
      <c r="F74" s="5"/>
    </row>
    <row r="75" spans="2:10" x14ac:dyDescent="0.2">
      <c r="B75" s="1" t="s">
        <v>121</v>
      </c>
      <c r="D75" s="5"/>
      <c r="E75" s="5">
        <f>+E34-F47</f>
        <v>279.60000000000002</v>
      </c>
      <c r="F75" s="5"/>
    </row>
    <row r="76" spans="2:10" x14ac:dyDescent="0.2">
      <c r="B76" s="1" t="s">
        <v>122</v>
      </c>
      <c r="D76" s="5">
        <v>4184</v>
      </c>
      <c r="E76" s="5">
        <f>+D76*0.8</f>
        <v>3347.2000000000003</v>
      </c>
      <c r="F76" s="5" t="s">
        <v>123</v>
      </c>
    </row>
    <row r="77" spans="2:10" ht="12.75" thickBot="1" x14ac:dyDescent="0.25">
      <c r="B77" s="1" t="s">
        <v>234</v>
      </c>
      <c r="D77" s="5"/>
      <c r="E77" s="13">
        <f>+E74-E75-E76</f>
        <v>-626.80000000000018</v>
      </c>
      <c r="F77" s="5"/>
    </row>
    <row r="78" spans="2:10" ht="12.75" thickTop="1" x14ac:dyDescent="0.2">
      <c r="D78" s="5"/>
      <c r="E78" s="5"/>
      <c r="F78" s="5"/>
    </row>
    <row r="79" spans="2:10" x14ac:dyDescent="0.2">
      <c r="D79" s="5"/>
      <c r="E79" s="5"/>
      <c r="F79" s="5"/>
    </row>
    <row r="80" spans="2:10" x14ac:dyDescent="0.2">
      <c r="B80" s="1" t="s">
        <v>124</v>
      </c>
      <c r="D80" s="5"/>
      <c r="E80" s="5">
        <f>+E74</f>
        <v>3000</v>
      </c>
      <c r="F80" s="5"/>
    </row>
    <row r="81" spans="2:6" x14ac:dyDescent="0.2">
      <c r="B81" s="1" t="s">
        <v>125</v>
      </c>
      <c r="D81" s="5" t="s">
        <v>159</v>
      </c>
      <c r="E81" s="5">
        <f>+D76*0.2</f>
        <v>836.80000000000007</v>
      </c>
      <c r="F81" s="5"/>
    </row>
    <row r="82" spans="2:6" x14ac:dyDescent="0.2">
      <c r="C82" s="1" t="s">
        <v>128</v>
      </c>
      <c r="D82" s="5"/>
      <c r="E82" s="5"/>
      <c r="F82" s="5">
        <f>+E75</f>
        <v>279.60000000000002</v>
      </c>
    </row>
    <row r="83" spans="2:6" x14ac:dyDescent="0.2">
      <c r="C83" s="1" t="s">
        <v>80</v>
      </c>
      <c r="D83" s="5"/>
      <c r="E83" s="5"/>
      <c r="F83" s="5">
        <f>+D76</f>
        <v>4184</v>
      </c>
    </row>
    <row r="84" spans="2:6" x14ac:dyDescent="0.2">
      <c r="B84" s="1" t="s">
        <v>235</v>
      </c>
      <c r="D84" s="5"/>
      <c r="E84" s="5">
        <f>-E77</f>
        <v>626.80000000000018</v>
      </c>
      <c r="F84" s="5"/>
    </row>
    <row r="85" spans="2:6" x14ac:dyDescent="0.2">
      <c r="B85" s="1" t="s">
        <v>133</v>
      </c>
    </row>
    <row r="87" spans="2:6" x14ac:dyDescent="0.2">
      <c r="B87" s="1" t="s">
        <v>134</v>
      </c>
    </row>
    <row r="88" spans="2:6" x14ac:dyDescent="0.2">
      <c r="B88" s="1" t="s">
        <v>236</v>
      </c>
      <c r="E88" s="5">
        <f>+F68</f>
        <v>205.8</v>
      </c>
      <c r="F88" s="1" t="s">
        <v>138</v>
      </c>
    </row>
    <row r="89" spans="2:6" x14ac:dyDescent="0.2">
      <c r="B89" s="1" t="s">
        <v>234</v>
      </c>
      <c r="E89" s="5">
        <f>+E84</f>
        <v>626.80000000000018</v>
      </c>
      <c r="F89" s="1" t="s">
        <v>139</v>
      </c>
    </row>
    <row r="90" spans="2:6" ht="12.75" thickBot="1" x14ac:dyDescent="0.25">
      <c r="E90" s="13">
        <f>-E88+E89</f>
        <v>421.00000000000017</v>
      </c>
      <c r="F90" s="1" t="s">
        <v>142</v>
      </c>
    </row>
    <row r="91" spans="2:6" ht="12.75" thickTop="1" x14ac:dyDescent="0.2"/>
    <row r="92" spans="2:6" x14ac:dyDescent="0.2">
      <c r="B92" s="1" t="s">
        <v>237</v>
      </c>
      <c r="E92" s="5">
        <f>+E90</f>
        <v>421.00000000000017</v>
      </c>
      <c r="F92" s="5"/>
    </row>
    <row r="93" spans="2:6" x14ac:dyDescent="0.2">
      <c r="C93" s="1" t="s">
        <v>48</v>
      </c>
      <c r="E93" s="5"/>
      <c r="F93" s="5">
        <f>+E92</f>
        <v>421.00000000000017</v>
      </c>
    </row>
    <row r="94" spans="2:6" x14ac:dyDescent="0.2">
      <c r="B94" s="1" t="s">
        <v>141</v>
      </c>
    </row>
    <row r="97" spans="2:6" x14ac:dyDescent="0.2">
      <c r="B97" s="1" t="s">
        <v>218</v>
      </c>
    </row>
    <row r="99" spans="2:6" x14ac:dyDescent="0.2">
      <c r="B99" s="18" t="s">
        <v>238</v>
      </c>
    </row>
    <row r="101" spans="2:6" x14ac:dyDescent="0.2">
      <c r="B101" s="1" t="s">
        <v>239</v>
      </c>
      <c r="D101" s="1">
        <v>4000</v>
      </c>
    </row>
    <row r="102" spans="2:6" x14ac:dyDescent="0.2">
      <c r="B102" s="1" t="s">
        <v>59</v>
      </c>
      <c r="C102" s="1">
        <v>0.2</v>
      </c>
      <c r="D102" s="1">
        <f>-+C102*D103</f>
        <v>1000</v>
      </c>
    </row>
    <row r="103" spans="2:6" x14ac:dyDescent="0.2">
      <c r="B103" s="1" t="s">
        <v>5</v>
      </c>
      <c r="C103" s="1">
        <v>5000</v>
      </c>
      <c r="D103" s="1">
        <f>-SUM(C103)</f>
        <v>-5000</v>
      </c>
    </row>
    <row r="104" spans="2:6" x14ac:dyDescent="0.2">
      <c r="B104" s="1" t="s">
        <v>119</v>
      </c>
      <c r="D104" s="1">
        <f>SUM(D101:D103)</f>
        <v>0</v>
      </c>
    </row>
    <row r="106" spans="2:6" x14ac:dyDescent="0.2">
      <c r="B106" s="1" t="s">
        <v>12</v>
      </c>
      <c r="E106" s="1">
        <f>+C103</f>
        <v>5000</v>
      </c>
    </row>
    <row r="107" spans="2:6" x14ac:dyDescent="0.2">
      <c r="C107" s="1" t="s">
        <v>254</v>
      </c>
      <c r="F107" s="1">
        <f>+D101</f>
        <v>4000</v>
      </c>
    </row>
    <row r="108" spans="2:6" x14ac:dyDescent="0.2">
      <c r="C108" s="1" t="s">
        <v>38</v>
      </c>
      <c r="F108" s="1">
        <f>+D102</f>
        <v>1000</v>
      </c>
    </row>
    <row r="109" spans="2:6" x14ac:dyDescent="0.2">
      <c r="B109" s="1" t="s">
        <v>255</v>
      </c>
    </row>
    <row r="111" spans="2:6" x14ac:dyDescent="0.2">
      <c r="B111" s="1" t="s">
        <v>240</v>
      </c>
    </row>
    <row r="112" spans="2:6" x14ac:dyDescent="0.2">
      <c r="B112" s="1" t="s">
        <v>241</v>
      </c>
    </row>
    <row r="114" spans="2:10" x14ac:dyDescent="0.2">
      <c r="B114" s="1" t="s">
        <v>242</v>
      </c>
    </row>
    <row r="116" spans="2:10" x14ac:dyDescent="0.2">
      <c r="B116" s="1" t="s">
        <v>10</v>
      </c>
      <c r="C116" s="3">
        <f>+C3</f>
        <v>43373</v>
      </c>
      <c r="D116" s="1">
        <v>5360</v>
      </c>
    </row>
    <row r="117" spans="2:10" x14ac:dyDescent="0.2">
      <c r="B117" s="1" t="s">
        <v>94</v>
      </c>
      <c r="C117" s="3">
        <v>43373</v>
      </c>
      <c r="D117" s="5">
        <f>-+E16</f>
        <v>-1360</v>
      </c>
    </row>
    <row r="118" spans="2:10" x14ac:dyDescent="0.2">
      <c r="B118" s="1" t="s">
        <v>243</v>
      </c>
      <c r="C118" s="3">
        <v>43373</v>
      </c>
      <c r="D118" s="5">
        <v>1100</v>
      </c>
    </row>
    <row r="119" spans="2:10" x14ac:dyDescent="0.2">
      <c r="B119" s="1" t="s">
        <v>10</v>
      </c>
      <c r="C119" s="3">
        <v>43008</v>
      </c>
      <c r="D119" s="1">
        <f>SUM(D116:D118)</f>
        <v>5100</v>
      </c>
    </row>
    <row r="120" spans="2:10" x14ac:dyDescent="0.2">
      <c r="B120" s="1" t="s">
        <v>10</v>
      </c>
      <c r="C120" s="3">
        <v>41640</v>
      </c>
      <c r="D120" s="1">
        <v>0</v>
      </c>
    </row>
    <row r="121" spans="2:10" x14ac:dyDescent="0.2">
      <c r="B121" s="1" t="s">
        <v>173</v>
      </c>
      <c r="D121" s="1">
        <f>+D119-D120</f>
        <v>5100</v>
      </c>
    </row>
    <row r="122" spans="2:10" x14ac:dyDescent="0.2">
      <c r="B122" s="1" t="s">
        <v>203</v>
      </c>
      <c r="C122" s="1">
        <v>0.2</v>
      </c>
      <c r="D122" s="1">
        <f>+C122*D121</f>
        <v>1020</v>
      </c>
    </row>
    <row r="124" spans="2:10" x14ac:dyDescent="0.2">
      <c r="B124" s="1" t="s">
        <v>140</v>
      </c>
      <c r="D124" s="5"/>
      <c r="E124" s="5">
        <f>+D122</f>
        <v>1020</v>
      </c>
      <c r="F124" s="5"/>
      <c r="J124" s="14"/>
    </row>
    <row r="125" spans="2:10" x14ac:dyDescent="0.2">
      <c r="C125" s="1" t="s">
        <v>145</v>
      </c>
      <c r="D125" s="5"/>
      <c r="E125" s="5"/>
      <c r="F125" s="5">
        <f>+E124</f>
        <v>1020</v>
      </c>
      <c r="J125" s="14"/>
    </row>
    <row r="126" spans="2:10" x14ac:dyDescent="0.2">
      <c r="B126" s="1" t="s">
        <v>152</v>
      </c>
      <c r="D126" s="5"/>
      <c r="E126" s="5"/>
      <c r="F126" s="5"/>
      <c r="J126" s="14"/>
    </row>
    <row r="127" spans="2:10" x14ac:dyDescent="0.2">
      <c r="D127" s="5"/>
      <c r="E127" s="5"/>
      <c r="F127" s="5"/>
      <c r="J127" s="14"/>
    </row>
    <row r="128" spans="2:10" x14ac:dyDescent="0.2">
      <c r="B128" s="1" t="s">
        <v>153</v>
      </c>
      <c r="D128" s="5"/>
      <c r="E128" s="5"/>
      <c r="F128" s="5"/>
      <c r="J128" s="14"/>
    </row>
    <row r="129" spans="2:10" x14ac:dyDescent="0.2">
      <c r="D129" s="5"/>
      <c r="E129" s="5"/>
      <c r="F129" s="5"/>
      <c r="J129" s="14"/>
    </row>
    <row r="130" spans="2:10" x14ac:dyDescent="0.2">
      <c r="B130" s="1" t="s">
        <v>154</v>
      </c>
      <c r="D130" s="5"/>
      <c r="E130" s="5">
        <f>+-0.2*D117</f>
        <v>272</v>
      </c>
      <c r="F130" s="5"/>
      <c r="J130" s="14"/>
    </row>
    <row r="131" spans="2:10" x14ac:dyDescent="0.2">
      <c r="C131" s="1" t="s">
        <v>38</v>
      </c>
      <c r="D131" s="5"/>
      <c r="E131" s="5"/>
      <c r="F131" s="5">
        <f>+E130</f>
        <v>272</v>
      </c>
      <c r="J131" s="14"/>
    </row>
    <row r="132" spans="2:10" x14ac:dyDescent="0.2">
      <c r="B132" s="1" t="s">
        <v>156</v>
      </c>
      <c r="D132" s="5"/>
      <c r="E132" s="5"/>
      <c r="F132" s="5"/>
      <c r="J132" s="14"/>
    </row>
    <row r="134" spans="2:10" x14ac:dyDescent="0.2">
      <c r="B134" s="1" t="s">
        <v>245</v>
      </c>
    </row>
    <row r="136" spans="2:10" x14ac:dyDescent="0.2">
      <c r="B136" s="1" t="s">
        <v>256</v>
      </c>
    </row>
    <row r="137" spans="2:10" x14ac:dyDescent="0.2">
      <c r="B137" s="1" t="s">
        <v>257</v>
      </c>
      <c r="D137" s="1">
        <v>0.8</v>
      </c>
      <c r="E137" s="5">
        <f>+D118</f>
        <v>1100</v>
      </c>
      <c r="F137" s="1">
        <f>+D137*E137</f>
        <v>880</v>
      </c>
    </row>
    <row r="138" spans="2:10" x14ac:dyDescent="0.2">
      <c r="B138" s="1" t="s">
        <v>258</v>
      </c>
      <c r="D138" s="1">
        <v>0.2</v>
      </c>
      <c r="E138" s="5">
        <f>+D118</f>
        <v>1100</v>
      </c>
      <c r="F138" s="1">
        <f>+D138*E138</f>
        <v>220</v>
      </c>
    </row>
    <row r="139" spans="2:10" x14ac:dyDescent="0.2">
      <c r="F139" s="1">
        <f>SUM(F137:F138)</f>
        <v>1100</v>
      </c>
    </row>
    <row r="140" spans="2:10" x14ac:dyDescent="0.2">
      <c r="D140" s="5"/>
      <c r="E140" s="5"/>
      <c r="F140" s="5"/>
      <c r="J140" s="14"/>
    </row>
    <row r="141" spans="2:10" x14ac:dyDescent="0.2">
      <c r="B141" s="1" t="s">
        <v>244</v>
      </c>
      <c r="D141" s="5"/>
      <c r="E141" s="5">
        <f>+F137</f>
        <v>880</v>
      </c>
      <c r="F141" s="5"/>
      <c r="J141" s="14"/>
    </row>
    <row r="142" spans="2:10" x14ac:dyDescent="0.2">
      <c r="B142" s="1" t="s">
        <v>125</v>
      </c>
      <c r="D142" s="5"/>
      <c r="E142" s="5">
        <f>+F138</f>
        <v>220</v>
      </c>
      <c r="F142" s="5"/>
      <c r="J142" s="14"/>
    </row>
    <row r="143" spans="2:10" x14ac:dyDescent="0.2">
      <c r="C143" s="1" t="s">
        <v>155</v>
      </c>
      <c r="D143" s="5"/>
      <c r="E143" s="5"/>
      <c r="F143" s="5">
        <f>SUM(F139)</f>
        <v>1100</v>
      </c>
      <c r="J143" s="14"/>
    </row>
    <row r="144" spans="2:10" x14ac:dyDescent="0.2">
      <c r="B144" s="1" t="s">
        <v>259</v>
      </c>
      <c r="D144" s="5"/>
      <c r="E144" s="5"/>
      <c r="F144" s="5"/>
      <c r="J144" s="14"/>
    </row>
    <row r="146" spans="2:6" x14ac:dyDescent="0.2">
      <c r="B146" s="1" t="s">
        <v>246</v>
      </c>
    </row>
    <row r="147" spans="2:6" x14ac:dyDescent="0.2">
      <c r="B147" s="1" t="s">
        <v>247</v>
      </c>
      <c r="C147" s="5">
        <v>1400</v>
      </c>
      <c r="D147" s="5">
        <v>130</v>
      </c>
      <c r="E147" s="5"/>
      <c r="F147" s="5"/>
    </row>
    <row r="148" spans="2:6" x14ac:dyDescent="0.2">
      <c r="B148" s="1" t="s">
        <v>100</v>
      </c>
      <c r="C148" s="5">
        <f>+C147*D148/D147</f>
        <v>1076.9230769230769</v>
      </c>
      <c r="D148" s="5">
        <v>100</v>
      </c>
      <c r="E148" s="5"/>
      <c r="F148" s="5"/>
    </row>
    <row r="149" spans="2:6" x14ac:dyDescent="0.2">
      <c r="B149" s="1" t="s">
        <v>99</v>
      </c>
      <c r="C149" s="5">
        <f>+C147-C148</f>
        <v>323.07692307692309</v>
      </c>
      <c r="D149" s="5"/>
      <c r="E149" s="5"/>
      <c r="F149" s="5"/>
    </row>
    <row r="150" spans="2:6" x14ac:dyDescent="0.2">
      <c r="B150" s="1" t="s">
        <v>248</v>
      </c>
      <c r="C150" s="5">
        <f>0.15*C149</f>
        <v>48.46153846153846</v>
      </c>
      <c r="D150" s="5"/>
      <c r="E150" s="5"/>
      <c r="F150" s="5"/>
    </row>
    <row r="151" spans="2:6" x14ac:dyDescent="0.2">
      <c r="C151" s="5"/>
      <c r="D151" s="5"/>
      <c r="E151" s="5"/>
      <c r="F151" s="5"/>
    </row>
    <row r="152" spans="2:6" x14ac:dyDescent="0.2">
      <c r="B152" s="1" t="s">
        <v>260</v>
      </c>
      <c r="C152" s="5"/>
      <c r="D152" s="5"/>
      <c r="E152" s="5">
        <f>+C147</f>
        <v>1400</v>
      </c>
      <c r="F152" s="5"/>
    </row>
    <row r="153" spans="2:6" x14ac:dyDescent="0.2">
      <c r="C153" s="5" t="s">
        <v>261</v>
      </c>
      <c r="D153" s="5"/>
      <c r="E153" s="5"/>
      <c r="F153" s="5">
        <f>+E152</f>
        <v>1400</v>
      </c>
    </row>
    <row r="154" spans="2:6" x14ac:dyDescent="0.2">
      <c r="B154" s="1" t="s">
        <v>262</v>
      </c>
      <c r="C154" s="5"/>
      <c r="D154" s="5"/>
      <c r="E154" s="5"/>
      <c r="F154" s="5"/>
    </row>
    <row r="155" spans="2:6" x14ac:dyDescent="0.2">
      <c r="C155" s="5"/>
      <c r="D155" s="5"/>
      <c r="E155" s="5"/>
      <c r="F155" s="5"/>
    </row>
    <row r="156" spans="2:6" s="18" customFormat="1" x14ac:dyDescent="0.2">
      <c r="B156" s="18" t="s">
        <v>249</v>
      </c>
      <c r="C156" s="19"/>
      <c r="D156" s="19"/>
      <c r="E156" s="19">
        <f>+C150</f>
        <v>48.46153846153846</v>
      </c>
      <c r="F156" s="19"/>
    </row>
    <row r="157" spans="2:6" s="18" customFormat="1" x14ac:dyDescent="0.2">
      <c r="C157" s="19" t="s">
        <v>130</v>
      </c>
      <c r="D157" s="19"/>
      <c r="E157" s="19"/>
      <c r="F157" s="19">
        <f>+C150</f>
        <v>48.46153846153846</v>
      </c>
    </row>
    <row r="158" spans="2:6" s="18" customFormat="1" x14ac:dyDescent="0.2">
      <c r="B158" s="18" t="s">
        <v>250</v>
      </c>
    </row>
    <row r="160" spans="2:6" x14ac:dyDescent="0.2">
      <c r="B160" s="1" t="s">
        <v>251</v>
      </c>
    </row>
    <row r="163" spans="2:6" x14ac:dyDescent="0.2">
      <c r="B163" s="1" t="s">
        <v>70</v>
      </c>
      <c r="C163" s="3">
        <v>43009</v>
      </c>
      <c r="D163" s="5">
        <v>250</v>
      </c>
    </row>
    <row r="164" spans="2:6" x14ac:dyDescent="0.2">
      <c r="B164" s="1" t="s">
        <v>164</v>
      </c>
      <c r="D164" s="5">
        <v>430</v>
      </c>
    </row>
    <row r="165" spans="2:6" x14ac:dyDescent="0.2">
      <c r="B165" s="3">
        <v>41913</v>
      </c>
      <c r="C165" s="1">
        <f>YEARFRAC(B165,C163)</f>
        <v>3</v>
      </c>
      <c r="D165" s="5">
        <f>+D164*C165/7</f>
        <v>184.28571428571428</v>
      </c>
    </row>
    <row r="166" spans="2:6" x14ac:dyDescent="0.2">
      <c r="B166" s="1" t="s">
        <v>252</v>
      </c>
      <c r="D166" s="5">
        <f>+D164-D165</f>
        <v>245.71428571428572</v>
      </c>
    </row>
    <row r="167" spans="2:6" x14ac:dyDescent="0.2">
      <c r="B167" s="1" t="s">
        <v>253</v>
      </c>
      <c r="D167" s="5">
        <f>+D163-D166</f>
        <v>4.2857142857142776</v>
      </c>
    </row>
    <row r="168" spans="2:6" x14ac:dyDescent="0.2">
      <c r="B168" s="1" t="s">
        <v>263</v>
      </c>
      <c r="C168" s="1">
        <v>0.2</v>
      </c>
      <c r="D168" s="5">
        <f>+C168*D167</f>
        <v>0.85714285714285554</v>
      </c>
    </row>
    <row r="169" spans="2:6" x14ac:dyDescent="0.2">
      <c r="D169" s="5"/>
    </row>
    <row r="170" spans="2:6" x14ac:dyDescent="0.2">
      <c r="B170" s="1" t="s">
        <v>264</v>
      </c>
      <c r="D170" s="5"/>
      <c r="E170" s="5">
        <f>+F172-E171</f>
        <v>180</v>
      </c>
    </row>
    <row r="171" spans="2:6" x14ac:dyDescent="0.2">
      <c r="B171" s="1" t="s">
        <v>265</v>
      </c>
      <c r="D171" s="5"/>
      <c r="E171" s="5">
        <f>+D167</f>
        <v>4.2857142857142776</v>
      </c>
    </row>
    <row r="172" spans="2:6" x14ac:dyDescent="0.2">
      <c r="C172" s="1" t="s">
        <v>266</v>
      </c>
      <c r="D172" s="5"/>
      <c r="E172" s="5"/>
      <c r="F172" s="5">
        <f>+D165</f>
        <v>184.28571428571428</v>
      </c>
    </row>
    <row r="173" spans="2:6" x14ac:dyDescent="0.2">
      <c r="B173" s="1" t="s">
        <v>267</v>
      </c>
      <c r="D173" s="5"/>
      <c r="E173" s="5"/>
    </row>
    <row r="176" spans="2:6" x14ac:dyDescent="0.2">
      <c r="B176" s="1" t="s">
        <v>125</v>
      </c>
      <c r="E176" s="5">
        <f>+D168</f>
        <v>0.85714285714285554</v>
      </c>
    </row>
    <row r="177" spans="2:6" x14ac:dyDescent="0.2">
      <c r="C177" s="1" t="s">
        <v>268</v>
      </c>
      <c r="F177" s="5">
        <f>+E176</f>
        <v>0.85714285714285554</v>
      </c>
    </row>
    <row r="178" spans="2:6" x14ac:dyDescent="0.2">
      <c r="B178" s="1" t="s">
        <v>269</v>
      </c>
    </row>
    <row r="181" spans="2:6" x14ac:dyDescent="0.2">
      <c r="B181" s="1" t="s">
        <v>270</v>
      </c>
    </row>
    <row r="182" spans="2:6" x14ac:dyDescent="0.2">
      <c r="B182" s="1" t="s">
        <v>271</v>
      </c>
      <c r="D182" s="1">
        <f>+D166/2</f>
        <v>122.85714285714286</v>
      </c>
    </row>
    <row r="183" spans="2:6" x14ac:dyDescent="0.2">
      <c r="B183" s="1" t="s">
        <v>272</v>
      </c>
      <c r="D183" s="1">
        <f>+D163/2</f>
        <v>125</v>
      </c>
    </row>
    <row r="184" spans="2:6" x14ac:dyDescent="0.2">
      <c r="B184" s="1" t="s">
        <v>273</v>
      </c>
      <c r="D184" s="1">
        <f>+D182-D183</f>
        <v>-2.1428571428571388</v>
      </c>
    </row>
    <row r="186" spans="2:6" x14ac:dyDescent="0.2">
      <c r="B186" s="1" t="s">
        <v>274</v>
      </c>
      <c r="E186" s="5">
        <f>-D184</f>
        <v>2.1428571428571388</v>
      </c>
      <c r="F186" s="5"/>
    </row>
    <row r="187" spans="2:6" x14ac:dyDescent="0.2">
      <c r="C187" s="1" t="s">
        <v>275</v>
      </c>
      <c r="E187" s="5"/>
      <c r="F187" s="5">
        <f>+E186</f>
        <v>2.1428571428571388</v>
      </c>
    </row>
    <row r="188" spans="2:6" x14ac:dyDescent="0.2">
      <c r="B188" s="1" t="s">
        <v>276</v>
      </c>
    </row>
  </sheetData>
  <hyperlinks>
    <hyperlink ref="A1" location="Main!A1" display="Main" xr:uid="{E5D9F039-99E5-4377-A088-612A73F87D4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Module 29</vt:lpstr>
      <vt:lpstr>WSE29.1</vt:lpstr>
      <vt:lpstr>WSE29.2</vt:lpstr>
      <vt:lpstr>WSE29.3</vt:lpstr>
      <vt:lpstr>WSE29.4</vt:lpstr>
      <vt:lpstr>WSE29.5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2023-05-16T08:07:43Z</dcterms:created>
  <dcterms:modified xsi:type="dcterms:W3CDTF">2023-05-31T22:05:42Z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2023-05-16T08:07:50Z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b20d38e4-ad04-405d-9068-aa024a0d51ea</vt:lpwstr>
  </property>
  <property fmtid="{D5CDD505-2E9C-101B-9397-08002B2CF9AE}" pid="8" name="MSIP_Label_ea60d57e-af5b-4752-ac57-3e4f28ca11dc_ContentBits">
    <vt:lpwstr>0</vt:lpwstr>
  </property>
</Properties>
</file>