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540" documentId="8_{ADAE80F9-41ED-46E0-9EEC-55A7D415E2E9}" xr6:coauthVersionLast="47" xr6:coauthVersionMax="47" xr10:uidLastSave="{7D2CCB5E-7CF2-4A78-8E87-3B349392A4B3}"/>
  <bookViews>
    <workbookView xWindow="6525" yWindow="9375" windowWidth="12420" windowHeight="11385" activeTab="1" xr2:uid="{5C661730-621A-450C-9DEC-FB0AEE8FBC4D}"/>
  </bookViews>
  <sheets>
    <sheet name="Main" sheetId="1" r:id="rId1"/>
    <sheet name="Module 35" sheetId="2" r:id="rId2"/>
    <sheet name="WSE35.1" sheetId="3" r:id="rId3"/>
    <sheet name="WSE35.2" sheetId="4" r:id="rId4"/>
    <sheet name="WSE35.3" sheetId="5" r:id="rId5"/>
    <sheet name="WSE35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7" i="6" l="1"/>
  <c r="F347" i="6"/>
  <c r="E347" i="6"/>
  <c r="D347" i="6"/>
  <c r="C347" i="6"/>
  <c r="H347" i="6"/>
  <c r="H345" i="6"/>
  <c r="G345" i="6"/>
  <c r="F345" i="6"/>
  <c r="G346" i="6"/>
  <c r="F346" i="6"/>
  <c r="C342" i="6"/>
  <c r="F342" i="6"/>
  <c r="E342" i="6"/>
  <c r="E333" i="6"/>
  <c r="D304" i="6"/>
  <c r="C304" i="6"/>
  <c r="B311" i="6"/>
  <c r="D267" i="6"/>
  <c r="E269" i="6" s="1"/>
  <c r="F270" i="6" s="1"/>
  <c r="E331" i="6" s="1"/>
  <c r="D261" i="6"/>
  <c r="E263" i="6" s="1"/>
  <c r="F264" i="6" s="1"/>
  <c r="E178" i="6"/>
  <c r="D164" i="6"/>
  <c r="C160" i="6"/>
  <c r="C162" i="6" s="1"/>
  <c r="D119" i="6"/>
  <c r="F66" i="6"/>
  <c r="F65" i="6"/>
  <c r="C89" i="6"/>
  <c r="C77" i="6"/>
  <c r="E63" i="6" s="1"/>
  <c r="E31" i="6"/>
  <c r="E30" i="6"/>
  <c r="E27" i="6"/>
  <c r="D27" i="6"/>
  <c r="F26" i="6"/>
  <c r="E24" i="6"/>
  <c r="D24" i="6"/>
  <c r="H340" i="6"/>
  <c r="H339" i="6"/>
  <c r="B307" i="6"/>
  <c r="B313" i="6"/>
  <c r="B310" i="6"/>
  <c r="B308" i="6"/>
  <c r="B309" i="6"/>
  <c r="B312" i="6"/>
  <c r="E306" i="6"/>
  <c r="C281" i="6"/>
  <c r="D249" i="6"/>
  <c r="C249" i="6"/>
  <c r="C282" i="6" s="1"/>
  <c r="E243" i="6"/>
  <c r="E245" i="6" s="1"/>
  <c r="D230" i="6"/>
  <c r="D229" i="6"/>
  <c r="D215" i="6"/>
  <c r="F222" i="6" s="1"/>
  <c r="E312" i="6" s="1"/>
  <c r="C190" i="6"/>
  <c r="F197" i="6"/>
  <c r="E192" i="6"/>
  <c r="F193" i="6" s="1"/>
  <c r="C186" i="6"/>
  <c r="D175" i="6"/>
  <c r="E175" i="6" s="1"/>
  <c r="D174" i="6"/>
  <c r="E174" i="6" s="1"/>
  <c r="C170" i="6"/>
  <c r="C172" i="6" s="1"/>
  <c r="D165" i="6"/>
  <c r="F147" i="6"/>
  <c r="E146" i="6" s="1"/>
  <c r="E140" i="6"/>
  <c r="F31" i="6"/>
  <c r="F175" i="6"/>
  <c r="F174" i="6"/>
  <c r="F201" i="6" l="1"/>
  <c r="E200" i="6" s="1"/>
  <c r="E311" i="6" s="1"/>
  <c r="E32" i="6"/>
  <c r="E35" i="6" s="1"/>
  <c r="F41" i="6"/>
  <c r="F24" i="6"/>
  <c r="F27" i="6" s="1"/>
  <c r="H342" i="6"/>
  <c r="H346" i="6"/>
  <c r="E328" i="6"/>
  <c r="F344" i="6"/>
  <c r="H344" i="6" s="1"/>
  <c r="E310" i="6"/>
  <c r="E309" i="6"/>
  <c r="C284" i="6"/>
  <c r="C285" i="6" s="1"/>
  <c r="C286" i="6" s="1"/>
  <c r="C288" i="6" s="1"/>
  <c r="E249" i="6"/>
  <c r="C341" i="6" s="1"/>
  <c r="D231" i="6"/>
  <c r="E233" i="6" s="1"/>
  <c r="E248" i="6"/>
  <c r="E221" i="6"/>
  <c r="F179" i="6"/>
  <c r="E321" i="6" s="1"/>
  <c r="E137" i="6"/>
  <c r="D138" i="6"/>
  <c r="E136" i="6"/>
  <c r="D136" i="6" s="1"/>
  <c r="C58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89" i="6"/>
  <c r="B90" i="6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C73" i="6"/>
  <c r="E40" i="6" l="1"/>
  <c r="F42" i="6" s="1"/>
  <c r="E320" i="6"/>
  <c r="E322" i="6" s="1"/>
  <c r="E332" i="6"/>
  <c r="C343" i="6"/>
  <c r="D341" i="6"/>
  <c r="E250" i="6"/>
  <c r="E251" i="6" s="1"/>
  <c r="E330" i="6"/>
  <c r="F234" i="6"/>
  <c r="E313" i="6"/>
  <c r="F291" i="6"/>
  <c r="D343" i="6" s="1"/>
  <c r="E290" i="6"/>
  <c r="F254" i="6"/>
  <c r="E253" i="6"/>
  <c r="E138" i="6"/>
  <c r="E139" i="6" s="1"/>
  <c r="E141" i="6"/>
  <c r="E142" i="6" s="1"/>
  <c r="D115" i="6"/>
  <c r="E89" i="6"/>
  <c r="D117" i="6" l="1"/>
  <c r="D118" i="6" s="1"/>
  <c r="D120" i="6" s="1"/>
  <c r="E122" i="6" s="1"/>
  <c r="F89" i="6"/>
  <c r="C90" i="6" s="1"/>
  <c r="E90" i="6" s="1"/>
  <c r="F90" i="6" s="1"/>
  <c r="C91" i="6" s="1"/>
  <c r="E91" i="6" s="1"/>
  <c r="F91" i="6" s="1"/>
  <c r="C92" i="6" s="1"/>
  <c r="E92" i="6" s="1"/>
  <c r="F92" i="6" s="1"/>
  <c r="C93" i="6" s="1"/>
  <c r="H341" i="6"/>
  <c r="H343" i="6"/>
  <c r="F123" i="6" l="1"/>
  <c r="E308" i="6"/>
  <c r="C110" i="6"/>
  <c r="C111" i="6"/>
  <c r="E307" i="6" s="1"/>
  <c r="E314" i="6" s="1"/>
  <c r="E318" i="6" s="1"/>
  <c r="E323" i="6" s="1"/>
  <c r="E81" i="6"/>
  <c r="E82" i="6" s="1"/>
  <c r="F36" i="6"/>
  <c r="E93" i="6"/>
  <c r="F93" i="6" s="1"/>
  <c r="C94" i="6" s="1"/>
  <c r="F84" i="6" l="1"/>
  <c r="E85" i="6"/>
  <c r="E94" i="6"/>
  <c r="F94" i="6" s="1"/>
  <c r="C95" i="6" s="1"/>
  <c r="E95" i="6" l="1"/>
  <c r="F95" i="6" s="1"/>
  <c r="C96" i="6" s="1"/>
  <c r="E96" i="6" l="1"/>
  <c r="F96" i="6" s="1"/>
  <c r="C97" i="6" s="1"/>
  <c r="E97" i="6" l="1"/>
  <c r="F97" i="6" s="1"/>
  <c r="C98" i="6" s="1"/>
  <c r="E98" i="6" l="1"/>
  <c r="F98" i="6" s="1"/>
  <c r="C99" i="6" s="1"/>
  <c r="E99" i="6" l="1"/>
  <c r="F99" i="6" s="1"/>
  <c r="C100" i="6" s="1"/>
  <c r="E100" i="6" l="1"/>
  <c r="F100" i="6" s="1"/>
  <c r="C101" i="6" s="1"/>
  <c r="E101" i="6" l="1"/>
  <c r="F101" i="6" s="1"/>
  <c r="C102" i="6" s="1"/>
  <c r="E102" i="6" l="1"/>
  <c r="F102" i="6" s="1"/>
  <c r="C103" i="6" s="1"/>
  <c r="E103" i="6" l="1"/>
  <c r="F103" i="6" s="1"/>
  <c r="C104" i="6" s="1"/>
  <c r="E104" i="6" l="1"/>
  <c r="F104" i="6" s="1"/>
  <c r="C105" i="6" s="1"/>
  <c r="E105" i="6" l="1"/>
  <c r="F105" i="6" s="1"/>
  <c r="C106" i="6" s="1"/>
  <c r="E106" i="6" l="1"/>
  <c r="F106" i="6" s="1"/>
  <c r="C107" i="6" s="1"/>
  <c r="E107" i="6" l="1"/>
  <c r="F107" i="6" s="1"/>
  <c r="C108" i="6" s="1"/>
  <c r="E108" i="6" l="1"/>
  <c r="F108" i="6" s="1"/>
  <c r="D25" i="6" l="1"/>
  <c r="E329" i="6" s="1"/>
  <c r="H61" i="5"/>
  <c r="H60" i="5"/>
  <c r="H59" i="5"/>
  <c r="H54" i="5"/>
  <c r="H53" i="5"/>
  <c r="H52" i="5"/>
  <c r="H47" i="5"/>
  <c r="H32" i="5"/>
  <c r="H44" i="5"/>
  <c r="H43" i="5"/>
  <c r="H42" i="5"/>
  <c r="H30" i="5"/>
  <c r="H29" i="5"/>
  <c r="H28" i="5"/>
  <c r="C33" i="5"/>
  <c r="D30" i="5"/>
  <c r="D33" i="5" s="1"/>
  <c r="E30" i="5"/>
  <c r="E33" i="5" s="1"/>
  <c r="F30" i="5"/>
  <c r="F33" i="5" s="1"/>
  <c r="G30" i="5"/>
  <c r="G33" i="5" s="1"/>
  <c r="H38" i="5"/>
  <c r="C30" i="5"/>
  <c r="D32" i="5"/>
  <c r="E32" i="5"/>
  <c r="C32" i="5"/>
  <c r="H37" i="5"/>
  <c r="H36" i="5"/>
  <c r="G39" i="4"/>
  <c r="G38" i="4"/>
  <c r="G30" i="4"/>
  <c r="D23" i="4"/>
  <c r="C14" i="4"/>
  <c r="C16" i="4" s="1"/>
  <c r="D11" i="4"/>
  <c r="D22" i="4" s="1"/>
  <c r="E11" i="4"/>
  <c r="F11" i="4"/>
  <c r="C11" i="4"/>
  <c r="G8" i="4"/>
  <c r="G9" i="4"/>
  <c r="G13" i="4"/>
  <c r="G29" i="4" s="1"/>
  <c r="G15" i="4"/>
  <c r="G10" i="4"/>
  <c r="G7" i="4"/>
  <c r="G67" i="3"/>
  <c r="G41" i="3"/>
  <c r="G58" i="3" s="1"/>
  <c r="G38" i="3"/>
  <c r="D40" i="3"/>
  <c r="D51" i="3" s="1"/>
  <c r="D53" i="3" s="1"/>
  <c r="G66" i="3" s="1"/>
  <c r="G68" i="3" s="1"/>
  <c r="E40" i="3"/>
  <c r="E42" i="3" s="1"/>
  <c r="E44" i="3" s="1"/>
  <c r="F40" i="3"/>
  <c r="F42" i="3" s="1"/>
  <c r="C40" i="3"/>
  <c r="C42" i="3" s="1"/>
  <c r="G37" i="3"/>
  <c r="G43" i="3"/>
  <c r="G59" i="3" s="1"/>
  <c r="G36" i="3"/>
  <c r="G39" i="3"/>
  <c r="H33" i="5" l="1"/>
  <c r="G40" i="4"/>
  <c r="F14" i="4"/>
  <c r="F16" i="4" s="1"/>
  <c r="E14" i="4"/>
  <c r="E16" i="4" s="1"/>
  <c r="D14" i="4"/>
  <c r="D16" i="4" s="1"/>
  <c r="D24" i="4"/>
  <c r="G11" i="4"/>
  <c r="G28" i="4" s="1"/>
  <c r="G31" i="4" s="1"/>
  <c r="D42" i="3"/>
  <c r="D44" i="3" s="1"/>
  <c r="F44" i="3"/>
  <c r="C44" i="3"/>
  <c r="G40" i="3"/>
  <c r="G57" i="3" s="1"/>
  <c r="G60" i="3" s="1"/>
  <c r="D193" i="2"/>
  <c r="E193" i="2" s="1"/>
  <c r="B194" i="2"/>
  <c r="B193" i="2"/>
  <c r="F185" i="2"/>
  <c r="D194" i="2" s="1"/>
  <c r="F184" i="2"/>
  <c r="C178" i="2"/>
  <c r="C176" i="2"/>
  <c r="F91" i="2"/>
  <c r="F90" i="2"/>
  <c r="D92" i="2"/>
  <c r="D93" i="2" s="1"/>
  <c r="F93" i="2" s="1"/>
  <c r="F102" i="2" s="1"/>
  <c r="E92" i="2"/>
  <c r="E94" i="2" s="1"/>
  <c r="C92" i="2"/>
  <c r="C94" i="2" s="1"/>
  <c r="E95" i="2"/>
  <c r="D95" i="2"/>
  <c r="F110" i="2" s="1"/>
  <c r="C95" i="2"/>
  <c r="G73" i="2" a="1"/>
  <c r="G73" i="2" s="1"/>
  <c r="G68" i="2"/>
  <c r="C83" i="2" s="1"/>
  <c r="G64" i="2"/>
  <c r="F64" i="2"/>
  <c r="E64" i="2"/>
  <c r="G63" i="2"/>
  <c r="F63" i="2"/>
  <c r="E63" i="2"/>
  <c r="G62" i="2"/>
  <c r="F62" i="2"/>
  <c r="E62" i="2"/>
  <c r="G52" i="2"/>
  <c r="G47" i="2"/>
  <c r="F186" i="2" l="1"/>
  <c r="F187" i="2" s="1"/>
  <c r="F188" i="2" s="1"/>
  <c r="E194" i="2"/>
  <c r="F194" i="2" s="1"/>
  <c r="E96" i="2"/>
  <c r="D195" i="2"/>
  <c r="F193" i="2"/>
  <c r="G14" i="4"/>
  <c r="G16" i="4" s="1"/>
  <c r="G44" i="3"/>
  <c r="G42" i="3"/>
  <c r="C96" i="2"/>
  <c r="F92" i="2"/>
  <c r="F101" i="2" s="1"/>
  <c r="D94" i="2"/>
  <c r="F95" i="2"/>
  <c r="F103" i="2" s="1"/>
  <c r="F65" i="2"/>
  <c r="G71" i="2" s="1"/>
  <c r="E65" i="2"/>
  <c r="G69" i="2" s="1"/>
  <c r="G70" i="2" s="1"/>
  <c r="G65" i="2"/>
  <c r="G72" i="2" s="1"/>
  <c r="G55" i="2"/>
  <c r="G57" i="2" s="1"/>
  <c r="G76" i="2" s="1" a="1"/>
  <c r="G76" i="2" s="1"/>
  <c r="F195" i="2" l="1"/>
  <c r="E195" i="2"/>
  <c r="F109" i="2"/>
  <c r="F111" i="2" s="1"/>
  <c r="D96" i="2"/>
  <c r="F104" i="2"/>
  <c r="F96" i="2"/>
  <c r="F94" i="2"/>
  <c r="G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<sst xmlns="http://schemas.openxmlformats.org/spreadsheetml/2006/main" count="441" uniqueCount="326">
  <si>
    <t>Main</t>
  </si>
  <si>
    <t>Module 35</t>
  </si>
  <si>
    <t>Activity 1</t>
  </si>
  <si>
    <t>YE</t>
  </si>
  <si>
    <t>SPL</t>
  </si>
  <si>
    <t>PBT</t>
  </si>
  <si>
    <t>PAT</t>
  </si>
  <si>
    <t>tax</t>
  </si>
  <si>
    <t>Finance income</t>
  </si>
  <si>
    <t>Finance cost</t>
  </si>
  <si>
    <t>admin</t>
  </si>
  <si>
    <t>dist</t>
  </si>
  <si>
    <t>depre</t>
  </si>
  <si>
    <t>wages</t>
  </si>
  <si>
    <t>GP</t>
  </si>
  <si>
    <t>COGS</t>
  </si>
  <si>
    <t>Revenue</t>
  </si>
  <si>
    <t>Directors'</t>
  </si>
  <si>
    <t>A</t>
  </si>
  <si>
    <t>B</t>
  </si>
  <si>
    <t>C</t>
  </si>
  <si>
    <t>salary</t>
  </si>
  <si>
    <t>LTIP bonus</t>
  </si>
  <si>
    <t>DB pension</t>
  </si>
  <si>
    <t>BIK</t>
  </si>
  <si>
    <t>R1</t>
  </si>
  <si>
    <t>Cost of sales</t>
  </si>
  <si>
    <t>Distributino cost</t>
  </si>
  <si>
    <t>admin expenses</t>
  </si>
  <si>
    <t>Depr</t>
  </si>
  <si>
    <t>70:20:10</t>
  </si>
  <si>
    <t>80:15:9</t>
  </si>
  <si>
    <t>Wages and salaries</t>
  </si>
  <si>
    <t>Tax</t>
  </si>
  <si>
    <t>Admin exp</t>
  </si>
  <si>
    <t>distribution cost</t>
  </si>
  <si>
    <t>£'000</t>
  </si>
  <si>
    <t>R2</t>
  </si>
  <si>
    <t>Determine the size of the company</t>
  </si>
  <si>
    <t>Turnover</t>
  </si>
  <si>
    <t>Medium</t>
  </si>
  <si>
    <t xml:space="preserve">EE </t>
  </si>
  <si>
    <t>&lt;36m</t>
  </si>
  <si>
    <t>&lt;250</t>
  </si>
  <si>
    <t>remuneration</t>
  </si>
  <si>
    <t>Emoluments</t>
  </si>
  <si>
    <t>Directors' remuneration</t>
  </si>
  <si>
    <t>As the emoluments total £252k &gt; £200k, the highest paid director must also be disclosed</t>
  </si>
  <si>
    <t>Remuneration</t>
  </si>
  <si>
    <t>LTIP</t>
  </si>
  <si>
    <t>Pension cost</t>
  </si>
  <si>
    <t>Aggregate Directors' remuneration</t>
  </si>
  <si>
    <t>All three directors are members of the defined benfit contribution pension scheme</t>
  </si>
  <si>
    <t>The remuneration of the highest paid director included:</t>
  </si>
  <si>
    <t>emoluments</t>
  </si>
  <si>
    <t>pension cost</t>
  </si>
  <si>
    <t>Remuneration of highest paid Director</t>
  </si>
  <si>
    <t xml:space="preserve">Tippee </t>
  </si>
  <si>
    <t>DTL</t>
  </si>
  <si>
    <t>FV investment increase</t>
  </si>
  <si>
    <t>FV Property increase</t>
  </si>
  <si>
    <t>tax on disposal</t>
  </si>
  <si>
    <t>Gains on financial asset</t>
  </si>
  <si>
    <t>gains on property revaluation</t>
  </si>
  <si>
    <t>Taxation relating to item that will no be reclassified</t>
  </si>
  <si>
    <t>OCI for the year, net of tax</t>
  </si>
  <si>
    <t>Total comprehensive income for the year</t>
  </si>
  <si>
    <t>SOCI</t>
  </si>
  <si>
    <t>Tax effects of individual items in other comprehensive income</t>
  </si>
  <si>
    <t>Gross</t>
  </si>
  <si>
    <t>Tax (expense)/credit</t>
  </si>
  <si>
    <t>Net</t>
  </si>
  <si>
    <t>WSE35.1</t>
  </si>
  <si>
    <t>WSE35.2</t>
  </si>
  <si>
    <t>WSE35.3</t>
  </si>
  <si>
    <t>WSE35.4</t>
  </si>
  <si>
    <t>Boxed Ltd</t>
  </si>
  <si>
    <t>Fees</t>
  </si>
  <si>
    <t>Salary</t>
  </si>
  <si>
    <t>Pension con</t>
  </si>
  <si>
    <t>Bonus</t>
  </si>
  <si>
    <t>Total</t>
  </si>
  <si>
    <t>Jerry</t>
  </si>
  <si>
    <t>Ali</t>
  </si>
  <si>
    <t>Lesley</t>
  </si>
  <si>
    <t>Kelly</t>
  </si>
  <si>
    <t>Fees from sub.</t>
  </si>
  <si>
    <t>As the emoluments total &gt; 200, the highests paid director must be disclosed</t>
  </si>
  <si>
    <t>Three Directors are members of the DB pension scheme</t>
  </si>
  <si>
    <t>Thre remuneration of the highest paid director included:</t>
  </si>
  <si>
    <t>Aggregate Director's remuneration</t>
  </si>
  <si>
    <t>Compensation for loss of office of a director amounted to £29,000 which consisted of compensation and a car</t>
  </si>
  <si>
    <t>19th Hole Entertainment Ltd</t>
  </si>
  <si>
    <t>Pension</t>
  </si>
  <si>
    <t>Morgan</t>
  </si>
  <si>
    <t>Jordan</t>
  </si>
  <si>
    <t>Sandy</t>
  </si>
  <si>
    <t>Ashley</t>
  </si>
  <si>
    <t>Fees from sub</t>
  </si>
  <si>
    <t>DB</t>
  </si>
  <si>
    <t>DC</t>
  </si>
  <si>
    <t>Agg. DR</t>
  </si>
  <si>
    <t>Pension cost - DC only</t>
  </si>
  <si>
    <t>Two directors are members of the defined benefit pension scheme.</t>
  </si>
  <si>
    <t>Two directors are members of the defined contribution pension scheme.</t>
  </si>
  <si>
    <t>Compensation for loss of office of a director amounted to £7,000 which consisted of a car</t>
  </si>
  <si>
    <t>Swan Songs Music</t>
  </si>
  <si>
    <t>Large Co</t>
  </si>
  <si>
    <t>Smith</t>
  </si>
  <si>
    <t>Li</t>
  </si>
  <si>
    <t>Kumar</t>
  </si>
  <si>
    <t>Eddo</t>
  </si>
  <si>
    <t>McGuigan</t>
  </si>
  <si>
    <t>Basic Salary</t>
  </si>
  <si>
    <t>Highest paid director's emoluments</t>
  </si>
  <si>
    <t>Pension costs</t>
  </si>
  <si>
    <t>Disclosure notes</t>
  </si>
  <si>
    <t>Directors' remuneration comprises</t>
  </si>
  <si>
    <t>Remuneratoion</t>
  </si>
  <si>
    <t>Aggregate Directors' remuneratoin</t>
  </si>
  <si>
    <t>Three directors are members of the dfeined contribution pension scheme</t>
  </si>
  <si>
    <t>Thre remuneration of higher paid director included:</t>
  </si>
  <si>
    <t>Aggregate director's remuneration</t>
  </si>
  <si>
    <t>Do not need details of highest paid director for small or micro entities.</t>
  </si>
  <si>
    <t>Module 35 - Disclosure: Statement of Profit or Loss and Other Comprehensive Income</t>
  </si>
  <si>
    <t>Coppelia</t>
  </si>
  <si>
    <t>Land and buildings</t>
  </si>
  <si>
    <t xml:space="preserve">plant nad machinery </t>
  </si>
  <si>
    <t>vehivles, fittings and equipment</t>
  </si>
  <si>
    <t>reval model</t>
  </si>
  <si>
    <t>cost model</t>
  </si>
  <si>
    <t>SL</t>
  </si>
  <si>
    <t>nil residual value</t>
  </si>
  <si>
    <t>Theatre</t>
  </si>
  <si>
    <t>Land</t>
  </si>
  <si>
    <t>Valuation</t>
  </si>
  <si>
    <t>Cost</t>
  </si>
  <si>
    <t>RVS</t>
  </si>
  <si>
    <t>Buildings</t>
  </si>
  <si>
    <t>AD</t>
  </si>
  <si>
    <t>annual depr charge</t>
  </si>
  <si>
    <t>FV</t>
  </si>
  <si>
    <t>increase.(decrease on reval)</t>
  </si>
  <si>
    <t>cr - RVS</t>
  </si>
  <si>
    <t>dr - revaluation reserve</t>
  </si>
  <si>
    <t>new depr charge</t>
  </si>
  <si>
    <t>dr - RVS</t>
  </si>
  <si>
    <t>Plant and Machinery</t>
  </si>
  <si>
    <t>Additions</t>
  </si>
  <si>
    <t>Depr charge</t>
  </si>
  <si>
    <t>New lease contract</t>
  </si>
  <si>
    <t>commence</t>
  </si>
  <si>
    <t>PV</t>
  </si>
  <si>
    <t>old rig FV</t>
  </si>
  <si>
    <t>payment</t>
  </si>
  <si>
    <t>per quarter</t>
  </si>
  <si>
    <t>term</t>
  </si>
  <si>
    <t>quarters</t>
  </si>
  <si>
    <t>ER</t>
  </si>
  <si>
    <t>arrears</t>
  </si>
  <si>
    <t>Opening lease payable</t>
  </si>
  <si>
    <t>finance cost</t>
  </si>
  <si>
    <t>Closing lease payable</t>
  </si>
  <si>
    <t>consider first the disposal of the old rig</t>
  </si>
  <si>
    <t>cost</t>
  </si>
  <si>
    <t>end of useful life</t>
  </si>
  <si>
    <t>so it is full depreciated</t>
  </si>
  <si>
    <t>meaning we made a gain on sale of 20k</t>
  </si>
  <si>
    <t>cr - finance cost</t>
  </si>
  <si>
    <t>dr - lease liability</t>
  </si>
  <si>
    <t>dr - ROUA</t>
  </si>
  <si>
    <t>ROUA</t>
  </si>
  <si>
    <t>ROUA depreciation charge</t>
  </si>
  <si>
    <t>useful life</t>
  </si>
  <si>
    <t>months</t>
  </si>
  <si>
    <t>deprecation charge</t>
  </si>
  <si>
    <t>Vehicles, fittings and equipment</t>
  </si>
  <si>
    <t xml:space="preserve">depreciation charge </t>
  </si>
  <si>
    <t>udeful life</t>
  </si>
  <si>
    <t>revised useful lofe life</t>
  </si>
  <si>
    <t>less used</t>
  </si>
  <si>
    <t>remaining useful life</t>
  </si>
  <si>
    <t>NBV</t>
  </si>
  <si>
    <t>cr - SPL depr charge</t>
  </si>
  <si>
    <t>cr - AD</t>
  </si>
  <si>
    <t>being correction to depr charge in the year to reflect the longer useful life and lower depr charge</t>
  </si>
  <si>
    <t>Investments</t>
  </si>
  <si>
    <t>RV surpl/(deficit)</t>
  </si>
  <si>
    <t>Sylhide ltd</t>
  </si>
  <si>
    <t>commision and tax</t>
  </si>
  <si>
    <t>held at FVTOCi</t>
  </si>
  <si>
    <t>intinial measurement</t>
  </si>
  <si>
    <t>&lt;&lt;&lt;ad in the transaction cost</t>
  </si>
  <si>
    <t>cr - bank</t>
  </si>
  <si>
    <t>cr - RV surpl</t>
  </si>
  <si>
    <t>Giselle</t>
  </si>
  <si>
    <t>thousnad shares</t>
  </si>
  <si>
    <t>Giselle plc</t>
  </si>
  <si>
    <t>FVLCTS</t>
  </si>
  <si>
    <t>Nutcracker</t>
  </si>
  <si>
    <t>thousand shares</t>
  </si>
  <si>
    <t>Nutcracker plc</t>
  </si>
  <si>
    <t>held as a short term investment so should be held as FVTPL</t>
  </si>
  <si>
    <t>trans and tax</t>
  </si>
  <si>
    <t>dr - SPL transactoin costs</t>
  </si>
  <si>
    <t>cr - investements</t>
  </si>
  <si>
    <t>being correction to initial recogniton</t>
  </si>
  <si>
    <t>dr - SPL cost to sell</t>
  </si>
  <si>
    <t>beign cost to sell put through the SPL as asset held as FVTPL</t>
  </si>
  <si>
    <t>cr - investments</t>
  </si>
  <si>
    <t>Dividend incomce</t>
  </si>
  <si>
    <t>£/share</t>
  </si>
  <si>
    <t>Declared</t>
  </si>
  <si>
    <t>Payable</t>
  </si>
  <si>
    <t>declared and paid post YE. Non adjusting event</t>
  </si>
  <si>
    <t xml:space="preserve">adjusting event </t>
  </si>
  <si>
    <t>40*.1</t>
  </si>
  <si>
    <t>we owned the nutcracker shares on the day the dividend was declared</t>
  </si>
  <si>
    <t>a contractual present obligation existed</t>
  </si>
  <si>
    <t xml:space="preserve">we are due income from this </t>
  </si>
  <si>
    <t>as such, we can accrued this income in the FS</t>
  </si>
  <si>
    <t>dr - accrued income</t>
  </si>
  <si>
    <t>cr - SPL dividend income</t>
  </si>
  <si>
    <t>being accrued income on Nutcracker dividend</t>
  </si>
  <si>
    <t>Forward currency contract</t>
  </si>
  <si>
    <t>AUD</t>
  </si>
  <si>
    <t>GBP</t>
  </si>
  <si>
    <t>being recognition of asset at year end due to increase in the value of contract from commencement</t>
  </si>
  <si>
    <t>Appx 3</t>
  </si>
  <si>
    <t>Share capital</t>
  </si>
  <si>
    <t>SC</t>
  </si>
  <si>
    <t>no. shares</t>
  </si>
  <si>
    <t>par</t>
  </si>
  <si>
    <t>SP</t>
  </si>
  <si>
    <t>Bonus issue</t>
  </si>
  <si>
    <t>1 for every 4 held</t>
  </si>
  <si>
    <t>cr - SC</t>
  </si>
  <si>
    <t>dr - SP</t>
  </si>
  <si>
    <t>being bonues issue 1 for 4 held</t>
  </si>
  <si>
    <t>buyback</t>
  </si>
  <si>
    <t>dr - SC</t>
  </si>
  <si>
    <t>cr - RE</t>
  </si>
  <si>
    <t>cr - CRR</t>
  </si>
  <si>
    <t>Rights issue</t>
  </si>
  <si>
    <t>1 for 10 held</t>
  </si>
  <si>
    <t>issue price</t>
  </si>
  <si>
    <t>uptake</t>
  </si>
  <si>
    <t>new shares issues</t>
  </si>
  <si>
    <t>Shares in issue</t>
  </si>
  <si>
    <t>1 for 10</t>
  </si>
  <si>
    <t>new shares issue</t>
  </si>
  <si>
    <t>cr - SP</t>
  </si>
  <si>
    <t>being correction or jouranl entry to record rights isseue</t>
  </si>
  <si>
    <t>Appx 4</t>
  </si>
  <si>
    <t>Dividend paid or payable</t>
  </si>
  <si>
    <t xml:space="preserve">To eligible shareholdes at </t>
  </si>
  <si>
    <t>final FY24</t>
  </si>
  <si>
    <t>interim FY25</t>
  </si>
  <si>
    <t>final FY25</t>
  </si>
  <si>
    <t>Period end</t>
  </si>
  <si>
    <t>RE</t>
  </si>
  <si>
    <t>Unadjusted profit for the year</t>
  </si>
  <si>
    <t>cr</t>
  </si>
  <si>
    <t>dr</t>
  </si>
  <si>
    <t>I had it as a gain, but solution says loss</t>
  </si>
  <si>
    <t>increase in liability</t>
  </si>
  <si>
    <t>cr - derivative liabilty</t>
  </si>
  <si>
    <t>Profit for the year</t>
  </si>
  <si>
    <t>items that will not be reclassified to profit or loss</t>
  </si>
  <si>
    <t>losses on property revaluation</t>
  </si>
  <si>
    <t>gain on financial assets</t>
  </si>
  <si>
    <t>other total comprehensive income for the year</t>
  </si>
  <si>
    <t>total comprehensive income for the year</t>
  </si>
  <si>
    <t>Statement of changes in equity</t>
  </si>
  <si>
    <t>opening share capital</t>
  </si>
  <si>
    <t>CRR</t>
  </si>
  <si>
    <t>total equity</t>
  </si>
  <si>
    <t>Changes in equity for 2025</t>
  </si>
  <si>
    <t>Issue of bonues shares</t>
  </si>
  <si>
    <t>share buyback</t>
  </si>
  <si>
    <t>rights issue</t>
  </si>
  <si>
    <t>dividends</t>
  </si>
  <si>
    <t>total comprehensive income</t>
  </si>
  <si>
    <t>annual transfer</t>
  </si>
  <si>
    <t>At 31/3/2025</t>
  </si>
  <si>
    <t>dr - RE</t>
  </si>
  <si>
    <t>being revaluation decrease on land and buildings</t>
  </si>
  <si>
    <t>cr - land and Buildings cost</t>
  </si>
  <si>
    <t>Annual transfer</t>
  </si>
  <si>
    <t>Depreciation charge on revalued buildings (given)</t>
  </si>
  <si>
    <t xml:space="preserve">Depreciation charge on cost </t>
  </si>
  <si>
    <t>being annual transfer omitted from nominal ledger</t>
  </si>
  <si>
    <t>JE 1 - annual transfer</t>
  </si>
  <si>
    <t>JE 2 - Land</t>
  </si>
  <si>
    <t>cr - Cost plant and machinery</t>
  </si>
  <si>
    <t>dr - AD plant and machinery</t>
  </si>
  <si>
    <t>JE 3.1 - disposal and addition</t>
  </si>
  <si>
    <t>lease liability</t>
  </si>
  <si>
    <t>cr - lease payable</t>
  </si>
  <si>
    <t>being creation of lease payable and correction for dispoal and addition</t>
  </si>
  <si>
    <t>Finance cost recorded in nominal ledger</t>
  </si>
  <si>
    <t>Adjustment to finace cost</t>
  </si>
  <si>
    <t>finance cost for the year ended 31/3/2025</t>
  </si>
  <si>
    <t>being correction to finance costs and reduction in lease payable</t>
  </si>
  <si>
    <t>depreciation charge on old rig</t>
  </si>
  <si>
    <t>Adjustment to depr charge</t>
  </si>
  <si>
    <t>dr - SPL depreciation charge</t>
  </si>
  <si>
    <t>cr - Pland and machinery  - AD</t>
  </si>
  <si>
    <t>being adjustment to depr charge</t>
  </si>
  <si>
    <t>JE 6</t>
  </si>
  <si>
    <t>dr - investment in shares</t>
  </si>
  <si>
    <t>being net fair value gains on investment classified as fair value through other comprehensive income</t>
  </si>
  <si>
    <t>JE 7 - investments classified as fair value throuhgh other comprehensive income</t>
  </si>
  <si>
    <t>JE 8 -  investments classified as fair value throuhg profit and loss</t>
  </si>
  <si>
    <t>dr - fair value loss</t>
  </si>
  <si>
    <t>being fair value loss on investment classified as fair value through profit and loss</t>
  </si>
  <si>
    <t>dr - SPL fair value loss</t>
  </si>
  <si>
    <t>Premium on purchase</t>
  </si>
  <si>
    <t>cr - Share capital</t>
  </si>
  <si>
    <t>being correction to eliminate premium on purchase incorrectly recorded against share capital</t>
  </si>
  <si>
    <t>Reduction in permenant capital</t>
  </si>
  <si>
    <t>being redemption for the reduction in permenant capital</t>
  </si>
  <si>
    <t>opening revaluation surplus</t>
  </si>
  <si>
    <t>bonus issue</t>
  </si>
  <si>
    <t>Dividends</t>
  </si>
  <si>
    <t>Total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</si>
</sst>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"/>
    <numFmt numFmtId="165" formatCode="#,##0;[Red]\(#,##0\)"/>
    <numFmt numFmtId="168" formatCode="&quot;£&quot;#,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quotePrefix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vertical="center"/>
    </xf>
    <xf numFmtId="165" fontId="1" fillId="0" borderId="0" xfId="0" applyNumberFormat="1" applyFont="1"/>
    <xf numFmtId="10" fontId="1" fillId="0" borderId="0" xfId="0" applyNumberFormat="1" applyFont="1"/>
    <xf numFmtId="165" fontId="1" fillId="0" borderId="1" xfId="0" applyNumberFormat="1" applyFont="1" applyBorder="1"/>
    <xf numFmtId="0" fontId="4" fillId="0" borderId="0" xfId="0" applyFont="1"/>
    <xf numFmtId="168" fontId="1" fillId="0" borderId="0" xfId="0" applyNumberFormat="1" applyFont="1"/>
    <xf numFmtId="14" fontId="4" fillId="0" borderId="0" xfId="0" applyNumberFormat="1" applyFont="1"/>
    <xf numFmtId="9" fontId="1" fillId="0" borderId="0" xfId="0" applyNumberFormat="1" applyFont="1"/>
    <xf numFmtId="8" fontId="1" fillId="0" borderId="0" xfId="0" applyNumberFormat="1" applyFont="1"/>
    <xf numFmtId="165" fontId="1" fillId="0" borderId="0" xfId="0" applyNumberFormat="1" applyFont="1" applyFill="1"/>
    <xf numFmtId="0" fontId="1" fillId="0" borderId="0" xfId="0" applyFont="1" applyFill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76200</xdr:rowOff>
    </xdr:from>
    <xdr:to>
      <xdr:col>6</xdr:col>
      <xdr:colOff>569119</xdr:colOff>
      <xdr:row>16</xdr:row>
      <xdr:rowOff>78805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0C8B2-9F97-39EA-6BC5-B447331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419100"/>
          <a:ext cx="3655218" cy="2136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559593</xdr:colOff>
      <xdr:row>37</xdr:row>
      <xdr:rowOff>44223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C42C4-D459-D4C5-7861-601F28C3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684318"/>
          <a:ext cx="3636819" cy="2693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0</xdr:colOff>
      <xdr:row>128</xdr:row>
      <xdr:rowOff>125616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66419-807D-BF80-6773-9EA89640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16606630"/>
          <a:ext cx="3718891" cy="2361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7</xdr:col>
      <xdr:colOff>0</xdr:colOff>
      <xdr:row>167</xdr:row>
      <xdr:rowOff>15315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E5D9A-4A2E-9BD9-C905-B83B0194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9335750"/>
          <a:ext cx="3714750" cy="54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1</xdr:rowOff>
    </xdr:from>
    <xdr:to>
      <xdr:col>7</xdr:col>
      <xdr:colOff>0</xdr:colOff>
      <xdr:row>230</xdr:row>
      <xdr:rowOff>93323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F24E25-A181-4137-F842-D1F3B073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37051"/>
          <a:ext cx="3705225" cy="5122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6</xdr:col>
      <xdr:colOff>591671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87D6E-802B-05FA-7C04-4EE7F9C2D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1"/>
          <a:ext cx="3639671" cy="441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7</xdr:col>
      <xdr:colOff>0</xdr:colOff>
      <xdr:row>18</xdr:row>
      <xdr:rowOff>25941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24805-A46E-304D-D5B7-F3961F178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1"/>
          <a:ext cx="3657600" cy="2159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334272</xdr:colOff>
      <xdr:row>9</xdr:row>
      <xdr:rowOff>9654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C85A2-0F35-1957-5CF5-C94157B9D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5300"/>
          <a:ext cx="6430272" cy="92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1AA-85A8-4944-A0C8-069914290CDE}">
  <dimension ref="B2:C5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1</v>
      </c>
      <c r="C2" s="2" t="s">
        <v>72</v>
      </c>
    </row>
    <row r="3" spans="2:3" x14ac:dyDescent="0.25">
      <c r="C3" s="2" t="s">
        <v>73</v>
      </c>
    </row>
    <row r="4" spans="2:3" x14ac:dyDescent="0.25">
      <c r="C4" s="2" t="s">
        <v>74</v>
      </c>
    </row>
    <row r="5" spans="2:3" x14ac:dyDescent="0.25">
      <c r="C5" s="2" t="s">
        <v>75</v>
      </c>
    </row>
  </sheetData>
  <hyperlinks>
    <hyperlink ref="B2" location="'Module 35'!A1" display="Module 35" xr:uid="{A3F4C10B-4304-40D7-A41E-BE7A2D60A133}"/>
    <hyperlink ref="C2" location="WSE35.1!A1" display="WSE35.1" xr:uid="{F3799CCB-9986-4C87-9C90-CB74F57F10A1}"/>
    <hyperlink ref="C3" location="WSE35.2!A1" display="WSE35.2" xr:uid="{EF25BA25-E63D-482F-B1BC-FEA1530C52C0}"/>
    <hyperlink ref="C4" location="WSE35.3!A1" display="WSE35.3" xr:uid="{6F6CB05A-5F68-49CB-8771-EE3EAA24E686}"/>
    <hyperlink ref="C5" location="WSE35.4!A1" display="WSE35.4" xr:uid="{A8996452-E5CA-465F-88BF-02C8E9A0CCE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39F-653C-4139-9873-C2CFF83848A0}">
  <dimension ref="A1:G196"/>
  <sheetViews>
    <sheetView tabSelected="1" zoomScaleNormal="100" workbookViewId="0">
      <selection activeCell="B3" sqref="B3"/>
    </sheetView>
  </sheetViews>
  <sheetFormatPr defaultRowHeight="12" x14ac:dyDescent="0.2"/>
  <cols>
    <col min="1" max="2" width="9.140625" style="1"/>
    <col min="3" max="3" width="9.85546875" style="1" bestFit="1" customWidth="1"/>
    <col min="4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124</v>
      </c>
    </row>
    <row r="18" spans="2:2" ht="15" x14ac:dyDescent="0.2">
      <c r="B18" s="14" t="s">
        <v>123</v>
      </c>
    </row>
    <row r="40" spans="2:7" x14ac:dyDescent="0.2">
      <c r="B40" s="1" t="s">
        <v>2</v>
      </c>
    </row>
    <row r="41" spans="2:7" x14ac:dyDescent="0.2">
      <c r="B41" s="1" t="s">
        <v>3</v>
      </c>
      <c r="C41" s="3">
        <v>45747</v>
      </c>
    </row>
    <row r="43" spans="2:7" x14ac:dyDescent="0.2">
      <c r="B43" s="1" t="s">
        <v>4</v>
      </c>
    </row>
    <row r="45" spans="2:7" x14ac:dyDescent="0.2">
      <c r="B45" s="1" t="s">
        <v>16</v>
      </c>
      <c r="G45" s="1">
        <v>15675</v>
      </c>
    </row>
    <row r="46" spans="2:7" x14ac:dyDescent="0.2">
      <c r="B46" s="1" t="s">
        <v>15</v>
      </c>
      <c r="G46" s="5">
        <v>-9890</v>
      </c>
    </row>
    <row r="47" spans="2:7" x14ac:dyDescent="0.2">
      <c r="B47" s="1" t="s">
        <v>14</v>
      </c>
      <c r="G47" s="1">
        <f>SUM(G45:G46)</f>
        <v>5785</v>
      </c>
    </row>
    <row r="49" spans="2:7" x14ac:dyDescent="0.2">
      <c r="B49" s="1" t="s">
        <v>13</v>
      </c>
      <c r="F49" s="1">
        <v>-2300</v>
      </c>
    </row>
    <row r="50" spans="2:7" x14ac:dyDescent="0.2">
      <c r="B50" s="1" t="s">
        <v>12</v>
      </c>
      <c r="F50" s="1">
        <v>-410</v>
      </c>
    </row>
    <row r="51" spans="2:7" x14ac:dyDescent="0.2">
      <c r="B51" s="1" t="s">
        <v>11</v>
      </c>
      <c r="F51" s="1">
        <v>-615</v>
      </c>
    </row>
    <row r="52" spans="2:7" x14ac:dyDescent="0.2">
      <c r="B52" s="1" t="s">
        <v>10</v>
      </c>
      <c r="F52" s="5">
        <v>-400</v>
      </c>
      <c r="G52" s="1">
        <f>SUM(F49:F52)</f>
        <v>-3725</v>
      </c>
    </row>
    <row r="53" spans="2:7" x14ac:dyDescent="0.2">
      <c r="B53" s="1" t="s">
        <v>9</v>
      </c>
      <c r="G53" s="1">
        <v>-38</v>
      </c>
    </row>
    <row r="54" spans="2:7" x14ac:dyDescent="0.2">
      <c r="B54" s="1" t="s">
        <v>8</v>
      </c>
      <c r="G54" s="5">
        <v>14</v>
      </c>
    </row>
    <row r="55" spans="2:7" x14ac:dyDescent="0.2">
      <c r="B55" s="1" t="s">
        <v>5</v>
      </c>
      <c r="G55" s="1">
        <f>SUM(G47:G54)</f>
        <v>2036</v>
      </c>
    </row>
    <row r="56" spans="2:7" x14ac:dyDescent="0.2">
      <c r="B56" s="1" t="s">
        <v>7</v>
      </c>
      <c r="G56" s="1">
        <v>-582</v>
      </c>
    </row>
    <row r="57" spans="2:7" ht="12.75" thickBot="1" x14ac:dyDescent="0.25">
      <c r="B57" s="1" t="s">
        <v>6</v>
      </c>
      <c r="G57" s="4">
        <f>SUM(G55:G56)</f>
        <v>1454</v>
      </c>
    </row>
    <row r="58" spans="2:7" ht="12.75" thickTop="1" x14ac:dyDescent="0.2"/>
    <row r="61" spans="2:7" x14ac:dyDescent="0.2">
      <c r="B61" s="1" t="s">
        <v>25</v>
      </c>
      <c r="E61" s="1" t="s">
        <v>26</v>
      </c>
      <c r="F61" s="1" t="s">
        <v>27</v>
      </c>
      <c r="G61" s="1" t="s">
        <v>28</v>
      </c>
    </row>
    <row r="62" spans="2:7" x14ac:dyDescent="0.2">
      <c r="E62" s="6">
        <f>-G46</f>
        <v>9890</v>
      </c>
      <c r="F62" s="6">
        <f>-F51</f>
        <v>615</v>
      </c>
      <c r="G62" s="6">
        <f>-F52</f>
        <v>400</v>
      </c>
    </row>
    <row r="63" spans="2:7" x14ac:dyDescent="0.2">
      <c r="B63" s="1" t="s">
        <v>32</v>
      </c>
      <c r="C63" s="7" t="s">
        <v>31</v>
      </c>
      <c r="E63" s="6">
        <f>(-$F$49*0.8)*0.961538461538462</f>
        <v>1769.2307692307702</v>
      </c>
      <c r="F63" s="6">
        <f>(-$F$49*0.15)*0.961538461538462</f>
        <v>331.7307692307694</v>
      </c>
      <c r="G63" s="6">
        <f>(-$F$49*0.09)*0.961538461538462</f>
        <v>199.03846153846163</v>
      </c>
    </row>
    <row r="64" spans="2:7" x14ac:dyDescent="0.2">
      <c r="B64" s="1" t="s">
        <v>29</v>
      </c>
      <c r="C64" s="7" t="s">
        <v>30</v>
      </c>
      <c r="E64" s="6">
        <f>-$F$50*0.7</f>
        <v>287</v>
      </c>
      <c r="F64" s="6">
        <f>-$F$50*0.2</f>
        <v>82</v>
      </c>
      <c r="G64" s="6">
        <f>-$F$50*0.1</f>
        <v>41</v>
      </c>
    </row>
    <row r="65" spans="2:7" ht="12.75" thickBot="1" x14ac:dyDescent="0.25">
      <c r="E65" s="8">
        <f>SUM(E62:E64)</f>
        <v>11946.23076923077</v>
      </c>
      <c r="F65" s="8">
        <f t="shared" ref="F65:G65" si="0">SUM(F62:F64)</f>
        <v>1028.7307692307695</v>
      </c>
      <c r="G65" s="8">
        <f t="shared" si="0"/>
        <v>640.03846153846166</v>
      </c>
    </row>
    <row r="66" spans="2:7" ht="12.75" thickTop="1" x14ac:dyDescent="0.2"/>
    <row r="67" spans="2:7" x14ac:dyDescent="0.2">
      <c r="B67" s="1" t="s">
        <v>4</v>
      </c>
      <c r="G67" s="10" t="s">
        <v>36</v>
      </c>
    </row>
    <row r="68" spans="2:7" x14ac:dyDescent="0.2">
      <c r="B68" s="1" t="s">
        <v>16</v>
      </c>
      <c r="G68" s="6">
        <f>+G45</f>
        <v>15675</v>
      </c>
    </row>
    <row r="69" spans="2:7" x14ac:dyDescent="0.2">
      <c r="B69" s="1" t="s">
        <v>15</v>
      </c>
      <c r="G69" s="9">
        <f>-E65</f>
        <v>-11946.23076923077</v>
      </c>
    </row>
    <row r="70" spans="2:7" x14ac:dyDescent="0.2">
      <c r="B70" s="1" t="s">
        <v>14</v>
      </c>
      <c r="G70" s="6">
        <f>SUM(G68:G69)</f>
        <v>3728.7692307692305</v>
      </c>
    </row>
    <row r="71" spans="2:7" x14ac:dyDescent="0.2">
      <c r="B71" s="1" t="s">
        <v>35</v>
      </c>
      <c r="G71" s="6">
        <f>-F65</f>
        <v>-1028.7307692307695</v>
      </c>
    </row>
    <row r="72" spans="2:7" x14ac:dyDescent="0.2">
      <c r="B72" s="1" t="s">
        <v>34</v>
      </c>
      <c r="G72" s="6">
        <f>-G65</f>
        <v>-640.03846153846166</v>
      </c>
    </row>
    <row r="73" spans="2:7" x14ac:dyDescent="0.2">
      <c r="B73" s="1" t="s">
        <v>8</v>
      </c>
      <c r="G73" s="9" cm="1">
        <f t="array" ref="G73:G74">+G53:G54</f>
        <v>-38</v>
      </c>
    </row>
    <row r="74" spans="2:7" x14ac:dyDescent="0.2">
      <c r="B74" s="1" t="s">
        <v>9</v>
      </c>
      <c r="G74" s="6">
        <v>14</v>
      </c>
    </row>
    <row r="75" spans="2:7" x14ac:dyDescent="0.2">
      <c r="B75" s="1" t="s">
        <v>5</v>
      </c>
      <c r="G75" s="6">
        <f>SUM(G70:G74)</f>
        <v>2035.9999999999991</v>
      </c>
    </row>
    <row r="76" spans="2:7" x14ac:dyDescent="0.2">
      <c r="B76" s="1" t="s">
        <v>33</v>
      </c>
      <c r="G76" s="6" cm="1">
        <f t="array" ref="G76:G77">-G56:G57</f>
        <v>582</v>
      </c>
    </row>
    <row r="77" spans="2:7" ht="12.75" thickBot="1" x14ac:dyDescent="0.25">
      <c r="B77" s="1" t="s">
        <v>6</v>
      </c>
      <c r="G77" s="8">
        <v>-1454</v>
      </c>
    </row>
    <row r="78" spans="2:7" ht="12.75" thickTop="1" x14ac:dyDescent="0.2"/>
    <row r="81" spans="2:6" x14ac:dyDescent="0.2">
      <c r="B81" s="1" t="s">
        <v>37</v>
      </c>
    </row>
    <row r="82" spans="2:6" x14ac:dyDescent="0.2">
      <c r="B82" s="1" t="s">
        <v>38</v>
      </c>
    </row>
    <row r="83" spans="2:6" x14ac:dyDescent="0.2">
      <c r="B83" s="1" t="s">
        <v>39</v>
      </c>
      <c r="C83" s="11">
        <f>+G68*1000</f>
        <v>15675000</v>
      </c>
      <c r="D83" s="1" t="s">
        <v>42</v>
      </c>
    </row>
    <row r="84" spans="2:6" x14ac:dyDescent="0.2">
      <c r="B84" s="1" t="s">
        <v>40</v>
      </c>
    </row>
    <row r="85" spans="2:6" x14ac:dyDescent="0.2">
      <c r="B85" s="1" t="s">
        <v>41</v>
      </c>
      <c r="C85" s="1">
        <v>114</v>
      </c>
      <c r="D85" s="1" t="s">
        <v>43</v>
      </c>
    </row>
    <row r="89" spans="2:6" x14ac:dyDescent="0.2">
      <c r="B89" s="1" t="s">
        <v>17</v>
      </c>
      <c r="C89" s="1" t="s">
        <v>18</v>
      </c>
      <c r="D89" s="1" t="s">
        <v>19</v>
      </c>
      <c r="E89" s="1" t="s">
        <v>20</v>
      </c>
    </row>
    <row r="90" spans="2:6" x14ac:dyDescent="0.2">
      <c r="B90" s="1" t="s">
        <v>21</v>
      </c>
      <c r="C90" s="6">
        <v>80</v>
      </c>
      <c r="D90" s="6">
        <v>90</v>
      </c>
      <c r="E90" s="6">
        <v>65</v>
      </c>
      <c r="F90" s="6">
        <f t="shared" ref="F90:F96" si="1">SUM(C90:E90)</f>
        <v>235</v>
      </c>
    </row>
    <row r="91" spans="2:6" x14ac:dyDescent="0.2">
      <c r="B91" s="1" t="s">
        <v>24</v>
      </c>
      <c r="C91" s="9">
        <v>6</v>
      </c>
      <c r="D91" s="9"/>
      <c r="E91" s="9"/>
      <c r="F91" s="9">
        <f t="shared" si="1"/>
        <v>6</v>
      </c>
    </row>
    <row r="92" spans="2:6" x14ac:dyDescent="0.2">
      <c r="B92" s="1" t="s">
        <v>44</v>
      </c>
      <c r="C92" s="6">
        <f>SUM(C90:C91)</f>
        <v>86</v>
      </c>
      <c r="D92" s="6">
        <f t="shared" ref="D92:E92" si="2">SUM(D90:D91)</f>
        <v>90</v>
      </c>
      <c r="E92" s="6">
        <f t="shared" si="2"/>
        <v>65</v>
      </c>
      <c r="F92" s="6">
        <f t="shared" si="1"/>
        <v>241</v>
      </c>
    </row>
    <row r="93" spans="2:6" x14ac:dyDescent="0.2">
      <c r="B93" s="1" t="s">
        <v>22</v>
      </c>
      <c r="C93" s="9"/>
      <c r="D93" s="9">
        <f>0.12*D92</f>
        <v>10.799999999999999</v>
      </c>
      <c r="E93" s="9"/>
      <c r="F93" s="9">
        <f t="shared" si="1"/>
        <v>10.799999999999999</v>
      </c>
    </row>
    <row r="94" spans="2:6" x14ac:dyDescent="0.2">
      <c r="B94" s="1" t="s">
        <v>45</v>
      </c>
      <c r="C94" s="9">
        <f>SUM(C92:C93)</f>
        <v>86</v>
      </c>
      <c r="D94" s="9">
        <f t="shared" ref="D94:E94" si="3">SUM(D92:D93)</f>
        <v>100.8</v>
      </c>
      <c r="E94" s="9">
        <f t="shared" si="3"/>
        <v>65</v>
      </c>
      <c r="F94" s="9">
        <f t="shared" si="1"/>
        <v>251.8</v>
      </c>
    </row>
    <row r="95" spans="2:6" x14ac:dyDescent="0.2">
      <c r="B95" s="1" t="s">
        <v>23</v>
      </c>
      <c r="C95" s="6">
        <f>0.2*C90</f>
        <v>16</v>
      </c>
      <c r="D95" s="6">
        <f>0.2*D90</f>
        <v>18</v>
      </c>
      <c r="E95" s="6">
        <f>0.2*E90</f>
        <v>13</v>
      </c>
      <c r="F95" s="6">
        <f t="shared" si="1"/>
        <v>47</v>
      </c>
    </row>
    <row r="96" spans="2:6" ht="12.75" thickBot="1" x14ac:dyDescent="0.25">
      <c r="B96" s="1" t="s">
        <v>46</v>
      </c>
      <c r="C96" s="8">
        <f>SUM(C94:C95)</f>
        <v>102</v>
      </c>
      <c r="D96" s="8">
        <f t="shared" ref="D96:E96" si="4">SUM(D94:D95)</f>
        <v>118.8</v>
      </c>
      <c r="E96" s="8">
        <f t="shared" si="4"/>
        <v>78</v>
      </c>
      <c r="F96" s="8">
        <f t="shared" si="1"/>
        <v>298.8</v>
      </c>
    </row>
    <row r="97" spans="2:6" ht="12.75" thickTop="1" x14ac:dyDescent="0.2"/>
    <row r="98" spans="2:6" x14ac:dyDescent="0.2">
      <c r="B98" s="1" t="s">
        <v>47</v>
      </c>
    </row>
    <row r="100" spans="2:6" x14ac:dyDescent="0.2">
      <c r="B100" s="1" t="s">
        <v>46</v>
      </c>
    </row>
    <row r="101" spans="2:6" x14ac:dyDescent="0.2">
      <c r="B101" s="1" t="s">
        <v>48</v>
      </c>
      <c r="F101" s="6">
        <f>+F92</f>
        <v>241</v>
      </c>
    </row>
    <row r="102" spans="2:6" x14ac:dyDescent="0.2">
      <c r="B102" s="1" t="s">
        <v>49</v>
      </c>
      <c r="F102" s="6">
        <f>+F93</f>
        <v>10.799999999999999</v>
      </c>
    </row>
    <row r="103" spans="2:6" x14ac:dyDescent="0.2">
      <c r="B103" s="1" t="s">
        <v>50</v>
      </c>
      <c r="F103" s="6">
        <f>+F95</f>
        <v>47</v>
      </c>
    </row>
    <row r="104" spans="2:6" ht="12.75" thickBot="1" x14ac:dyDescent="0.25">
      <c r="B104" s="1" t="s">
        <v>51</v>
      </c>
      <c r="F104" s="8">
        <f>SUM(F101:F103)</f>
        <v>298.8</v>
      </c>
    </row>
    <row r="105" spans="2:6" ht="12.75" thickTop="1" x14ac:dyDescent="0.2"/>
    <row r="106" spans="2:6" x14ac:dyDescent="0.2">
      <c r="B106" s="1" t="s">
        <v>52</v>
      </c>
    </row>
    <row r="107" spans="2:6" x14ac:dyDescent="0.2">
      <c r="B107" s="1" t="s">
        <v>53</v>
      </c>
    </row>
    <row r="109" spans="2:6" x14ac:dyDescent="0.2">
      <c r="B109" s="1" t="s">
        <v>54</v>
      </c>
      <c r="F109" s="6">
        <f>+D94</f>
        <v>100.8</v>
      </c>
    </row>
    <row r="110" spans="2:6" x14ac:dyDescent="0.2">
      <c r="B110" s="1" t="s">
        <v>55</v>
      </c>
      <c r="F110" s="6">
        <f>+D95</f>
        <v>18</v>
      </c>
    </row>
    <row r="111" spans="2:6" x14ac:dyDescent="0.2">
      <c r="B111" s="1" t="s">
        <v>56</v>
      </c>
      <c r="F111" s="6">
        <f>SUM(F109:F110)</f>
        <v>118.8</v>
      </c>
    </row>
    <row r="173" spans="2:3" x14ac:dyDescent="0.2">
      <c r="B173" s="1" t="s">
        <v>57</v>
      </c>
    </row>
    <row r="174" spans="2:3" x14ac:dyDescent="0.2">
      <c r="B174" s="1" t="s">
        <v>3</v>
      </c>
      <c r="C174" s="3">
        <v>42094</v>
      </c>
    </row>
    <row r="175" spans="2:3" x14ac:dyDescent="0.2">
      <c r="B175" s="1" t="s">
        <v>59</v>
      </c>
      <c r="C175" s="1">
        <v>100</v>
      </c>
    </row>
    <row r="176" spans="2:3" x14ac:dyDescent="0.2">
      <c r="B176" s="1" t="s">
        <v>58</v>
      </c>
      <c r="C176" s="1">
        <f>0.19*C175</f>
        <v>19</v>
      </c>
    </row>
    <row r="177" spans="2:6" x14ac:dyDescent="0.2">
      <c r="B177" s="1" t="s">
        <v>60</v>
      </c>
      <c r="C177" s="1">
        <v>300</v>
      </c>
    </row>
    <row r="178" spans="2:6" x14ac:dyDescent="0.2">
      <c r="B178" s="1" t="s">
        <v>61</v>
      </c>
      <c r="C178" s="1">
        <f>0.19*C177</f>
        <v>57</v>
      </c>
    </row>
    <row r="182" spans="2:6" x14ac:dyDescent="0.2">
      <c r="B182" s="1" t="s">
        <v>67</v>
      </c>
      <c r="F182" s="1">
        <v>3500</v>
      </c>
    </row>
    <row r="184" spans="2:6" x14ac:dyDescent="0.2">
      <c r="B184" s="1" t="s">
        <v>62</v>
      </c>
      <c r="F184" s="1">
        <f>+C175</f>
        <v>100</v>
      </c>
    </row>
    <row r="185" spans="2:6" x14ac:dyDescent="0.2">
      <c r="B185" s="1" t="s">
        <v>63</v>
      </c>
      <c r="F185" s="1">
        <f>+C177</f>
        <v>300</v>
      </c>
    </row>
    <row r="186" spans="2:6" x14ac:dyDescent="0.2">
      <c r="B186" s="1" t="s">
        <v>64</v>
      </c>
      <c r="F186" s="5">
        <f>-SUM(C178,C176)</f>
        <v>-76</v>
      </c>
    </row>
    <row r="187" spans="2:6" x14ac:dyDescent="0.2">
      <c r="B187" s="1" t="s">
        <v>65</v>
      </c>
      <c r="F187" s="1">
        <f>SUM(F184:F186)</f>
        <v>324</v>
      </c>
    </row>
    <row r="188" spans="2:6" ht="12.75" thickBot="1" x14ac:dyDescent="0.25">
      <c r="B188" s="1" t="s">
        <v>66</v>
      </c>
      <c r="F188" s="4">
        <f>+F187+F182</f>
        <v>3824</v>
      </c>
    </row>
    <row r="189" spans="2:6" ht="12.75" thickTop="1" x14ac:dyDescent="0.2"/>
    <row r="190" spans="2:6" x14ac:dyDescent="0.2">
      <c r="B190" s="1" t="s">
        <v>68</v>
      </c>
    </row>
    <row r="192" spans="2:6" x14ac:dyDescent="0.2">
      <c r="D192" s="1" t="s">
        <v>69</v>
      </c>
      <c r="E192" s="1" t="s">
        <v>70</v>
      </c>
      <c r="F192" s="1" t="s">
        <v>71</v>
      </c>
    </row>
    <row r="193" spans="2:6" x14ac:dyDescent="0.2">
      <c r="B193" s="1" t="str">
        <f>+B184</f>
        <v>Gains on financial asset</v>
      </c>
      <c r="D193" s="1">
        <f>+F184</f>
        <v>100</v>
      </c>
      <c r="E193" s="1">
        <f>-0.19*D193</f>
        <v>-19</v>
      </c>
      <c r="F193" s="1">
        <f>SUM(D193:E193)</f>
        <v>81</v>
      </c>
    </row>
    <row r="194" spans="2:6" x14ac:dyDescent="0.2">
      <c r="B194" s="1" t="str">
        <f>+B185</f>
        <v>gains on property revaluation</v>
      </c>
      <c r="D194" s="1">
        <f>+F185</f>
        <v>300</v>
      </c>
      <c r="E194" s="1">
        <f>-0.19*D194</f>
        <v>-57</v>
      </c>
      <c r="F194" s="1">
        <f>SUM(D194:E194)</f>
        <v>243</v>
      </c>
    </row>
    <row r="195" spans="2:6" ht="12.75" thickBot="1" x14ac:dyDescent="0.25">
      <c r="D195" s="4">
        <f>SUM(D193:D194)</f>
        <v>400</v>
      </c>
      <c r="E195" s="4">
        <f t="shared" ref="E195:F195" si="5">SUM(E193:E194)</f>
        <v>-76</v>
      </c>
      <c r="F195" s="4">
        <f t="shared" si="5"/>
        <v>324</v>
      </c>
    </row>
    <row r="196" spans="2:6" ht="12.75" thickTop="1" x14ac:dyDescent="0.2"/>
  </sheetData>
  <hyperlinks>
    <hyperlink ref="A1" location="Main!A1" display="Main" xr:uid="{76701398-8028-48FB-94F3-778B75EFE79B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B28-0C06-4756-A728-68385352E82A}">
  <dimension ref="B2:G70"/>
  <sheetViews>
    <sheetView topLeftCell="A10" workbookViewId="0">
      <selection activeCell="G35" sqref="B35:G70"/>
    </sheetView>
  </sheetViews>
  <sheetFormatPr defaultRowHeight="12" x14ac:dyDescent="0.2"/>
  <cols>
    <col min="1" max="16384" width="9.140625" style="1"/>
  </cols>
  <sheetData>
    <row r="2" spans="2:2" x14ac:dyDescent="0.2">
      <c r="B2" s="1" t="s">
        <v>76</v>
      </c>
    </row>
    <row r="35" spans="2:7" x14ac:dyDescent="0.2"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81</v>
      </c>
    </row>
    <row r="36" spans="2:7" x14ac:dyDescent="0.2">
      <c r="B36" s="1" t="s">
        <v>78</v>
      </c>
      <c r="C36" s="1">
        <v>0</v>
      </c>
      <c r="D36" s="1">
        <v>235</v>
      </c>
      <c r="E36" s="1">
        <v>124</v>
      </c>
      <c r="F36" s="1">
        <v>131</v>
      </c>
      <c r="G36" s="1">
        <f>SUM(C36:F36)</f>
        <v>490</v>
      </c>
    </row>
    <row r="37" spans="2:7" x14ac:dyDescent="0.2">
      <c r="B37" s="1" t="s">
        <v>80</v>
      </c>
      <c r="C37" s="1">
        <v>0</v>
      </c>
      <c r="D37" s="1">
        <v>42</v>
      </c>
      <c r="E37" s="1">
        <v>32</v>
      </c>
      <c r="F37" s="1">
        <v>23</v>
      </c>
      <c r="G37" s="1">
        <f>SUM(C37:F37)</f>
        <v>97</v>
      </c>
    </row>
    <row r="38" spans="2:7" x14ac:dyDescent="0.2">
      <c r="B38" s="1" t="s">
        <v>86</v>
      </c>
      <c r="D38" s="1">
        <v>2</v>
      </c>
      <c r="G38" s="1">
        <f>SUM(C38:F38)</f>
        <v>2</v>
      </c>
    </row>
    <row r="39" spans="2:7" x14ac:dyDescent="0.2">
      <c r="B39" s="1" t="s">
        <v>77</v>
      </c>
      <c r="C39" s="5">
        <v>7</v>
      </c>
      <c r="D39" s="5">
        <v>2</v>
      </c>
      <c r="E39" s="5">
        <v>2</v>
      </c>
      <c r="F39" s="5">
        <v>3</v>
      </c>
      <c r="G39" s="5">
        <f>SUM(C39:F39)</f>
        <v>14</v>
      </c>
    </row>
    <row r="40" spans="2:7" x14ac:dyDescent="0.2">
      <c r="B40" s="1" t="s">
        <v>48</v>
      </c>
      <c r="C40" s="1">
        <f>SUM(C36:C39)</f>
        <v>7</v>
      </c>
      <c r="D40" s="1">
        <f t="shared" ref="D40:G40" si="0">SUM(D36:D39)</f>
        <v>281</v>
      </c>
      <c r="E40" s="1">
        <f t="shared" si="0"/>
        <v>158</v>
      </c>
      <c r="F40" s="1">
        <f t="shared" si="0"/>
        <v>157</v>
      </c>
      <c r="G40" s="1">
        <f t="shared" si="0"/>
        <v>603</v>
      </c>
    </row>
    <row r="41" spans="2:7" x14ac:dyDescent="0.2">
      <c r="B41" s="1" t="s">
        <v>49</v>
      </c>
      <c r="C41" s="5"/>
      <c r="D41" s="5">
        <v>46</v>
      </c>
      <c r="E41" s="5"/>
      <c r="F41" s="5"/>
      <c r="G41" s="5">
        <f>SUM(C41:F41)</f>
        <v>46</v>
      </c>
    </row>
    <row r="42" spans="2:7" x14ac:dyDescent="0.2">
      <c r="B42" s="1" t="s">
        <v>45</v>
      </c>
      <c r="C42" s="1">
        <f>SUM(C40:C41)</f>
        <v>7</v>
      </c>
      <c r="D42" s="1">
        <f t="shared" ref="D42:G42" si="1">SUM(D40:D41)</f>
        <v>327</v>
      </c>
      <c r="E42" s="1">
        <f t="shared" si="1"/>
        <v>158</v>
      </c>
      <c r="F42" s="1">
        <f t="shared" si="1"/>
        <v>157</v>
      </c>
      <c r="G42" s="1">
        <f t="shared" si="1"/>
        <v>649</v>
      </c>
    </row>
    <row r="43" spans="2:7" x14ac:dyDescent="0.2">
      <c r="B43" s="1" t="s">
        <v>79</v>
      </c>
      <c r="C43" s="1">
        <v>0</v>
      </c>
      <c r="D43" s="1">
        <v>25</v>
      </c>
      <c r="E43" s="1">
        <v>34</v>
      </c>
      <c r="F43" s="1">
        <v>25</v>
      </c>
      <c r="G43" s="1">
        <f>SUM(C43:F43)</f>
        <v>84</v>
      </c>
    </row>
    <row r="44" spans="2:7" ht="12.75" thickBot="1" x14ac:dyDescent="0.25">
      <c r="B44" s="1" t="s">
        <v>81</v>
      </c>
      <c r="C44" s="4">
        <f>SUM(C39:C43)</f>
        <v>21</v>
      </c>
      <c r="D44" s="4">
        <f>SUM(D39:D43)</f>
        <v>681</v>
      </c>
      <c r="E44" s="4">
        <f>SUM(E39:E43)</f>
        <v>352</v>
      </c>
      <c r="F44" s="4">
        <f>SUM(F39:F43)</f>
        <v>342</v>
      </c>
      <c r="G44" s="4">
        <f>SUM(G39:G43)</f>
        <v>1396</v>
      </c>
    </row>
    <row r="45" spans="2:7" ht="12.75" thickTop="1" x14ac:dyDescent="0.2"/>
    <row r="48" spans="2:7" x14ac:dyDescent="0.2">
      <c r="B48" s="1" t="s">
        <v>87</v>
      </c>
    </row>
    <row r="50" spans="2:7" x14ac:dyDescent="0.2">
      <c r="B50" s="1" t="s">
        <v>46</v>
      </c>
    </row>
    <row r="51" spans="2:7" x14ac:dyDescent="0.2">
      <c r="B51" s="1" t="s">
        <v>48</v>
      </c>
      <c r="D51" s="6">
        <f>+D40</f>
        <v>281</v>
      </c>
    </row>
    <row r="52" spans="2:7" x14ac:dyDescent="0.2">
      <c r="B52" s="1" t="s">
        <v>49</v>
      </c>
      <c r="D52" s="6">
        <v>46</v>
      </c>
    </row>
    <row r="53" spans="2:7" ht="12.75" thickBot="1" x14ac:dyDescent="0.25">
      <c r="B53" s="1" t="s">
        <v>45</v>
      </c>
      <c r="D53" s="8">
        <f>SUM(D51:D52)</f>
        <v>327</v>
      </c>
    </row>
    <row r="54" spans="2:7" ht="12.75" thickTop="1" x14ac:dyDescent="0.2"/>
    <row r="56" spans="2:7" x14ac:dyDescent="0.2">
      <c r="B56" s="1" t="s">
        <v>46</v>
      </c>
    </row>
    <row r="57" spans="2:7" x14ac:dyDescent="0.2">
      <c r="B57" s="1" t="s">
        <v>48</v>
      </c>
      <c r="G57" s="6">
        <f>+G40</f>
        <v>603</v>
      </c>
    </row>
    <row r="58" spans="2:7" x14ac:dyDescent="0.2">
      <c r="B58" s="1" t="s">
        <v>49</v>
      </c>
      <c r="G58" s="6">
        <f>+G41</f>
        <v>46</v>
      </c>
    </row>
    <row r="59" spans="2:7" x14ac:dyDescent="0.2">
      <c r="B59" s="1" t="s">
        <v>50</v>
      </c>
      <c r="G59" s="6">
        <f>+G43</f>
        <v>84</v>
      </c>
    </row>
    <row r="60" spans="2:7" ht="12.75" thickBot="1" x14ac:dyDescent="0.25">
      <c r="B60" s="1" t="s">
        <v>51</v>
      </c>
      <c r="G60" s="8">
        <f>SUM(G57:G59)</f>
        <v>733</v>
      </c>
    </row>
    <row r="61" spans="2:7" ht="12.75" thickTop="1" x14ac:dyDescent="0.2"/>
    <row r="63" spans="2:7" x14ac:dyDescent="0.2">
      <c r="B63" s="1" t="s">
        <v>88</v>
      </c>
    </row>
    <row r="65" spans="2:7" x14ac:dyDescent="0.2">
      <c r="B65" s="1" t="s">
        <v>89</v>
      </c>
    </row>
    <row r="66" spans="2:7" x14ac:dyDescent="0.2">
      <c r="B66" s="1" t="s">
        <v>45</v>
      </c>
      <c r="G66" s="6">
        <f>+D53</f>
        <v>327</v>
      </c>
    </row>
    <row r="67" spans="2:7" x14ac:dyDescent="0.2">
      <c r="B67" s="1" t="s">
        <v>50</v>
      </c>
      <c r="G67" s="6">
        <f>+D43</f>
        <v>25</v>
      </c>
    </row>
    <row r="68" spans="2:7" ht="12.75" thickBot="1" x14ac:dyDescent="0.25">
      <c r="B68" s="1" t="s">
        <v>90</v>
      </c>
      <c r="G68" s="8">
        <f>SUM(G66:G67)</f>
        <v>352</v>
      </c>
    </row>
    <row r="69" spans="2:7" ht="12.75" thickTop="1" x14ac:dyDescent="0.2"/>
    <row r="70" spans="2:7" x14ac:dyDescent="0.2">
      <c r="B70" s="1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E643-0B34-400F-847D-78AA4BBEC565}">
  <dimension ref="A1:G42"/>
  <sheetViews>
    <sheetView zoomScale="145" zoomScaleNormal="145" workbookViewId="0">
      <selection activeCell="B43" sqref="B43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0</v>
      </c>
    </row>
    <row r="2" spans="1:7" x14ac:dyDescent="0.2">
      <c r="B2" s="1" t="s">
        <v>92</v>
      </c>
    </row>
    <row r="3" spans="1:7" x14ac:dyDescent="0.2">
      <c r="B3" s="1" t="s">
        <v>3</v>
      </c>
      <c r="C3" s="3">
        <v>42216</v>
      </c>
    </row>
    <row r="5" spans="1:7" x14ac:dyDescent="0.2">
      <c r="C5" s="1" t="s">
        <v>100</v>
      </c>
      <c r="D5" s="1" t="s">
        <v>100</v>
      </c>
      <c r="E5" s="1" t="s">
        <v>99</v>
      </c>
      <c r="F5" s="1" t="s">
        <v>99</v>
      </c>
    </row>
    <row r="6" spans="1:7" x14ac:dyDescent="0.2">
      <c r="C6" s="1" t="s">
        <v>94</v>
      </c>
      <c r="D6" s="1" t="s">
        <v>95</v>
      </c>
      <c r="E6" s="1" t="s">
        <v>96</v>
      </c>
      <c r="F6" s="1" t="s">
        <v>97</v>
      </c>
      <c r="G6" s="1" t="s">
        <v>81</v>
      </c>
    </row>
    <row r="7" spans="1:7" x14ac:dyDescent="0.2">
      <c r="B7" s="1" t="s">
        <v>69</v>
      </c>
      <c r="C7" s="1">
        <v>75</v>
      </c>
      <c r="D7" s="1">
        <v>75</v>
      </c>
      <c r="E7" s="1">
        <v>75</v>
      </c>
      <c r="F7" s="1">
        <v>19</v>
      </c>
      <c r="G7" s="1">
        <f>SUM(C7:F7)</f>
        <v>244</v>
      </c>
    </row>
    <row r="8" spans="1:7" x14ac:dyDescent="0.2">
      <c r="B8" s="1" t="s">
        <v>80</v>
      </c>
      <c r="C8" s="1">
        <v>12</v>
      </c>
      <c r="D8" s="1">
        <v>9</v>
      </c>
      <c r="E8" s="1">
        <v>10</v>
      </c>
      <c r="F8" s="1">
        <v>0</v>
      </c>
      <c r="G8" s="1">
        <f t="shared" ref="G8:G15" si="0">SUM(C8:F8)</f>
        <v>31</v>
      </c>
    </row>
    <row r="9" spans="1:7" x14ac:dyDescent="0.2">
      <c r="B9" s="1" t="s">
        <v>98</v>
      </c>
      <c r="D9" s="1">
        <v>2</v>
      </c>
      <c r="G9" s="1">
        <f t="shared" si="0"/>
        <v>2</v>
      </c>
    </row>
    <row r="10" spans="1:7" x14ac:dyDescent="0.2">
      <c r="B10" s="1" t="s">
        <v>24</v>
      </c>
      <c r="C10" s="1">
        <v>4</v>
      </c>
      <c r="D10" s="1">
        <v>4</v>
      </c>
      <c r="E10" s="1">
        <v>3</v>
      </c>
      <c r="F10" s="1">
        <v>1</v>
      </c>
      <c r="G10" s="1">
        <f>SUM(C10:F10)</f>
        <v>12</v>
      </c>
    </row>
    <row r="11" spans="1:7" ht="12.75" thickBot="1" x14ac:dyDescent="0.25">
      <c r="B11" s="1" t="s">
        <v>44</v>
      </c>
      <c r="C11" s="4">
        <f>SUM(C7:C10)</f>
        <v>91</v>
      </c>
      <c r="D11" s="4">
        <f t="shared" ref="D11:F11" si="1">SUM(D7:D10)</f>
        <v>90</v>
      </c>
      <c r="E11" s="4">
        <f t="shared" si="1"/>
        <v>88</v>
      </c>
      <c r="F11" s="4">
        <f t="shared" si="1"/>
        <v>20</v>
      </c>
      <c r="G11" s="4">
        <f>SUM(C11:F11)</f>
        <v>289</v>
      </c>
    </row>
    <row r="12" spans="1:7" ht="12.75" thickTop="1" x14ac:dyDescent="0.2">
      <c r="C12" s="12"/>
      <c r="D12" s="12"/>
      <c r="E12" s="12"/>
      <c r="F12" s="12"/>
      <c r="G12" s="12"/>
    </row>
    <row r="13" spans="1:7" x14ac:dyDescent="0.2">
      <c r="B13" s="1" t="s">
        <v>49</v>
      </c>
      <c r="C13" s="1">
        <v>15</v>
      </c>
      <c r="D13" s="1">
        <v>17</v>
      </c>
      <c r="E13" s="1">
        <v>14</v>
      </c>
      <c r="F13" s="1">
        <v>5</v>
      </c>
      <c r="G13" s="1">
        <f t="shared" si="0"/>
        <v>51</v>
      </c>
    </row>
    <row r="14" spans="1:7" ht="12.75" thickBot="1" x14ac:dyDescent="0.25">
      <c r="B14" s="1" t="s">
        <v>45</v>
      </c>
      <c r="C14" s="4">
        <f>SUM(C11:C13)</f>
        <v>106</v>
      </c>
      <c r="D14" s="4">
        <f t="shared" ref="D14:G14" si="2">SUM(D11:D13)</f>
        <v>107</v>
      </c>
      <c r="E14" s="4">
        <f t="shared" si="2"/>
        <v>102</v>
      </c>
      <c r="F14" s="4">
        <f t="shared" si="2"/>
        <v>25</v>
      </c>
      <c r="G14" s="4">
        <f t="shared" si="2"/>
        <v>340</v>
      </c>
    </row>
    <row r="15" spans="1:7" ht="12.75" thickTop="1" x14ac:dyDescent="0.2">
      <c r="B15" s="1" t="s">
        <v>93</v>
      </c>
      <c r="C15" s="1">
        <v>8</v>
      </c>
      <c r="D15" s="1">
        <v>7</v>
      </c>
      <c r="E15" s="1">
        <v>8</v>
      </c>
      <c r="F15" s="1">
        <v>2</v>
      </c>
      <c r="G15" s="1">
        <f t="shared" si="0"/>
        <v>25</v>
      </c>
    </row>
    <row r="16" spans="1:7" ht="12.75" thickBot="1" x14ac:dyDescent="0.25">
      <c r="B16" s="1" t="s">
        <v>101</v>
      </c>
      <c r="C16" s="4">
        <f>SUM(C14:C15)</f>
        <v>114</v>
      </c>
      <c r="D16" s="4">
        <f t="shared" ref="D16:F16" si="3">SUM(D14:D15)</f>
        <v>114</v>
      </c>
      <c r="E16" s="4">
        <f t="shared" si="3"/>
        <v>110</v>
      </c>
      <c r="F16" s="4">
        <f t="shared" si="3"/>
        <v>27</v>
      </c>
      <c r="G16" s="4">
        <f>SUM(G11+G14+G15)</f>
        <v>654</v>
      </c>
    </row>
    <row r="17" spans="2:7" ht="12.75" thickTop="1" x14ac:dyDescent="0.2"/>
    <row r="19" spans="2:7" x14ac:dyDescent="0.2">
      <c r="B19" s="1" t="s">
        <v>87</v>
      </c>
    </row>
    <row r="21" spans="2:7" x14ac:dyDescent="0.2">
      <c r="B21" s="1" t="s">
        <v>46</v>
      </c>
    </row>
    <row r="22" spans="2:7" x14ac:dyDescent="0.2">
      <c r="B22" s="1" t="s">
        <v>48</v>
      </c>
      <c r="D22" s="6">
        <f>+D11</f>
        <v>90</v>
      </c>
    </row>
    <row r="23" spans="2:7" x14ac:dyDescent="0.2">
      <c r="B23" s="1" t="s">
        <v>49</v>
      </c>
      <c r="D23" s="6">
        <f>+D13</f>
        <v>17</v>
      </c>
    </row>
    <row r="24" spans="2:7" ht="12.75" thickBot="1" x14ac:dyDescent="0.25">
      <c r="B24" s="1" t="s">
        <v>45</v>
      </c>
      <c r="D24" s="8">
        <f>SUM(D22:D23)</f>
        <v>107</v>
      </c>
    </row>
    <row r="25" spans="2:7" ht="12.75" thickTop="1" x14ac:dyDescent="0.2"/>
    <row r="27" spans="2:7" x14ac:dyDescent="0.2">
      <c r="B27" s="1" t="s">
        <v>46</v>
      </c>
    </row>
    <row r="28" spans="2:7" x14ac:dyDescent="0.2">
      <c r="B28" s="1" t="s">
        <v>48</v>
      </c>
      <c r="G28" s="6">
        <f>+G11</f>
        <v>289</v>
      </c>
    </row>
    <row r="29" spans="2:7" x14ac:dyDescent="0.2">
      <c r="B29" s="1" t="s">
        <v>49</v>
      </c>
      <c r="G29" s="6">
        <f>+G13</f>
        <v>51</v>
      </c>
    </row>
    <row r="30" spans="2:7" x14ac:dyDescent="0.2">
      <c r="B30" s="1" t="s">
        <v>102</v>
      </c>
      <c r="G30" s="6">
        <f>+C15+D15</f>
        <v>15</v>
      </c>
    </row>
    <row r="31" spans="2:7" ht="12.75" thickBot="1" x14ac:dyDescent="0.25">
      <c r="B31" s="1" t="s">
        <v>51</v>
      </c>
      <c r="G31" s="8">
        <f>SUM(G28:G30)</f>
        <v>355</v>
      </c>
    </row>
    <row r="32" spans="2:7" ht="12.75" thickTop="1" x14ac:dyDescent="0.2"/>
    <row r="34" spans="2:7" x14ac:dyDescent="0.2">
      <c r="B34" s="1" t="s">
        <v>104</v>
      </c>
    </row>
    <row r="35" spans="2:7" x14ac:dyDescent="0.2">
      <c r="B35" s="1" t="s">
        <v>103</v>
      </c>
    </row>
    <row r="37" spans="2:7" x14ac:dyDescent="0.2">
      <c r="B37" s="1" t="s">
        <v>89</v>
      </c>
    </row>
    <row r="38" spans="2:7" x14ac:dyDescent="0.2">
      <c r="B38" s="1" t="s">
        <v>45</v>
      </c>
      <c r="G38" s="6">
        <f>+D14</f>
        <v>107</v>
      </c>
    </row>
    <row r="39" spans="2:7" x14ac:dyDescent="0.2">
      <c r="B39" s="1" t="s">
        <v>50</v>
      </c>
      <c r="G39" s="6">
        <f>+D15</f>
        <v>7</v>
      </c>
    </row>
    <row r="40" spans="2:7" ht="12.75" thickBot="1" x14ac:dyDescent="0.25">
      <c r="B40" s="1" t="s">
        <v>90</v>
      </c>
      <c r="G40" s="8">
        <f>SUM(G38:G39)</f>
        <v>114</v>
      </c>
    </row>
    <row r="41" spans="2:7" ht="12.75" thickTop="1" x14ac:dyDescent="0.2"/>
    <row r="42" spans="2:7" x14ac:dyDescent="0.2">
      <c r="B42" s="1" t="s">
        <v>105</v>
      </c>
    </row>
  </sheetData>
  <hyperlinks>
    <hyperlink ref="A1" location="Main!A1" display="Main" xr:uid="{4E856E50-561A-410C-A4DC-2F87CC4F9BB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17D-A5A1-46C6-B703-EC1E252C33B3}">
  <dimension ref="A1:H62"/>
  <sheetViews>
    <sheetView zoomScale="130" zoomScaleNormal="130" workbookViewId="0"/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106</v>
      </c>
    </row>
    <row r="22" spans="2:8" x14ac:dyDescent="0.2">
      <c r="B22" s="1" t="s">
        <v>107</v>
      </c>
    </row>
    <row r="24" spans="2:8" x14ac:dyDescent="0.2">
      <c r="B24" s="1" t="s">
        <v>3</v>
      </c>
      <c r="C24" s="3">
        <v>43373</v>
      </c>
    </row>
    <row r="26" spans="2:8" x14ac:dyDescent="0.2">
      <c r="C26" s="1" t="s">
        <v>100</v>
      </c>
      <c r="D26" s="1" t="s">
        <v>100</v>
      </c>
      <c r="E26" s="1" t="s">
        <v>100</v>
      </c>
    </row>
    <row r="27" spans="2:8" x14ac:dyDescent="0.2">
      <c r="C27" s="1" t="s">
        <v>112</v>
      </c>
      <c r="D27" s="1" t="s">
        <v>111</v>
      </c>
      <c r="E27" s="1" t="s">
        <v>110</v>
      </c>
      <c r="F27" s="1" t="s">
        <v>109</v>
      </c>
      <c r="G27" s="1" t="s">
        <v>108</v>
      </c>
      <c r="H27" s="1" t="s">
        <v>81</v>
      </c>
    </row>
    <row r="28" spans="2:8" x14ac:dyDescent="0.2">
      <c r="B28" s="1" t="s">
        <v>113</v>
      </c>
      <c r="C28" s="6">
        <v>165</v>
      </c>
      <c r="D28" s="6">
        <v>140</v>
      </c>
      <c r="E28" s="6">
        <v>140</v>
      </c>
      <c r="F28" s="6">
        <v>140</v>
      </c>
      <c r="G28" s="6">
        <v>90</v>
      </c>
      <c r="H28" s="6">
        <f>SUM(C28:G28)</f>
        <v>675</v>
      </c>
    </row>
    <row r="29" spans="2:8" x14ac:dyDescent="0.2">
      <c r="B29" s="1" t="s">
        <v>24</v>
      </c>
      <c r="C29" s="6">
        <v>4</v>
      </c>
      <c r="D29" s="6">
        <v>15</v>
      </c>
      <c r="E29" s="6">
        <v>2</v>
      </c>
      <c r="F29" s="6">
        <v>9</v>
      </c>
      <c r="G29" s="6">
        <v>6</v>
      </c>
      <c r="H29" s="6">
        <f>SUM(C29:G29)</f>
        <v>36</v>
      </c>
    </row>
    <row r="30" spans="2:8" ht="12.75" thickBot="1" x14ac:dyDescent="0.25">
      <c r="B30" s="1" t="s">
        <v>46</v>
      </c>
      <c r="C30" s="8">
        <f>SUM(C28:C29)</f>
        <v>169</v>
      </c>
      <c r="D30" s="8">
        <f t="shared" ref="D30:G30" si="0">SUM(D28:D29)</f>
        <v>155</v>
      </c>
      <c r="E30" s="8">
        <f t="shared" si="0"/>
        <v>142</v>
      </c>
      <c r="F30" s="8">
        <f t="shared" si="0"/>
        <v>149</v>
      </c>
      <c r="G30" s="8">
        <f t="shared" si="0"/>
        <v>96</v>
      </c>
      <c r="H30" s="8">
        <f>SUM(H28:H29)</f>
        <v>711</v>
      </c>
    </row>
    <row r="31" spans="2:8" ht="12.75" thickTop="1" x14ac:dyDescent="0.2">
      <c r="C31" s="6"/>
      <c r="D31" s="6"/>
      <c r="E31" s="6"/>
      <c r="F31" s="6"/>
      <c r="G31" s="6"/>
      <c r="H31" s="6"/>
    </row>
    <row r="32" spans="2:8" x14ac:dyDescent="0.2">
      <c r="B32" s="1" t="s">
        <v>100</v>
      </c>
      <c r="C32" s="6">
        <f>+C28*0.07</f>
        <v>11.55</v>
      </c>
      <c r="D32" s="6">
        <f t="shared" ref="D32:E32" si="1">+D28*0.07</f>
        <v>9.8000000000000007</v>
      </c>
      <c r="E32" s="6">
        <f t="shared" si="1"/>
        <v>9.8000000000000007</v>
      </c>
      <c r="F32" s="6"/>
      <c r="G32" s="6"/>
      <c r="H32" s="6">
        <f>SUM(C32:G32)</f>
        <v>31.150000000000002</v>
      </c>
    </row>
    <row r="33" spans="2:8" ht="12.75" thickBot="1" x14ac:dyDescent="0.25">
      <c r="B33" s="1" t="s">
        <v>51</v>
      </c>
      <c r="C33" s="8">
        <f>+C30+C32</f>
        <v>180.55</v>
      </c>
      <c r="D33" s="8">
        <f t="shared" ref="D33:G33" si="2">+D30+D32</f>
        <v>164.8</v>
      </c>
      <c r="E33" s="8">
        <f t="shared" si="2"/>
        <v>151.80000000000001</v>
      </c>
      <c r="F33" s="8">
        <f t="shared" si="2"/>
        <v>149</v>
      </c>
      <c r="G33" s="8">
        <f t="shared" si="2"/>
        <v>96</v>
      </c>
      <c r="H33" s="8">
        <f>+H38+H32</f>
        <v>742.15</v>
      </c>
    </row>
    <row r="34" spans="2:8" ht="12.75" thickTop="1" x14ac:dyDescent="0.2"/>
    <row r="36" spans="2:8" x14ac:dyDescent="0.2">
      <c r="B36" s="1" t="s">
        <v>113</v>
      </c>
      <c r="H36" s="6">
        <f>SUM(C28:G28)</f>
        <v>675</v>
      </c>
    </row>
    <row r="37" spans="2:8" x14ac:dyDescent="0.2">
      <c r="B37" s="1" t="s">
        <v>24</v>
      </c>
      <c r="H37" s="6">
        <f>SUM(C29:G29)</f>
        <v>36</v>
      </c>
    </row>
    <row r="38" spans="2:8" ht="12.75" thickBot="1" x14ac:dyDescent="0.25">
      <c r="B38" s="13" t="s">
        <v>46</v>
      </c>
      <c r="H38" s="8">
        <f>SUM(H36:H37)</f>
        <v>711</v>
      </c>
    </row>
    <row r="39" spans="2:8" ht="12.75" thickTop="1" x14ac:dyDescent="0.2"/>
    <row r="41" spans="2:8" x14ac:dyDescent="0.2">
      <c r="B41" s="1" t="s">
        <v>114</v>
      </c>
    </row>
    <row r="42" spans="2:8" x14ac:dyDescent="0.2">
      <c r="B42" s="1" t="s">
        <v>113</v>
      </c>
      <c r="H42" s="6">
        <f>+C28</f>
        <v>165</v>
      </c>
    </row>
    <row r="43" spans="2:8" x14ac:dyDescent="0.2">
      <c r="B43" s="1" t="s">
        <v>24</v>
      </c>
      <c r="H43" s="6">
        <f>+C29</f>
        <v>4</v>
      </c>
    </row>
    <row r="44" spans="2:8" ht="12.75" thickBot="1" x14ac:dyDescent="0.25">
      <c r="B44" s="13" t="s">
        <v>45</v>
      </c>
      <c r="H44" s="8">
        <f>SUM(H42:H43)</f>
        <v>169</v>
      </c>
    </row>
    <row r="45" spans="2:8" ht="12.75" thickTop="1" x14ac:dyDescent="0.2"/>
    <row r="47" spans="2:8" ht="12.75" thickBot="1" x14ac:dyDescent="0.25">
      <c r="B47" s="13" t="s">
        <v>115</v>
      </c>
      <c r="H47" s="8">
        <f>+H32</f>
        <v>31.150000000000002</v>
      </c>
    </row>
    <row r="48" spans="2:8" ht="12.75" thickTop="1" x14ac:dyDescent="0.2"/>
    <row r="49" spans="2:8" x14ac:dyDescent="0.2">
      <c r="B49" s="1" t="s">
        <v>116</v>
      </c>
    </row>
    <row r="50" spans="2:8" x14ac:dyDescent="0.2">
      <c r="B50" s="1" t="s">
        <v>117</v>
      </c>
    </row>
    <row r="52" spans="2:8" x14ac:dyDescent="0.2">
      <c r="B52" s="1" t="s">
        <v>118</v>
      </c>
      <c r="H52" s="6">
        <f>+H38</f>
        <v>711</v>
      </c>
    </row>
    <row r="53" spans="2:8" x14ac:dyDescent="0.2">
      <c r="B53" s="1" t="s">
        <v>50</v>
      </c>
      <c r="H53" s="6">
        <f>+H47</f>
        <v>31.150000000000002</v>
      </c>
    </row>
    <row r="54" spans="2:8" ht="12.75" thickBot="1" x14ac:dyDescent="0.25">
      <c r="B54" s="13" t="s">
        <v>119</v>
      </c>
      <c r="H54" s="8">
        <f>SUM(H52:H53)</f>
        <v>742.15</v>
      </c>
    </row>
    <row r="55" spans="2:8" ht="12.75" thickTop="1" x14ac:dyDescent="0.2"/>
    <row r="56" spans="2:8" x14ac:dyDescent="0.2">
      <c r="B56" s="1" t="s">
        <v>120</v>
      </c>
    </row>
    <row r="58" spans="2:8" x14ac:dyDescent="0.2">
      <c r="B58" s="1" t="s">
        <v>121</v>
      </c>
    </row>
    <row r="59" spans="2:8" x14ac:dyDescent="0.2">
      <c r="B59" s="1" t="s">
        <v>45</v>
      </c>
      <c r="H59" s="6">
        <f>+H44</f>
        <v>169</v>
      </c>
    </row>
    <row r="60" spans="2:8" x14ac:dyDescent="0.2">
      <c r="B60" s="1" t="s">
        <v>115</v>
      </c>
      <c r="H60" s="6">
        <f>+C32</f>
        <v>11.55</v>
      </c>
    </row>
    <row r="61" spans="2:8" ht="12.75" thickBot="1" x14ac:dyDescent="0.25">
      <c r="B61" s="1" t="s">
        <v>122</v>
      </c>
      <c r="H61" s="8">
        <f>SUM(H59:H60)</f>
        <v>180.55</v>
      </c>
    </row>
    <row r="62" spans="2:8" ht="12.75" thickTop="1" x14ac:dyDescent="0.2"/>
  </sheetData>
  <hyperlinks>
    <hyperlink ref="A1" location="Main!A1" display="Main" xr:uid="{EF6C87A6-F5BA-4399-9DCD-B1DCD4D862A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1785-EEB1-4529-913F-11B9AE8626D6}">
  <dimension ref="A1:H348"/>
  <sheetViews>
    <sheetView zoomScale="130" zoomScaleNormal="130" workbookViewId="0">
      <selection activeCell="G25" sqref="G25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0</v>
      </c>
    </row>
    <row r="2" spans="1:4" x14ac:dyDescent="0.2">
      <c r="B2" s="1" t="s">
        <v>125</v>
      </c>
    </row>
    <row r="11" spans="1:4" x14ac:dyDescent="0.2">
      <c r="B11" s="1" t="s">
        <v>3</v>
      </c>
      <c r="C11" s="3">
        <v>45747</v>
      </c>
    </row>
    <row r="14" spans="1:4" x14ac:dyDescent="0.2">
      <c r="B14" s="1" t="s">
        <v>126</v>
      </c>
      <c r="C14" s="1" t="s">
        <v>127</v>
      </c>
      <c r="D14" s="1" t="s">
        <v>128</v>
      </c>
    </row>
    <row r="15" spans="1:4" x14ac:dyDescent="0.2">
      <c r="B15" s="1" t="s">
        <v>129</v>
      </c>
      <c r="C15" s="1" t="s">
        <v>130</v>
      </c>
      <c r="D15" s="1" t="s">
        <v>130</v>
      </c>
    </row>
    <row r="16" spans="1:4" x14ac:dyDescent="0.2">
      <c r="B16" s="1" t="s">
        <v>131</v>
      </c>
      <c r="C16" s="1" t="s">
        <v>131</v>
      </c>
      <c r="D16" s="1" t="s">
        <v>131</v>
      </c>
    </row>
    <row r="17" spans="2:6" x14ac:dyDescent="0.2">
      <c r="B17" s="1" t="s">
        <v>132</v>
      </c>
      <c r="C17" s="1" t="s">
        <v>132</v>
      </c>
      <c r="D17" s="1" t="s">
        <v>132</v>
      </c>
    </row>
    <row r="19" spans="2:6" x14ac:dyDescent="0.2">
      <c r="B19" s="1" t="s">
        <v>133</v>
      </c>
      <c r="D19" s="1" t="s">
        <v>134</v>
      </c>
      <c r="E19" s="1" t="s">
        <v>138</v>
      </c>
    </row>
    <row r="20" spans="2:6" x14ac:dyDescent="0.2">
      <c r="B20" s="1" t="s">
        <v>136</v>
      </c>
      <c r="C20" s="3">
        <v>37347</v>
      </c>
      <c r="D20" s="15">
        <v>105</v>
      </c>
      <c r="E20" s="15">
        <v>3600</v>
      </c>
    </row>
    <row r="21" spans="2:6" x14ac:dyDescent="0.2">
      <c r="B21" s="1" t="s">
        <v>135</v>
      </c>
      <c r="C21" s="3">
        <v>44651</v>
      </c>
      <c r="D21" s="15">
        <v>144</v>
      </c>
      <c r="E21" s="15">
        <v>4500</v>
      </c>
    </row>
    <row r="22" spans="2:6" x14ac:dyDescent="0.2">
      <c r="B22" s="1" t="s">
        <v>139</v>
      </c>
      <c r="C22" s="3">
        <v>45382</v>
      </c>
      <c r="D22" s="15"/>
      <c r="E22" s="15">
        <v>225</v>
      </c>
    </row>
    <row r="23" spans="2:6" x14ac:dyDescent="0.2">
      <c r="B23" s="1" t="s">
        <v>140</v>
      </c>
      <c r="C23" s="3">
        <v>45747</v>
      </c>
      <c r="D23" s="15"/>
      <c r="E23" s="15">
        <v>113</v>
      </c>
    </row>
    <row r="24" spans="2:6" x14ac:dyDescent="0.2">
      <c r="B24" s="1" t="s">
        <v>182</v>
      </c>
      <c r="C24" s="3">
        <v>45747</v>
      </c>
      <c r="D24" s="15">
        <f>+D21-D22-D23</f>
        <v>144</v>
      </c>
      <c r="E24" s="15">
        <f>+E21-E22-E23</f>
        <v>4162</v>
      </c>
      <c r="F24" s="15">
        <f>SUM(D24:E24)</f>
        <v>4306</v>
      </c>
    </row>
    <row r="25" spans="2:6" x14ac:dyDescent="0.2">
      <c r="B25" s="1" t="s">
        <v>137</v>
      </c>
      <c r="C25" s="3">
        <v>45382</v>
      </c>
      <c r="D25" s="15">
        <f>D21-D20</f>
        <v>39</v>
      </c>
      <c r="E25" s="15">
        <v>1539</v>
      </c>
    </row>
    <row r="26" spans="2:6" x14ac:dyDescent="0.2">
      <c r="B26" s="1" t="s">
        <v>141</v>
      </c>
      <c r="C26" s="3">
        <v>45747</v>
      </c>
      <c r="D26" s="15">
        <v>165</v>
      </c>
      <c r="E26" s="1">
        <v>3900</v>
      </c>
      <c r="F26" s="15">
        <f>SUM(D26:E26)</f>
        <v>4065</v>
      </c>
    </row>
    <row r="27" spans="2:6" x14ac:dyDescent="0.2">
      <c r="B27" s="1" t="s">
        <v>142</v>
      </c>
      <c r="D27" s="15">
        <f>D26-D21</f>
        <v>21</v>
      </c>
      <c r="E27" s="15">
        <f>E26-E21</f>
        <v>-600</v>
      </c>
      <c r="F27" s="15">
        <f>+F26-F24</f>
        <v>-241</v>
      </c>
    </row>
    <row r="29" spans="2:6" x14ac:dyDescent="0.2">
      <c r="B29" s="18" t="s">
        <v>288</v>
      </c>
    </row>
    <row r="30" spans="2:6" x14ac:dyDescent="0.2">
      <c r="B30" s="1" t="s">
        <v>289</v>
      </c>
      <c r="E30" s="15">
        <f>+E23</f>
        <v>113</v>
      </c>
    </row>
    <row r="31" spans="2:6" x14ac:dyDescent="0.2">
      <c r="B31" s="1" t="s">
        <v>290</v>
      </c>
      <c r="E31" s="1">
        <f>1/50*3600</f>
        <v>72</v>
      </c>
      <c r="F31" s="1" t="str">
        <f ca="1">_xlfn.FORMULATEXT(E31)</f>
        <v>=1/50*3600</v>
      </c>
    </row>
    <row r="32" spans="2:6" x14ac:dyDescent="0.2">
      <c r="B32" s="1" t="s">
        <v>283</v>
      </c>
      <c r="E32" s="15">
        <f>+E31-E30</f>
        <v>-41</v>
      </c>
    </row>
    <row r="34" spans="2:7" x14ac:dyDescent="0.2">
      <c r="B34" s="18" t="s">
        <v>292</v>
      </c>
      <c r="E34" s="6"/>
    </row>
    <row r="35" spans="2:7" x14ac:dyDescent="0.2">
      <c r="B35" s="1" t="s">
        <v>146</v>
      </c>
      <c r="E35" s="6">
        <f>-E32</f>
        <v>41</v>
      </c>
    </row>
    <row r="36" spans="2:7" x14ac:dyDescent="0.2">
      <c r="C36" s="1" t="s">
        <v>241</v>
      </c>
      <c r="E36" s="6"/>
      <c r="F36" s="6">
        <f>+E35</f>
        <v>41</v>
      </c>
    </row>
    <row r="37" spans="2:7" x14ac:dyDescent="0.2">
      <c r="B37" s="1" t="s">
        <v>291</v>
      </c>
    </row>
    <row r="39" spans="2:7" x14ac:dyDescent="0.2">
      <c r="B39" s="18" t="s">
        <v>293</v>
      </c>
      <c r="G39" s="15"/>
    </row>
    <row r="40" spans="2:7" x14ac:dyDescent="0.2">
      <c r="B40" s="1" t="s">
        <v>144</v>
      </c>
      <c r="E40" s="15">
        <f>-+F27</f>
        <v>241</v>
      </c>
    </row>
    <row r="41" spans="2:7" x14ac:dyDescent="0.2">
      <c r="C41" s="1" t="s">
        <v>287</v>
      </c>
      <c r="F41" s="15">
        <f>-E27-D27</f>
        <v>579</v>
      </c>
    </row>
    <row r="42" spans="2:7" x14ac:dyDescent="0.2">
      <c r="C42" s="1" t="s">
        <v>143</v>
      </c>
      <c r="F42" s="15">
        <f>+F41-E40</f>
        <v>338</v>
      </c>
    </row>
    <row r="43" spans="2:7" x14ac:dyDescent="0.2">
      <c r="B43" s="1" t="s">
        <v>286</v>
      </c>
    </row>
    <row r="47" spans="2:7" x14ac:dyDescent="0.2">
      <c r="B47" s="1" t="s">
        <v>147</v>
      </c>
    </row>
    <row r="49" spans="2:5" x14ac:dyDescent="0.2">
      <c r="B49" s="1" t="s">
        <v>136</v>
      </c>
      <c r="C49" s="3">
        <v>45382</v>
      </c>
      <c r="E49" s="15">
        <v>1450</v>
      </c>
    </row>
    <row r="50" spans="2:5" x14ac:dyDescent="0.2">
      <c r="B50" s="1" t="s">
        <v>139</v>
      </c>
      <c r="C50" s="3">
        <v>45382</v>
      </c>
      <c r="E50" s="15">
        <v>770</v>
      </c>
    </row>
    <row r="51" spans="2:5" x14ac:dyDescent="0.2">
      <c r="B51" s="1" t="s">
        <v>148</v>
      </c>
      <c r="C51" s="3">
        <v>45747</v>
      </c>
      <c r="E51" s="15">
        <v>125</v>
      </c>
    </row>
    <row r="52" spans="2:5" x14ac:dyDescent="0.2">
      <c r="B52" s="1" t="s">
        <v>149</v>
      </c>
      <c r="C52" s="3">
        <v>45747</v>
      </c>
      <c r="E52" s="15">
        <v>160</v>
      </c>
    </row>
    <row r="54" spans="2:5" x14ac:dyDescent="0.2">
      <c r="B54" s="1" t="s">
        <v>150</v>
      </c>
    </row>
    <row r="56" spans="2:5" x14ac:dyDescent="0.2">
      <c r="B56" s="1" t="s">
        <v>163</v>
      </c>
    </row>
    <row r="57" spans="2:5" x14ac:dyDescent="0.2">
      <c r="B57" s="1" t="s">
        <v>164</v>
      </c>
      <c r="C57" s="3">
        <v>40695</v>
      </c>
      <c r="D57" s="1">
        <v>120</v>
      </c>
    </row>
    <row r="58" spans="2:5" x14ac:dyDescent="0.2">
      <c r="B58" s="1" t="s">
        <v>165</v>
      </c>
      <c r="C58" s="3">
        <f>+EOMONTH(C57,20)</f>
        <v>41333</v>
      </c>
    </row>
    <row r="59" spans="2:5" x14ac:dyDescent="0.2">
      <c r="B59" s="1" t="s">
        <v>166</v>
      </c>
    </row>
    <row r="60" spans="2:5" x14ac:dyDescent="0.2">
      <c r="B60" s="1" t="s">
        <v>167</v>
      </c>
    </row>
    <row r="62" spans="2:5" x14ac:dyDescent="0.2">
      <c r="B62" s="18" t="s">
        <v>296</v>
      </c>
    </row>
    <row r="63" spans="2:5" x14ac:dyDescent="0.2">
      <c r="B63" s="1" t="s">
        <v>170</v>
      </c>
      <c r="E63" s="15">
        <f>+C77</f>
        <v>160</v>
      </c>
    </row>
    <row r="64" spans="2:5" x14ac:dyDescent="0.2">
      <c r="B64" s="1" t="s">
        <v>295</v>
      </c>
      <c r="E64" s="15">
        <v>100</v>
      </c>
    </row>
    <row r="65" spans="2:6" x14ac:dyDescent="0.2">
      <c r="C65" s="1" t="s">
        <v>298</v>
      </c>
      <c r="F65" s="1">
        <f>+C78</f>
        <v>140</v>
      </c>
    </row>
    <row r="66" spans="2:6" x14ac:dyDescent="0.2">
      <c r="C66" s="1" t="s">
        <v>294</v>
      </c>
      <c r="F66" s="1">
        <f>+D57</f>
        <v>120</v>
      </c>
    </row>
    <row r="67" spans="2:6" x14ac:dyDescent="0.2">
      <c r="B67" s="1" t="s">
        <v>299</v>
      </c>
    </row>
    <row r="69" spans="2:6" x14ac:dyDescent="0.2">
      <c r="B69" s="1" t="s">
        <v>151</v>
      </c>
      <c r="C69" s="3">
        <v>41913</v>
      </c>
    </row>
    <row r="70" spans="2:6" x14ac:dyDescent="0.2">
      <c r="B70" s="1" t="s">
        <v>152</v>
      </c>
      <c r="C70" s="15">
        <v>140</v>
      </c>
    </row>
    <row r="71" spans="2:6" x14ac:dyDescent="0.2">
      <c r="B71" s="1" t="s">
        <v>153</v>
      </c>
      <c r="C71" s="15">
        <v>20</v>
      </c>
    </row>
    <row r="72" spans="2:6" x14ac:dyDescent="0.2">
      <c r="B72" s="1" t="s">
        <v>154</v>
      </c>
      <c r="C72" s="1">
        <v>8.5</v>
      </c>
      <c r="D72" s="1" t="s">
        <v>155</v>
      </c>
    </row>
    <row r="73" spans="2:6" x14ac:dyDescent="0.2">
      <c r="B73" s="1" t="s">
        <v>156</v>
      </c>
      <c r="C73" s="1">
        <f>5*4</f>
        <v>20</v>
      </c>
      <c r="D73" s="1" t="s">
        <v>157</v>
      </c>
    </row>
    <row r="74" spans="2:6" x14ac:dyDescent="0.2">
      <c r="B74" s="1" t="s">
        <v>158</v>
      </c>
      <c r="C74" s="16">
        <v>1.9E-2</v>
      </c>
      <c r="D74" s="1" t="s">
        <v>155</v>
      </c>
    </row>
    <row r="75" spans="2:6" x14ac:dyDescent="0.2">
      <c r="B75" s="1" t="s">
        <v>159</v>
      </c>
    </row>
    <row r="77" spans="2:6" x14ac:dyDescent="0.2">
      <c r="B77" s="1" t="s">
        <v>171</v>
      </c>
      <c r="C77" s="15">
        <f>+C70+C71</f>
        <v>160</v>
      </c>
    </row>
    <row r="78" spans="2:6" x14ac:dyDescent="0.2">
      <c r="B78" s="1" t="s">
        <v>297</v>
      </c>
      <c r="C78" s="1">
        <v>140</v>
      </c>
    </row>
    <row r="80" spans="2:6" x14ac:dyDescent="0.2">
      <c r="B80" s="1" t="s">
        <v>300</v>
      </c>
      <c r="E80" s="1">
        <v>17</v>
      </c>
    </row>
    <row r="81" spans="2:6" x14ac:dyDescent="0.2">
      <c r="B81" s="1" t="s">
        <v>302</v>
      </c>
      <c r="E81" s="15">
        <f>SUM(E89:E90)</f>
        <v>4.8829715</v>
      </c>
    </row>
    <row r="82" spans="2:6" ht="12.75" thickBot="1" x14ac:dyDescent="0.25">
      <c r="B82" s="1" t="s">
        <v>301</v>
      </c>
      <c r="E82" s="17">
        <f>+E80-E81</f>
        <v>12.1170285</v>
      </c>
    </row>
    <row r="83" spans="2:6" ht="12.75" thickTop="1" x14ac:dyDescent="0.2"/>
    <row r="84" spans="2:6" x14ac:dyDescent="0.2">
      <c r="C84" s="1" t="s">
        <v>168</v>
      </c>
      <c r="F84" s="15">
        <f>+E82</f>
        <v>12.1170285</v>
      </c>
    </row>
    <row r="85" spans="2:6" x14ac:dyDescent="0.2">
      <c r="B85" s="1" t="s">
        <v>169</v>
      </c>
      <c r="E85" s="15">
        <f>+E82</f>
        <v>12.1170285</v>
      </c>
    </row>
    <row r="86" spans="2:6" x14ac:dyDescent="0.2">
      <c r="B86" s="1" t="s">
        <v>303</v>
      </c>
    </row>
    <row r="88" spans="2:6" x14ac:dyDescent="0.2">
      <c r="C88" s="1" t="s">
        <v>160</v>
      </c>
      <c r="D88" s="1" t="s">
        <v>154</v>
      </c>
      <c r="E88" s="1" t="s">
        <v>161</v>
      </c>
      <c r="F88" s="1" t="s">
        <v>162</v>
      </c>
    </row>
    <row r="89" spans="2:6" x14ac:dyDescent="0.2">
      <c r="B89" s="3">
        <v>42004</v>
      </c>
      <c r="C89" s="15">
        <f>+C78</f>
        <v>140</v>
      </c>
      <c r="D89" s="15">
        <f>-+$C$72</f>
        <v>-8.5</v>
      </c>
      <c r="E89" s="15">
        <f>SUM(C89:D89)*$C$74</f>
        <v>2.4984999999999999</v>
      </c>
      <c r="F89" s="15">
        <f>SUM(C89:E89)</f>
        <v>133.99850000000001</v>
      </c>
    </row>
    <row r="90" spans="2:6" ht="12.75" thickBot="1" x14ac:dyDescent="0.25">
      <c r="B90" s="3">
        <f>+EOMONTH(B89,3)</f>
        <v>42094</v>
      </c>
      <c r="C90" s="15">
        <f>+F89</f>
        <v>133.99850000000001</v>
      </c>
      <c r="D90" s="15">
        <f t="shared" ref="D90:D108" si="0">-+$C$72</f>
        <v>-8.5</v>
      </c>
      <c r="E90" s="15">
        <f t="shared" ref="E90:E108" si="1">SUM(C90:D90)*$C$74</f>
        <v>2.3844715000000001</v>
      </c>
      <c r="F90" s="17">
        <f t="shared" ref="F90:F108" si="2">SUM(C90:E90)</f>
        <v>127.88297150000001</v>
      </c>
    </row>
    <row r="91" spans="2:6" ht="12.75" thickTop="1" x14ac:dyDescent="0.2">
      <c r="B91" s="3">
        <f t="shared" ref="B91:B108" si="3">+EOMONTH(B90,3)</f>
        <v>42185</v>
      </c>
      <c r="C91" s="15">
        <f t="shared" ref="C91:C108" si="4">+F90</f>
        <v>127.88297150000001</v>
      </c>
      <c r="D91" s="15">
        <f t="shared" si="0"/>
        <v>-8.5</v>
      </c>
      <c r="E91" s="15">
        <f t="shared" si="1"/>
        <v>2.2682764584999999</v>
      </c>
      <c r="F91" s="15">
        <f t="shared" si="2"/>
        <v>121.65124795850001</v>
      </c>
    </row>
    <row r="92" spans="2:6" x14ac:dyDescent="0.2">
      <c r="B92" s="3">
        <f t="shared" si="3"/>
        <v>42277</v>
      </c>
      <c r="C92" s="15">
        <f t="shared" si="4"/>
        <v>121.65124795850001</v>
      </c>
      <c r="D92" s="15">
        <f t="shared" si="0"/>
        <v>-8.5</v>
      </c>
      <c r="E92" s="15">
        <f t="shared" si="1"/>
        <v>2.1498737112115003</v>
      </c>
      <c r="F92" s="15">
        <f t="shared" si="2"/>
        <v>115.30112166971151</v>
      </c>
    </row>
    <row r="93" spans="2:6" x14ac:dyDescent="0.2">
      <c r="B93" s="3">
        <f t="shared" si="3"/>
        <v>42369</v>
      </c>
      <c r="C93" s="15">
        <f t="shared" si="4"/>
        <v>115.30112166971151</v>
      </c>
      <c r="D93" s="15">
        <f t="shared" si="0"/>
        <v>-8.5</v>
      </c>
      <c r="E93" s="15">
        <f t="shared" si="1"/>
        <v>2.0292213117245184</v>
      </c>
      <c r="F93" s="15">
        <f t="shared" si="2"/>
        <v>108.83034298143602</v>
      </c>
    </row>
    <row r="94" spans="2:6" x14ac:dyDescent="0.2">
      <c r="B94" s="3">
        <f t="shared" si="3"/>
        <v>42460</v>
      </c>
      <c r="C94" s="15">
        <f t="shared" si="4"/>
        <v>108.83034298143602</v>
      </c>
      <c r="D94" s="15">
        <f t="shared" si="0"/>
        <v>-8.5</v>
      </c>
      <c r="E94" s="15">
        <f t="shared" si="1"/>
        <v>1.9062765166472844</v>
      </c>
      <c r="F94" s="15">
        <f t="shared" si="2"/>
        <v>102.2366194980833</v>
      </c>
    </row>
    <row r="95" spans="2:6" x14ac:dyDescent="0.2">
      <c r="B95" s="3">
        <f t="shared" si="3"/>
        <v>42551</v>
      </c>
      <c r="C95" s="15">
        <f t="shared" si="4"/>
        <v>102.2366194980833</v>
      </c>
      <c r="D95" s="15">
        <f t="shared" si="0"/>
        <v>-8.5</v>
      </c>
      <c r="E95" s="15">
        <f t="shared" si="1"/>
        <v>1.7809957704635826</v>
      </c>
      <c r="F95" s="15">
        <f t="shared" si="2"/>
        <v>95.517615268546876</v>
      </c>
    </row>
    <row r="96" spans="2:6" x14ac:dyDescent="0.2">
      <c r="B96" s="3">
        <f t="shared" si="3"/>
        <v>42643</v>
      </c>
      <c r="C96" s="15">
        <f t="shared" si="4"/>
        <v>95.517615268546876</v>
      </c>
      <c r="D96" s="15">
        <f t="shared" si="0"/>
        <v>-8.5</v>
      </c>
      <c r="E96" s="15">
        <f t="shared" si="1"/>
        <v>1.6533346901023906</v>
      </c>
      <c r="F96" s="15">
        <f t="shared" si="2"/>
        <v>88.670949958649274</v>
      </c>
    </row>
    <row r="97" spans="2:6" x14ac:dyDescent="0.2">
      <c r="B97" s="3">
        <f t="shared" si="3"/>
        <v>42735</v>
      </c>
      <c r="C97" s="15">
        <f t="shared" si="4"/>
        <v>88.670949958649274</v>
      </c>
      <c r="D97" s="15">
        <f t="shared" si="0"/>
        <v>-8.5</v>
      </c>
      <c r="E97" s="15">
        <f t="shared" si="1"/>
        <v>1.5232480492143361</v>
      </c>
      <c r="F97" s="15">
        <f t="shared" si="2"/>
        <v>81.694198007863605</v>
      </c>
    </row>
    <row r="98" spans="2:6" x14ac:dyDescent="0.2">
      <c r="B98" s="3">
        <f t="shared" si="3"/>
        <v>42825</v>
      </c>
      <c r="C98" s="15">
        <f t="shared" si="4"/>
        <v>81.694198007863605</v>
      </c>
      <c r="D98" s="15">
        <f t="shared" si="0"/>
        <v>-8.5</v>
      </c>
      <c r="E98" s="15">
        <f t="shared" si="1"/>
        <v>1.3906897621494085</v>
      </c>
      <c r="F98" s="15">
        <f t="shared" si="2"/>
        <v>74.584887770013012</v>
      </c>
    </row>
    <row r="99" spans="2:6" x14ac:dyDescent="0.2">
      <c r="B99" s="3">
        <f t="shared" si="3"/>
        <v>42916</v>
      </c>
      <c r="C99" s="15">
        <f t="shared" si="4"/>
        <v>74.584887770013012</v>
      </c>
      <c r="D99" s="15">
        <f t="shared" si="0"/>
        <v>-8.5</v>
      </c>
      <c r="E99" s="15">
        <f t="shared" si="1"/>
        <v>1.2556128676302472</v>
      </c>
      <c r="F99" s="15">
        <f t="shared" si="2"/>
        <v>67.34050063764326</v>
      </c>
    </row>
    <row r="100" spans="2:6" x14ac:dyDescent="0.2">
      <c r="B100" s="3">
        <f t="shared" si="3"/>
        <v>43008</v>
      </c>
      <c r="C100" s="15">
        <f t="shared" si="4"/>
        <v>67.34050063764326</v>
      </c>
      <c r="D100" s="15">
        <f t="shared" si="0"/>
        <v>-8.5</v>
      </c>
      <c r="E100" s="15">
        <f t="shared" si="1"/>
        <v>1.117969512115222</v>
      </c>
      <c r="F100" s="15">
        <f t="shared" si="2"/>
        <v>59.958470149758483</v>
      </c>
    </row>
    <row r="101" spans="2:6" x14ac:dyDescent="0.2">
      <c r="B101" s="3">
        <f t="shared" si="3"/>
        <v>43100</v>
      </c>
      <c r="C101" s="15">
        <f t="shared" si="4"/>
        <v>59.958470149758483</v>
      </c>
      <c r="D101" s="15">
        <f t="shared" si="0"/>
        <v>-8.5</v>
      </c>
      <c r="E101" s="15">
        <f t="shared" si="1"/>
        <v>0.97771093284541111</v>
      </c>
      <c r="F101" s="15">
        <f t="shared" si="2"/>
        <v>52.436181082603895</v>
      </c>
    </row>
    <row r="102" spans="2:6" x14ac:dyDescent="0.2">
      <c r="B102" s="3">
        <f t="shared" si="3"/>
        <v>43190</v>
      </c>
      <c r="C102" s="15">
        <f t="shared" si="4"/>
        <v>52.436181082603895</v>
      </c>
      <c r="D102" s="15">
        <f t="shared" si="0"/>
        <v>-8.5</v>
      </c>
      <c r="E102" s="15">
        <f t="shared" si="1"/>
        <v>0.83478744056947396</v>
      </c>
      <c r="F102" s="15">
        <f t="shared" si="2"/>
        <v>44.770968523173366</v>
      </c>
    </row>
    <row r="103" spans="2:6" x14ac:dyDescent="0.2">
      <c r="B103" s="3">
        <f t="shared" si="3"/>
        <v>43281</v>
      </c>
      <c r="C103" s="15">
        <f t="shared" si="4"/>
        <v>44.770968523173366</v>
      </c>
      <c r="D103" s="15">
        <f t="shared" si="0"/>
        <v>-8.5</v>
      </c>
      <c r="E103" s="15">
        <f t="shared" si="1"/>
        <v>0.68914840194029392</v>
      </c>
      <c r="F103" s="15">
        <f t="shared" si="2"/>
        <v>36.96011692511366</v>
      </c>
    </row>
    <row r="104" spans="2:6" x14ac:dyDescent="0.2">
      <c r="B104" s="3">
        <f t="shared" si="3"/>
        <v>43373</v>
      </c>
      <c r="C104" s="15">
        <f t="shared" si="4"/>
        <v>36.96011692511366</v>
      </c>
      <c r="D104" s="15">
        <f t="shared" si="0"/>
        <v>-8.5</v>
      </c>
      <c r="E104" s="15">
        <f t="shared" si="1"/>
        <v>0.54074222157715957</v>
      </c>
      <c r="F104" s="15">
        <f t="shared" si="2"/>
        <v>29.000859146690818</v>
      </c>
    </row>
    <row r="105" spans="2:6" x14ac:dyDescent="0.2">
      <c r="B105" s="3">
        <f t="shared" si="3"/>
        <v>43465</v>
      </c>
      <c r="C105" s="15">
        <f t="shared" si="4"/>
        <v>29.000859146690818</v>
      </c>
      <c r="D105" s="15">
        <f t="shared" si="0"/>
        <v>-8.5</v>
      </c>
      <c r="E105" s="15">
        <f t="shared" si="1"/>
        <v>0.38951632378712553</v>
      </c>
      <c r="F105" s="15">
        <f t="shared" si="2"/>
        <v>20.890375470477942</v>
      </c>
    </row>
    <row r="106" spans="2:6" x14ac:dyDescent="0.2">
      <c r="B106" s="3">
        <f t="shared" si="3"/>
        <v>43555</v>
      </c>
      <c r="C106" s="15">
        <f t="shared" si="4"/>
        <v>20.890375470477942</v>
      </c>
      <c r="D106" s="15">
        <f t="shared" si="0"/>
        <v>-8.5</v>
      </c>
      <c r="E106" s="15">
        <f t="shared" si="1"/>
        <v>0.2354171339390809</v>
      </c>
      <c r="F106" s="15">
        <f t="shared" si="2"/>
        <v>12.625792604417022</v>
      </c>
    </row>
    <row r="107" spans="2:6" x14ac:dyDescent="0.2">
      <c r="B107" s="3">
        <f t="shared" si="3"/>
        <v>43646</v>
      </c>
      <c r="C107" s="15">
        <f t="shared" si="4"/>
        <v>12.625792604417022</v>
      </c>
      <c r="D107" s="15">
        <f t="shared" si="0"/>
        <v>-8.5</v>
      </c>
      <c r="E107" s="15">
        <f t="shared" si="1"/>
        <v>7.8390059483923413E-2</v>
      </c>
      <c r="F107" s="15">
        <f t="shared" si="2"/>
        <v>4.2041826639009452</v>
      </c>
    </row>
    <row r="108" spans="2:6" x14ac:dyDescent="0.2">
      <c r="B108" s="3">
        <f t="shared" si="3"/>
        <v>43738</v>
      </c>
      <c r="C108" s="15">
        <f t="shared" si="4"/>
        <v>4.2041826639009452</v>
      </c>
      <c r="D108" s="15">
        <f t="shared" si="0"/>
        <v>-8.5</v>
      </c>
      <c r="E108" s="15">
        <f t="shared" si="1"/>
        <v>-8.1620529385882046E-2</v>
      </c>
      <c r="F108" s="15">
        <f t="shared" si="2"/>
        <v>-4.3774378654849366</v>
      </c>
    </row>
    <row r="109" spans="2:6" x14ac:dyDescent="0.2">
      <c r="B109" s="3"/>
    </row>
    <row r="110" spans="2:6" x14ac:dyDescent="0.2">
      <c r="B110" s="3"/>
      <c r="C110" s="15">
        <f>+F90</f>
        <v>127.88297150000001</v>
      </c>
    </row>
    <row r="111" spans="2:6" x14ac:dyDescent="0.2">
      <c r="B111" s="3" t="s">
        <v>161</v>
      </c>
      <c r="C111" s="15">
        <f>SUM(D89:E90)</f>
        <v>-12.1170285</v>
      </c>
    </row>
    <row r="112" spans="2:6" x14ac:dyDescent="0.2">
      <c r="B112" s="3"/>
    </row>
    <row r="114" spans="2:6" x14ac:dyDescent="0.2">
      <c r="B114" s="1" t="s">
        <v>172</v>
      </c>
    </row>
    <row r="115" spans="2:6" x14ac:dyDescent="0.2">
      <c r="B115" s="1" t="s">
        <v>171</v>
      </c>
      <c r="D115" s="15">
        <f>+C77</f>
        <v>160</v>
      </c>
      <c r="E115" s="15"/>
      <c r="F115" s="15"/>
    </row>
    <row r="116" spans="2:6" x14ac:dyDescent="0.2">
      <c r="B116" s="1" t="s">
        <v>173</v>
      </c>
      <c r="D116" s="15">
        <v>20</v>
      </c>
      <c r="E116" s="15" t="s">
        <v>174</v>
      </c>
      <c r="F116" s="15"/>
    </row>
    <row r="117" spans="2:6" x14ac:dyDescent="0.2">
      <c r="D117" s="15">
        <f>+D115/D116</f>
        <v>8</v>
      </c>
      <c r="E117" s="15"/>
      <c r="F117" s="15"/>
    </row>
    <row r="118" spans="2:6" x14ac:dyDescent="0.2">
      <c r="B118" s="1" t="s">
        <v>175</v>
      </c>
      <c r="D118" s="15">
        <f>2*D117</f>
        <v>16</v>
      </c>
      <c r="E118" s="15"/>
      <c r="F118" s="15"/>
    </row>
    <row r="119" spans="2:6" x14ac:dyDescent="0.2">
      <c r="B119" s="1" t="s">
        <v>304</v>
      </c>
      <c r="D119" s="15">
        <f>120*0.125</f>
        <v>15</v>
      </c>
      <c r="E119" s="15"/>
      <c r="F119" s="15"/>
    </row>
    <row r="120" spans="2:6" x14ac:dyDescent="0.2">
      <c r="B120" s="1" t="s">
        <v>305</v>
      </c>
      <c r="D120" s="15">
        <f>+D118-D119</f>
        <v>1</v>
      </c>
      <c r="E120" s="15"/>
      <c r="F120" s="15"/>
    </row>
    <row r="121" spans="2:6" x14ac:dyDescent="0.2">
      <c r="D121" s="15"/>
      <c r="E121" s="15"/>
      <c r="F121" s="15"/>
    </row>
    <row r="122" spans="2:6" x14ac:dyDescent="0.2">
      <c r="B122" s="1" t="s">
        <v>306</v>
      </c>
      <c r="D122" s="15"/>
      <c r="E122" s="15">
        <f>+D120</f>
        <v>1</v>
      </c>
      <c r="F122" s="15"/>
    </row>
    <row r="123" spans="2:6" x14ac:dyDescent="0.2">
      <c r="C123" s="1" t="s">
        <v>307</v>
      </c>
      <c r="F123" s="1">
        <f>+E122</f>
        <v>1</v>
      </c>
    </row>
    <row r="124" spans="2:6" x14ac:dyDescent="0.2">
      <c r="B124" s="1" t="s">
        <v>308</v>
      </c>
    </row>
    <row r="127" spans="2:6" x14ac:dyDescent="0.2">
      <c r="B127" s="1" t="s">
        <v>176</v>
      </c>
    </row>
    <row r="129" spans="2:6" x14ac:dyDescent="0.2">
      <c r="B129" s="1" t="s">
        <v>164</v>
      </c>
      <c r="C129" s="3">
        <v>41729</v>
      </c>
      <c r="E129" s="1">
        <v>1755</v>
      </c>
    </row>
    <row r="130" spans="2:6" x14ac:dyDescent="0.2">
      <c r="B130" s="1" t="s">
        <v>139</v>
      </c>
      <c r="C130" s="3">
        <v>41729</v>
      </c>
      <c r="E130" s="1">
        <v>1090</v>
      </c>
    </row>
    <row r="131" spans="2:6" x14ac:dyDescent="0.2">
      <c r="B131" s="1" t="s">
        <v>148</v>
      </c>
      <c r="C131" s="3">
        <v>42094</v>
      </c>
      <c r="E131" s="1">
        <v>250</v>
      </c>
    </row>
    <row r="132" spans="2:6" x14ac:dyDescent="0.2">
      <c r="B132" s="1" t="s">
        <v>177</v>
      </c>
      <c r="C132" s="3">
        <v>45747</v>
      </c>
      <c r="E132" s="1">
        <v>300</v>
      </c>
    </row>
    <row r="135" spans="2:6" x14ac:dyDescent="0.2">
      <c r="B135" s="1" t="s">
        <v>164</v>
      </c>
      <c r="C135" s="3">
        <v>43922</v>
      </c>
      <c r="E135" s="1">
        <v>350</v>
      </c>
    </row>
    <row r="136" spans="2:6" x14ac:dyDescent="0.2">
      <c r="B136" s="1" t="s">
        <v>178</v>
      </c>
      <c r="D136" s="1">
        <f>+E136/12</f>
        <v>7</v>
      </c>
      <c r="E136" s="1">
        <f>7*12</f>
        <v>84</v>
      </c>
      <c r="F136" s="1" t="s">
        <v>174</v>
      </c>
    </row>
    <row r="137" spans="2:6" x14ac:dyDescent="0.2">
      <c r="B137" s="1" t="s">
        <v>149</v>
      </c>
      <c r="E137" s="1">
        <f>12*E135/84</f>
        <v>50</v>
      </c>
    </row>
    <row r="138" spans="2:6" x14ac:dyDescent="0.2">
      <c r="B138" s="1" t="s">
        <v>139</v>
      </c>
      <c r="C138" s="3">
        <v>45383</v>
      </c>
      <c r="D138" s="1">
        <f>4*12</f>
        <v>48</v>
      </c>
      <c r="E138" s="1">
        <f>+D138*E135/E136</f>
        <v>200</v>
      </c>
    </row>
    <row r="139" spans="2:6" x14ac:dyDescent="0.2">
      <c r="B139" s="1" t="s">
        <v>182</v>
      </c>
      <c r="C139" s="3">
        <v>45383</v>
      </c>
      <c r="E139" s="1">
        <f>+E135-E138</f>
        <v>150</v>
      </c>
    </row>
    <row r="140" spans="2:6" x14ac:dyDescent="0.2">
      <c r="B140" s="1" t="s">
        <v>179</v>
      </c>
      <c r="E140" s="1">
        <f>12*10</f>
        <v>120</v>
      </c>
    </row>
    <row r="141" spans="2:6" x14ac:dyDescent="0.2">
      <c r="B141" s="1" t="s">
        <v>180</v>
      </c>
      <c r="E141" s="1">
        <f>+D138</f>
        <v>48</v>
      </c>
    </row>
    <row r="142" spans="2:6" x14ac:dyDescent="0.2">
      <c r="B142" s="1" t="s">
        <v>181</v>
      </c>
      <c r="E142" s="1">
        <f>+E140-E141</f>
        <v>72</v>
      </c>
    </row>
    <row r="143" spans="2:6" x14ac:dyDescent="0.2">
      <c r="B143" s="1" t="s">
        <v>145</v>
      </c>
      <c r="E143" s="6">
        <v>25</v>
      </c>
    </row>
    <row r="145" spans="2:6" x14ac:dyDescent="0.2">
      <c r="B145" s="1" t="s">
        <v>309</v>
      </c>
    </row>
    <row r="146" spans="2:6" x14ac:dyDescent="0.2">
      <c r="B146" s="1" t="s">
        <v>184</v>
      </c>
      <c r="E146" s="6">
        <f>+F147</f>
        <v>25</v>
      </c>
    </row>
    <row r="147" spans="2:6" x14ac:dyDescent="0.2">
      <c r="C147" s="1" t="s">
        <v>183</v>
      </c>
      <c r="F147" s="6">
        <f>+E143</f>
        <v>25</v>
      </c>
    </row>
    <row r="148" spans="2:6" x14ac:dyDescent="0.2">
      <c r="B148" s="1" t="s">
        <v>185</v>
      </c>
    </row>
    <row r="152" spans="2:6" x14ac:dyDescent="0.2">
      <c r="B152" s="18" t="s">
        <v>186</v>
      </c>
    </row>
    <row r="153" spans="2:6" x14ac:dyDescent="0.2">
      <c r="B153" s="1" t="s">
        <v>187</v>
      </c>
      <c r="C153" s="3">
        <v>41729</v>
      </c>
      <c r="E153" s="15">
        <v>-1800</v>
      </c>
    </row>
    <row r="155" spans="2:6" x14ac:dyDescent="0.2">
      <c r="B155" s="1" t="s">
        <v>190</v>
      </c>
    </row>
    <row r="157" spans="2:6" x14ac:dyDescent="0.2">
      <c r="B157" s="18" t="s">
        <v>188</v>
      </c>
    </row>
    <row r="158" spans="2:6" x14ac:dyDescent="0.2">
      <c r="B158" s="1" t="s">
        <v>164</v>
      </c>
      <c r="C158" s="25">
        <v>1.5</v>
      </c>
    </row>
    <row r="159" spans="2:6" x14ac:dyDescent="0.2">
      <c r="C159" s="15">
        <v>20</v>
      </c>
    </row>
    <row r="160" spans="2:6" x14ac:dyDescent="0.2">
      <c r="B160" s="1" t="s">
        <v>164</v>
      </c>
      <c r="C160" s="15">
        <f>+C159*C158</f>
        <v>30</v>
      </c>
    </row>
    <row r="161" spans="2:6" x14ac:dyDescent="0.2">
      <c r="B161" s="1" t="s">
        <v>189</v>
      </c>
      <c r="C161" s="15">
        <v>0.6</v>
      </c>
    </row>
    <row r="162" spans="2:6" x14ac:dyDescent="0.2">
      <c r="B162" s="1" t="s">
        <v>191</v>
      </c>
      <c r="C162" s="15">
        <f>SUM(C160:C161)</f>
        <v>30.6</v>
      </c>
      <c r="D162" s="1" t="s">
        <v>192</v>
      </c>
    </row>
    <row r="164" spans="2:6" x14ac:dyDescent="0.2">
      <c r="B164" s="1" t="s">
        <v>141</v>
      </c>
      <c r="C164" s="3">
        <v>45382</v>
      </c>
      <c r="D164" s="1">
        <f>1.85*C159</f>
        <v>37</v>
      </c>
    </row>
    <row r="165" spans="2:6" x14ac:dyDescent="0.2">
      <c r="B165" s="1" t="s">
        <v>141</v>
      </c>
      <c r="C165" s="3">
        <v>45747</v>
      </c>
      <c r="D165" s="1">
        <f>1.7*C159</f>
        <v>34</v>
      </c>
    </row>
    <row r="167" spans="2:6" x14ac:dyDescent="0.2">
      <c r="B167" s="18" t="s">
        <v>197</v>
      </c>
    </row>
    <row r="168" spans="2:6" x14ac:dyDescent="0.2">
      <c r="C168" s="1">
        <v>60</v>
      </c>
      <c r="D168" s="1" t="s">
        <v>196</v>
      </c>
    </row>
    <row r="169" spans="2:6" x14ac:dyDescent="0.2">
      <c r="C169" s="1">
        <v>0.65</v>
      </c>
    </row>
    <row r="170" spans="2:6" x14ac:dyDescent="0.2">
      <c r="C170" s="1">
        <f>+C168*C169</f>
        <v>39</v>
      </c>
    </row>
    <row r="171" spans="2:6" x14ac:dyDescent="0.2">
      <c r="C171" s="1">
        <v>0.4</v>
      </c>
    </row>
    <row r="172" spans="2:6" x14ac:dyDescent="0.2">
      <c r="C172" s="1">
        <f>+C170*C171</f>
        <v>15.600000000000001</v>
      </c>
    </row>
    <row r="173" spans="2:6" x14ac:dyDescent="0.2">
      <c r="E173" s="1" t="s">
        <v>198</v>
      </c>
    </row>
    <row r="174" spans="2:6" x14ac:dyDescent="0.2">
      <c r="B174" s="1" t="s">
        <v>141</v>
      </c>
      <c r="C174" s="3">
        <v>45382</v>
      </c>
      <c r="D174" s="6">
        <f>0.52*C168</f>
        <v>31.200000000000003</v>
      </c>
      <c r="E174" s="15">
        <f>+D174*0.995</f>
        <v>31.044000000000004</v>
      </c>
      <c r="F174" s="1" t="str">
        <f ca="1">_xlfn.FORMULATEXT(E174)</f>
        <v>=+D174*0.995</v>
      </c>
    </row>
    <row r="175" spans="2:6" x14ac:dyDescent="0.2">
      <c r="B175" s="1" t="s">
        <v>141</v>
      </c>
      <c r="C175" s="3">
        <v>45747</v>
      </c>
      <c r="D175" s="6">
        <f>0.67*C168</f>
        <v>40.200000000000003</v>
      </c>
      <c r="E175" s="15">
        <f>+D175*0.995</f>
        <v>39.999000000000002</v>
      </c>
      <c r="F175" s="1" t="str">
        <f ca="1">_xlfn.FORMULATEXT(E175)</f>
        <v>=+D175*0.995</v>
      </c>
    </row>
    <row r="176" spans="2:6" x14ac:dyDescent="0.2">
      <c r="C176" s="3"/>
    </row>
    <row r="177" spans="2:6" x14ac:dyDescent="0.2">
      <c r="B177" s="18" t="s">
        <v>312</v>
      </c>
    </row>
    <row r="178" spans="2:6" x14ac:dyDescent="0.2">
      <c r="B178" s="1" t="s">
        <v>310</v>
      </c>
      <c r="E178" s="15">
        <f>9-3</f>
        <v>6</v>
      </c>
    </row>
    <row r="179" spans="2:6" x14ac:dyDescent="0.2">
      <c r="C179" s="1" t="s">
        <v>194</v>
      </c>
      <c r="F179" s="15">
        <f>+E178</f>
        <v>6</v>
      </c>
    </row>
    <row r="180" spans="2:6" x14ac:dyDescent="0.2">
      <c r="B180" s="1" t="s">
        <v>311</v>
      </c>
    </row>
    <row r="182" spans="2:6" x14ac:dyDescent="0.2">
      <c r="B182" s="18" t="s">
        <v>201</v>
      </c>
    </row>
    <row r="183" spans="2:6" x14ac:dyDescent="0.2">
      <c r="C183" s="1">
        <v>40</v>
      </c>
      <c r="D183" s="1" t="s">
        <v>200</v>
      </c>
    </row>
    <row r="184" spans="2:6" x14ac:dyDescent="0.2">
      <c r="B184" s="1" t="s">
        <v>202</v>
      </c>
    </row>
    <row r="185" spans="2:6" x14ac:dyDescent="0.2">
      <c r="B185" s="3">
        <v>42035</v>
      </c>
      <c r="C185" s="25">
        <v>2.2000000000000002</v>
      </c>
    </row>
    <row r="186" spans="2:6" x14ac:dyDescent="0.2">
      <c r="B186" s="3"/>
      <c r="C186" s="1">
        <f>+C185*C183</f>
        <v>88</v>
      </c>
    </row>
    <row r="187" spans="2:6" x14ac:dyDescent="0.2">
      <c r="B187" s="3" t="s">
        <v>203</v>
      </c>
      <c r="C187" s="1">
        <v>1</v>
      </c>
    </row>
    <row r="188" spans="2:6" x14ac:dyDescent="0.2">
      <c r="B188" s="3"/>
    </row>
    <row r="189" spans="2:6" x14ac:dyDescent="0.2">
      <c r="B189" s="3">
        <v>42155</v>
      </c>
      <c r="C189" s="1">
        <v>2.15</v>
      </c>
    </row>
    <row r="190" spans="2:6" x14ac:dyDescent="0.2">
      <c r="B190" s="3"/>
      <c r="C190" s="1">
        <f>+C183*C189</f>
        <v>86</v>
      </c>
    </row>
    <row r="191" spans="2:6" x14ac:dyDescent="0.2">
      <c r="B191" s="18" t="s">
        <v>313</v>
      </c>
    </row>
    <row r="192" spans="2:6" x14ac:dyDescent="0.2">
      <c r="B192" s="1" t="s">
        <v>204</v>
      </c>
      <c r="E192" s="1">
        <f>+C187</f>
        <v>1</v>
      </c>
    </row>
    <row r="193" spans="2:6" x14ac:dyDescent="0.2">
      <c r="C193" s="1" t="s">
        <v>205</v>
      </c>
      <c r="F193" s="1">
        <f>+E192</f>
        <v>1</v>
      </c>
    </row>
    <row r="194" spans="2:6" x14ac:dyDescent="0.2">
      <c r="B194" s="1" t="s">
        <v>206</v>
      </c>
    </row>
    <row r="196" spans="2:6" x14ac:dyDescent="0.2">
      <c r="B196" s="1" t="s">
        <v>207</v>
      </c>
      <c r="E196" s="1">
        <v>0.45</v>
      </c>
    </row>
    <row r="197" spans="2:6" x14ac:dyDescent="0.2">
      <c r="C197" s="1" t="s">
        <v>193</v>
      </c>
      <c r="F197" s="1">
        <f>+E196</f>
        <v>0.45</v>
      </c>
    </row>
    <row r="198" spans="2:6" x14ac:dyDescent="0.2">
      <c r="B198" s="1" t="s">
        <v>208</v>
      </c>
    </row>
    <row r="200" spans="2:6" x14ac:dyDescent="0.2">
      <c r="B200" s="1" t="s">
        <v>314</v>
      </c>
      <c r="E200" s="1">
        <f>+F201</f>
        <v>2</v>
      </c>
    </row>
    <row r="201" spans="2:6" x14ac:dyDescent="0.2">
      <c r="C201" s="1" t="s">
        <v>209</v>
      </c>
      <c r="F201" s="1">
        <f>+C186-C190</f>
        <v>2</v>
      </c>
    </row>
    <row r="202" spans="2:6" x14ac:dyDescent="0.2">
      <c r="B202" s="1" t="s">
        <v>315</v>
      </c>
    </row>
    <row r="205" spans="2:6" x14ac:dyDescent="0.2">
      <c r="B205" s="18" t="s">
        <v>210</v>
      </c>
    </row>
    <row r="207" spans="2:6" x14ac:dyDescent="0.2">
      <c r="C207" s="1" t="s">
        <v>195</v>
      </c>
      <c r="D207" s="1" t="s">
        <v>199</v>
      </c>
    </row>
    <row r="208" spans="2:6" x14ac:dyDescent="0.2">
      <c r="B208" s="1" t="s">
        <v>211</v>
      </c>
      <c r="C208" s="19">
        <v>0.05</v>
      </c>
      <c r="D208" s="19">
        <v>0.1</v>
      </c>
    </row>
    <row r="209" spans="2:6" x14ac:dyDescent="0.2">
      <c r="B209" s="1" t="s">
        <v>212</v>
      </c>
      <c r="C209" s="3">
        <v>45752</v>
      </c>
      <c r="D209" s="3">
        <v>45747</v>
      </c>
    </row>
    <row r="210" spans="2:6" x14ac:dyDescent="0.2">
      <c r="B210" s="1" t="s">
        <v>213</v>
      </c>
      <c r="C210" s="3">
        <v>45762</v>
      </c>
      <c r="D210" s="3">
        <v>45792</v>
      </c>
    </row>
    <row r="212" spans="2:6" x14ac:dyDescent="0.2">
      <c r="C212" s="1" t="s">
        <v>214</v>
      </c>
    </row>
    <row r="214" spans="2:6" x14ac:dyDescent="0.2">
      <c r="D214" s="1" t="s">
        <v>215</v>
      </c>
    </row>
    <row r="215" spans="2:6" x14ac:dyDescent="0.2">
      <c r="D215" s="1">
        <f>+D208*C183</f>
        <v>4</v>
      </c>
      <c r="E215" s="1" t="s">
        <v>216</v>
      </c>
    </row>
    <row r="216" spans="2:6" x14ac:dyDescent="0.2">
      <c r="B216" s="1" t="s">
        <v>217</v>
      </c>
    </row>
    <row r="217" spans="2:6" x14ac:dyDescent="0.2">
      <c r="B217" s="1" t="s">
        <v>218</v>
      </c>
    </row>
    <row r="218" spans="2:6" x14ac:dyDescent="0.2">
      <c r="B218" s="1" t="s">
        <v>219</v>
      </c>
    </row>
    <row r="219" spans="2:6" x14ac:dyDescent="0.2">
      <c r="B219" s="1" t="s">
        <v>220</v>
      </c>
    </row>
    <row r="221" spans="2:6" x14ac:dyDescent="0.2">
      <c r="B221" s="1" t="s">
        <v>221</v>
      </c>
      <c r="E221" s="1">
        <f>+D215</f>
        <v>4</v>
      </c>
    </row>
    <row r="222" spans="2:6" x14ac:dyDescent="0.2">
      <c r="C222" s="1" t="s">
        <v>222</v>
      </c>
      <c r="F222" s="1">
        <f>+D215</f>
        <v>4</v>
      </c>
    </row>
    <row r="223" spans="2:6" x14ac:dyDescent="0.2">
      <c r="B223" s="1" t="s">
        <v>223</v>
      </c>
    </row>
    <row r="226" spans="2:6" x14ac:dyDescent="0.2">
      <c r="B226" s="18" t="s">
        <v>224</v>
      </c>
    </row>
    <row r="228" spans="2:6" x14ac:dyDescent="0.2">
      <c r="C228" s="1" t="s">
        <v>225</v>
      </c>
      <c r="D228" s="1" t="s">
        <v>226</v>
      </c>
    </row>
    <row r="229" spans="2:6" x14ac:dyDescent="0.2">
      <c r="B229" s="3">
        <v>42036</v>
      </c>
      <c r="C229" s="15">
        <v>50</v>
      </c>
      <c r="D229" s="15">
        <f>+C229/1.5</f>
        <v>33.333333333333336</v>
      </c>
      <c r="E229" s="15"/>
      <c r="F229" s="15"/>
    </row>
    <row r="230" spans="2:6" x14ac:dyDescent="0.2">
      <c r="B230" s="3">
        <v>42186</v>
      </c>
      <c r="C230" s="15">
        <v>50</v>
      </c>
      <c r="D230" s="15">
        <f>+C230/1.45</f>
        <v>34.482758620689658</v>
      </c>
      <c r="E230" s="15"/>
      <c r="F230" s="15"/>
    </row>
    <row r="231" spans="2:6" x14ac:dyDescent="0.2">
      <c r="B231" s="1" t="s">
        <v>265</v>
      </c>
      <c r="D231" s="15">
        <f>+D230-D229</f>
        <v>1.1494252873563227</v>
      </c>
      <c r="E231" s="15"/>
      <c r="F231" s="15"/>
    </row>
    <row r="232" spans="2:6" x14ac:dyDescent="0.2">
      <c r="D232" s="15"/>
      <c r="E232" s="15"/>
      <c r="F232" s="15"/>
    </row>
    <row r="233" spans="2:6" x14ac:dyDescent="0.2">
      <c r="B233" s="1" t="s">
        <v>316</v>
      </c>
      <c r="D233" s="15"/>
      <c r="E233" s="15">
        <f>+D231</f>
        <v>1.1494252873563227</v>
      </c>
      <c r="F233" s="15"/>
    </row>
    <row r="234" spans="2:6" x14ac:dyDescent="0.2">
      <c r="C234" s="1" t="s">
        <v>266</v>
      </c>
      <c r="D234" s="15"/>
      <c r="E234" s="15"/>
      <c r="F234" s="15">
        <f>+E233</f>
        <v>1.1494252873563227</v>
      </c>
    </row>
    <row r="235" spans="2:6" x14ac:dyDescent="0.2">
      <c r="B235" s="1" t="s">
        <v>227</v>
      </c>
    </row>
    <row r="239" spans="2:6" x14ac:dyDescent="0.2">
      <c r="B239" s="1" t="s">
        <v>228</v>
      </c>
    </row>
    <row r="240" spans="2:6" x14ac:dyDescent="0.2">
      <c r="B240" s="18" t="s">
        <v>229</v>
      </c>
    </row>
    <row r="242" spans="2:6" x14ac:dyDescent="0.2">
      <c r="B242" s="20">
        <v>45382</v>
      </c>
      <c r="C242" s="1" t="s">
        <v>231</v>
      </c>
      <c r="D242" s="1" t="s">
        <v>232</v>
      </c>
    </row>
    <row r="243" spans="2:6" x14ac:dyDescent="0.2">
      <c r="B243" s="1" t="s">
        <v>230</v>
      </c>
      <c r="C243" s="15">
        <v>50000</v>
      </c>
      <c r="D243" s="19">
        <v>0.1</v>
      </c>
      <c r="E243" s="15">
        <f>+C243*D243</f>
        <v>5000</v>
      </c>
    </row>
    <row r="244" spans="2:6" x14ac:dyDescent="0.2">
      <c r="B244" s="1" t="s">
        <v>233</v>
      </c>
      <c r="E244" s="15">
        <v>3750</v>
      </c>
    </row>
    <row r="245" spans="2:6" x14ac:dyDescent="0.2">
      <c r="E245" s="15">
        <f>SUM(E243:E244)</f>
        <v>8750</v>
      </c>
    </row>
    <row r="246" spans="2:6" x14ac:dyDescent="0.2">
      <c r="B246" s="20">
        <v>45504</v>
      </c>
      <c r="E246" s="15"/>
    </row>
    <row r="247" spans="2:6" x14ac:dyDescent="0.2">
      <c r="B247" s="1" t="s">
        <v>234</v>
      </c>
      <c r="E247" s="15"/>
    </row>
    <row r="248" spans="2:6" x14ac:dyDescent="0.2">
      <c r="B248" s="1" t="s">
        <v>230</v>
      </c>
      <c r="E248" s="15">
        <f>+E243</f>
        <v>5000</v>
      </c>
    </row>
    <row r="249" spans="2:6" x14ac:dyDescent="0.2">
      <c r="B249" s="1" t="s">
        <v>235</v>
      </c>
      <c r="C249" s="1">
        <f>+C243/4</f>
        <v>12500</v>
      </c>
      <c r="D249" s="19">
        <f>+D243</f>
        <v>0.1</v>
      </c>
      <c r="E249" s="15">
        <f>+C249*D249</f>
        <v>1250</v>
      </c>
      <c r="F249" s="1" t="s">
        <v>236</v>
      </c>
    </row>
    <row r="250" spans="2:6" x14ac:dyDescent="0.2">
      <c r="B250" s="1" t="s">
        <v>233</v>
      </c>
      <c r="E250" s="15">
        <f>+E244-E249</f>
        <v>2500</v>
      </c>
    </row>
    <row r="251" spans="2:6" x14ac:dyDescent="0.2">
      <c r="E251" s="15">
        <f>SUM(E248:E250)</f>
        <v>8750</v>
      </c>
    </row>
    <row r="252" spans="2:6" x14ac:dyDescent="0.2">
      <c r="E252" s="15"/>
    </row>
    <row r="253" spans="2:6" x14ac:dyDescent="0.2">
      <c r="B253" s="1" t="s">
        <v>237</v>
      </c>
      <c r="E253" s="15">
        <f>+E249</f>
        <v>1250</v>
      </c>
    </row>
    <row r="254" spans="2:6" x14ac:dyDescent="0.2">
      <c r="C254" s="1" t="s">
        <v>236</v>
      </c>
      <c r="F254" s="15">
        <f>+E249</f>
        <v>1250</v>
      </c>
    </row>
    <row r="255" spans="2:6" x14ac:dyDescent="0.2">
      <c r="B255" s="1" t="s">
        <v>238</v>
      </c>
    </row>
    <row r="258" spans="2:6" x14ac:dyDescent="0.2">
      <c r="B258" s="20">
        <v>45535</v>
      </c>
    </row>
    <row r="259" spans="2:6" x14ac:dyDescent="0.2">
      <c r="B259" s="24" t="s">
        <v>239</v>
      </c>
    </row>
    <row r="260" spans="2:6" s="24" customFormat="1" x14ac:dyDescent="0.2"/>
    <row r="261" spans="2:6" s="24" customFormat="1" x14ac:dyDescent="0.2">
      <c r="B261" s="24" t="s">
        <v>317</v>
      </c>
      <c r="D261" s="24">
        <f>500*0.2</f>
        <v>100</v>
      </c>
    </row>
    <row r="262" spans="2:6" s="24" customFormat="1" x14ac:dyDescent="0.2"/>
    <row r="263" spans="2:6" s="24" customFormat="1" x14ac:dyDescent="0.2">
      <c r="B263" s="24" t="s">
        <v>285</v>
      </c>
      <c r="E263" s="24">
        <f>+D261</f>
        <v>100</v>
      </c>
    </row>
    <row r="264" spans="2:6" s="24" customFormat="1" x14ac:dyDescent="0.2">
      <c r="C264" s="24" t="s">
        <v>318</v>
      </c>
      <c r="F264" s="24">
        <f>+E263</f>
        <v>100</v>
      </c>
    </row>
    <row r="265" spans="2:6" s="24" customFormat="1" x14ac:dyDescent="0.2">
      <c r="B265" s="24" t="s">
        <v>319</v>
      </c>
    </row>
    <row r="266" spans="2:6" s="24" customFormat="1" x14ac:dyDescent="0.2"/>
    <row r="267" spans="2:6" s="24" customFormat="1" x14ac:dyDescent="0.2">
      <c r="B267" s="24" t="s">
        <v>320</v>
      </c>
      <c r="D267" s="24">
        <f>500*0.1</f>
        <v>50</v>
      </c>
    </row>
    <row r="268" spans="2:6" s="24" customFormat="1" x14ac:dyDescent="0.2"/>
    <row r="269" spans="2:6" s="24" customFormat="1" x14ac:dyDescent="0.2">
      <c r="B269" s="24" t="s">
        <v>285</v>
      </c>
      <c r="E269" s="24">
        <f>+D267</f>
        <v>50</v>
      </c>
    </row>
    <row r="270" spans="2:6" s="24" customFormat="1" x14ac:dyDescent="0.2">
      <c r="C270" s="24" t="s">
        <v>242</v>
      </c>
      <c r="F270" s="24">
        <f>+E269</f>
        <v>50</v>
      </c>
    </row>
    <row r="271" spans="2:6" s="24" customFormat="1" x14ac:dyDescent="0.2">
      <c r="B271" s="24" t="s">
        <v>321</v>
      </c>
    </row>
    <row r="273" spans="2:4" x14ac:dyDescent="0.2">
      <c r="B273" s="20">
        <v>45716</v>
      </c>
    </row>
    <row r="274" spans="2:4" x14ac:dyDescent="0.2">
      <c r="B274" s="1" t="s">
        <v>243</v>
      </c>
    </row>
    <row r="275" spans="2:4" x14ac:dyDescent="0.2">
      <c r="B275" s="1" t="s">
        <v>244</v>
      </c>
    </row>
    <row r="276" spans="2:4" x14ac:dyDescent="0.2">
      <c r="B276" s="1" t="s">
        <v>245</v>
      </c>
      <c r="C276" s="1">
        <v>0.31</v>
      </c>
    </row>
    <row r="277" spans="2:4" x14ac:dyDescent="0.2">
      <c r="B277" s="1" t="s">
        <v>246</v>
      </c>
      <c r="C277" s="21">
        <v>0.9</v>
      </c>
    </row>
    <row r="279" spans="2:4" x14ac:dyDescent="0.2">
      <c r="B279" s="1" t="s">
        <v>247</v>
      </c>
    </row>
    <row r="280" spans="2:4" x14ac:dyDescent="0.2">
      <c r="B280" s="1" t="s">
        <v>248</v>
      </c>
    </row>
    <row r="281" spans="2:4" x14ac:dyDescent="0.2">
      <c r="B281" s="3">
        <v>45382</v>
      </c>
      <c r="C281" s="15">
        <f>+C243</f>
        <v>50000</v>
      </c>
    </row>
    <row r="282" spans="2:4" x14ac:dyDescent="0.2">
      <c r="B282" s="3">
        <v>45504</v>
      </c>
      <c r="C282" s="1">
        <f>+C249</f>
        <v>12500</v>
      </c>
    </row>
    <row r="283" spans="2:4" x14ac:dyDescent="0.2">
      <c r="B283" s="3">
        <v>45535</v>
      </c>
      <c r="C283" s="1">
        <v>-500</v>
      </c>
    </row>
    <row r="284" spans="2:4" x14ac:dyDescent="0.2">
      <c r="C284" s="15">
        <f>SUM(C281:C283)</f>
        <v>62000</v>
      </c>
    </row>
    <row r="285" spans="2:4" x14ac:dyDescent="0.2">
      <c r="B285" s="1" t="s">
        <v>246</v>
      </c>
      <c r="C285" s="1">
        <f>+C284*0.9</f>
        <v>55800</v>
      </c>
    </row>
    <row r="286" spans="2:4" x14ac:dyDescent="0.2">
      <c r="B286" s="1" t="s">
        <v>249</v>
      </c>
      <c r="C286" s="1">
        <f>+C285/10</f>
        <v>5580</v>
      </c>
      <c r="D286" s="1" t="s">
        <v>250</v>
      </c>
    </row>
    <row r="287" spans="2:4" x14ac:dyDescent="0.2">
      <c r="B287" s="1" t="s">
        <v>232</v>
      </c>
      <c r="C287" s="22">
        <v>0.1</v>
      </c>
    </row>
    <row r="288" spans="2:4" x14ac:dyDescent="0.2">
      <c r="C288" s="15">
        <f>+C286*C287</f>
        <v>558</v>
      </c>
    </row>
    <row r="289" spans="2:6" x14ac:dyDescent="0.2">
      <c r="C289" s="15"/>
    </row>
    <row r="290" spans="2:6" x14ac:dyDescent="0.2">
      <c r="B290" s="1" t="s">
        <v>240</v>
      </c>
      <c r="C290" s="15"/>
      <c r="E290" s="15">
        <f>0.31*C286-C288</f>
        <v>1171.8</v>
      </c>
      <c r="F290" s="15"/>
    </row>
    <row r="291" spans="2:6" x14ac:dyDescent="0.2">
      <c r="C291" s="1" t="s">
        <v>251</v>
      </c>
      <c r="E291" s="15"/>
      <c r="F291" s="15">
        <f>+C286*0.21</f>
        <v>1171.8</v>
      </c>
    </row>
    <row r="292" spans="2:6" x14ac:dyDescent="0.2">
      <c r="B292" s="1" t="s">
        <v>252</v>
      </c>
    </row>
    <row r="295" spans="2:6" x14ac:dyDescent="0.2">
      <c r="B295" s="18" t="s">
        <v>253</v>
      </c>
    </row>
    <row r="296" spans="2:6" x14ac:dyDescent="0.2">
      <c r="B296" s="18"/>
    </row>
    <row r="297" spans="2:6" x14ac:dyDescent="0.2">
      <c r="C297" s="1" t="s">
        <v>256</v>
      </c>
      <c r="D297" s="1" t="s">
        <v>257</v>
      </c>
      <c r="E297" s="1" t="s">
        <v>258</v>
      </c>
    </row>
    <row r="298" spans="2:6" x14ac:dyDescent="0.2">
      <c r="B298" s="1" t="s">
        <v>259</v>
      </c>
      <c r="C298" s="3">
        <v>45382</v>
      </c>
      <c r="D298" s="3">
        <v>45930</v>
      </c>
      <c r="E298" s="3">
        <v>45747</v>
      </c>
    </row>
    <row r="299" spans="2:6" x14ac:dyDescent="0.2">
      <c r="B299" s="1" t="s">
        <v>260</v>
      </c>
      <c r="C299" s="6">
        <v>3825</v>
      </c>
      <c r="D299" s="6"/>
      <c r="E299" s="6">
        <v>1628</v>
      </c>
    </row>
    <row r="300" spans="2:6" x14ac:dyDescent="0.2">
      <c r="B300" s="1" t="s">
        <v>254</v>
      </c>
      <c r="C300" s="3">
        <v>45519</v>
      </c>
      <c r="D300" s="3">
        <v>45641</v>
      </c>
      <c r="E300" s="3">
        <v>45884</v>
      </c>
    </row>
    <row r="301" spans="2:6" x14ac:dyDescent="0.2">
      <c r="B301" s="1" t="s">
        <v>255</v>
      </c>
      <c r="C301" s="3">
        <v>45488</v>
      </c>
      <c r="D301" s="3">
        <v>45611</v>
      </c>
      <c r="E301" s="3">
        <v>45853</v>
      </c>
    </row>
    <row r="302" spans="2:6" x14ac:dyDescent="0.2">
      <c r="B302" s="1" t="s">
        <v>211</v>
      </c>
      <c r="C302" s="22">
        <v>0.03</v>
      </c>
      <c r="D302" s="22">
        <v>0.01</v>
      </c>
      <c r="E302" s="22">
        <v>0.02</v>
      </c>
    </row>
    <row r="303" spans="2:6" x14ac:dyDescent="0.2">
      <c r="C303" s="15">
        <v>50000</v>
      </c>
      <c r="D303" s="15">
        <v>62000</v>
      </c>
      <c r="E303" s="22"/>
    </row>
    <row r="304" spans="2:6" x14ac:dyDescent="0.2">
      <c r="C304" s="1">
        <f>+C302*C303</f>
        <v>1500</v>
      </c>
      <c r="D304" s="1">
        <f>+D302*D303</f>
        <v>620</v>
      </c>
    </row>
    <row r="306" spans="1:6" x14ac:dyDescent="0.2">
      <c r="B306" s="1" t="s">
        <v>261</v>
      </c>
      <c r="E306" s="6">
        <f>+E299</f>
        <v>1628</v>
      </c>
    </row>
    <row r="307" spans="1:6" x14ac:dyDescent="0.2">
      <c r="A307" s="15"/>
      <c r="B307" s="15" t="str">
        <f>+B111</f>
        <v>finance cost</v>
      </c>
      <c r="C307" s="15"/>
      <c r="D307" s="15"/>
      <c r="E307" s="15">
        <f>-+C111</f>
        <v>12.1170285</v>
      </c>
      <c r="F307" s="1" t="s">
        <v>262</v>
      </c>
    </row>
    <row r="308" spans="1:6" x14ac:dyDescent="0.2">
      <c r="A308" s="15"/>
      <c r="B308" s="15" t="str">
        <f>+B122</f>
        <v>dr - SPL depreciation charge</v>
      </c>
      <c r="C308" s="15"/>
      <c r="D308" s="15"/>
      <c r="E308" s="15">
        <f>-+E122</f>
        <v>-1</v>
      </c>
      <c r="F308" s="1" t="s">
        <v>263</v>
      </c>
    </row>
    <row r="309" spans="1:6" x14ac:dyDescent="0.2">
      <c r="A309" s="6"/>
      <c r="B309" s="6" t="str">
        <f>+C147</f>
        <v>cr - SPL depr charge</v>
      </c>
      <c r="C309" s="6"/>
      <c r="D309" s="6"/>
      <c r="E309" s="6">
        <f>+F147</f>
        <v>25</v>
      </c>
      <c r="F309" s="1" t="s">
        <v>262</v>
      </c>
    </row>
    <row r="310" spans="1:6" x14ac:dyDescent="0.2">
      <c r="B310" s="1" t="str">
        <f>+B192</f>
        <v>dr - SPL transactoin costs</v>
      </c>
      <c r="E310" s="1">
        <f>-+E192</f>
        <v>-1</v>
      </c>
      <c r="F310" s="1" t="s">
        <v>263</v>
      </c>
    </row>
    <row r="311" spans="1:6" x14ac:dyDescent="0.2">
      <c r="A311" s="24"/>
      <c r="B311" s="24" t="str">
        <f>+B200</f>
        <v>dr - fair value loss</v>
      </c>
      <c r="C311" s="24"/>
      <c r="D311" s="24"/>
      <c r="E311" s="24">
        <f>-+E200</f>
        <v>-2</v>
      </c>
      <c r="F311" s="1" t="s">
        <v>264</v>
      </c>
    </row>
    <row r="312" spans="1:6" x14ac:dyDescent="0.2">
      <c r="B312" s="1" t="str">
        <f t="shared" ref="A312:D312" si="5">+C222</f>
        <v>cr - SPL dividend income</v>
      </c>
      <c r="E312" s="1">
        <f>+F222</f>
        <v>4</v>
      </c>
      <c r="F312" s="1" t="s">
        <v>262</v>
      </c>
    </row>
    <row r="313" spans="1:6" x14ac:dyDescent="0.2">
      <c r="A313" s="15"/>
      <c r="B313" s="15" t="str">
        <f>+B233</f>
        <v>dr - SPL fair value loss</v>
      </c>
      <c r="C313" s="15"/>
      <c r="D313" s="15"/>
      <c r="E313" s="15">
        <f>-+E233</f>
        <v>-1.1494252873563227</v>
      </c>
      <c r="F313" s="1" t="s">
        <v>263</v>
      </c>
    </row>
    <row r="314" spans="1:6" ht="12.75" thickBot="1" x14ac:dyDescent="0.25">
      <c r="B314" s="1" t="s">
        <v>325</v>
      </c>
      <c r="E314" s="8">
        <f>SUM(E306:E313)</f>
        <v>1663.9676032126438</v>
      </c>
    </row>
    <row r="315" spans="1:6" ht="12.75" thickTop="1" x14ac:dyDescent="0.2"/>
    <row r="316" spans="1:6" x14ac:dyDescent="0.2">
      <c r="B316" s="1" t="s">
        <v>67</v>
      </c>
    </row>
    <row r="318" spans="1:6" x14ac:dyDescent="0.2">
      <c r="B318" s="1" t="s">
        <v>267</v>
      </c>
      <c r="E318" s="15">
        <f>+E314</f>
        <v>1663.9676032126438</v>
      </c>
    </row>
    <row r="319" spans="1:6" x14ac:dyDescent="0.2">
      <c r="B319" s="1" t="s">
        <v>268</v>
      </c>
      <c r="E319" s="15"/>
    </row>
    <row r="320" spans="1:6" x14ac:dyDescent="0.2">
      <c r="B320" s="1" t="s">
        <v>269</v>
      </c>
      <c r="E320" s="23">
        <f>+F27</f>
        <v>-241</v>
      </c>
    </row>
    <row r="321" spans="2:5" x14ac:dyDescent="0.2">
      <c r="B321" s="1" t="s">
        <v>270</v>
      </c>
      <c r="E321" s="23">
        <f>+F179</f>
        <v>6</v>
      </c>
    </row>
    <row r="322" spans="2:5" x14ac:dyDescent="0.2">
      <c r="B322" s="1" t="s">
        <v>271</v>
      </c>
      <c r="E322" s="15">
        <f>SUM(E320:E321)</f>
        <v>-235</v>
      </c>
    </row>
    <row r="323" spans="2:5" x14ac:dyDescent="0.2">
      <c r="B323" s="1" t="s">
        <v>272</v>
      </c>
      <c r="E323" s="15">
        <f>+E318+E322</f>
        <v>1428.9676032126438</v>
      </c>
    </row>
    <row r="327" spans="2:5" x14ac:dyDescent="0.2">
      <c r="B327" s="1" t="s">
        <v>273</v>
      </c>
    </row>
    <row r="328" spans="2:5" x14ac:dyDescent="0.2">
      <c r="B328" s="1" t="s">
        <v>274</v>
      </c>
      <c r="E328" s="23">
        <f>+E243</f>
        <v>5000</v>
      </c>
    </row>
    <row r="329" spans="2:5" x14ac:dyDescent="0.2">
      <c r="B329" s="1" t="s">
        <v>322</v>
      </c>
      <c r="E329" s="23">
        <f>+D25+E25</f>
        <v>1578</v>
      </c>
    </row>
    <row r="330" spans="2:5" x14ac:dyDescent="0.2">
      <c r="B330" s="1" t="s">
        <v>323</v>
      </c>
      <c r="E330" s="23">
        <f>+E249</f>
        <v>1250</v>
      </c>
    </row>
    <row r="331" spans="2:5" x14ac:dyDescent="0.2">
      <c r="B331" s="1" t="s">
        <v>279</v>
      </c>
      <c r="E331" s="24">
        <f>+F270</f>
        <v>50</v>
      </c>
    </row>
    <row r="332" spans="2:5" x14ac:dyDescent="0.2">
      <c r="B332" s="1" t="s">
        <v>280</v>
      </c>
      <c r="E332" s="23">
        <f>+C288</f>
        <v>558</v>
      </c>
    </row>
    <row r="333" spans="2:5" x14ac:dyDescent="0.2">
      <c r="B333" s="1" t="s">
        <v>324</v>
      </c>
      <c r="E333" s="24">
        <f>SUM(C304:D304)</f>
        <v>2120</v>
      </c>
    </row>
    <row r="335" spans="2:5" x14ac:dyDescent="0.2">
      <c r="B335" s="1" t="s">
        <v>273</v>
      </c>
    </row>
    <row r="338" spans="2:8" x14ac:dyDescent="0.2">
      <c r="C338" s="1" t="s">
        <v>230</v>
      </c>
      <c r="D338" s="1" t="s">
        <v>233</v>
      </c>
      <c r="E338" s="1" t="s">
        <v>275</v>
      </c>
      <c r="F338" s="1" t="s">
        <v>260</v>
      </c>
      <c r="G338" s="1" t="s">
        <v>137</v>
      </c>
      <c r="H338" s="1" t="s">
        <v>276</v>
      </c>
    </row>
    <row r="339" spans="2:8" x14ac:dyDescent="0.2">
      <c r="B339" s="3">
        <v>45383</v>
      </c>
      <c r="C339" s="15">
        <v>5000</v>
      </c>
      <c r="D339" s="15">
        <v>3750</v>
      </c>
      <c r="E339" s="15">
        <v>0</v>
      </c>
      <c r="F339" s="15">
        <v>3825</v>
      </c>
      <c r="G339" s="15">
        <v>1576</v>
      </c>
      <c r="H339" s="15">
        <f>SUM(C339:G339)</f>
        <v>14151</v>
      </c>
    </row>
    <row r="340" spans="2:8" x14ac:dyDescent="0.2">
      <c r="B340" s="1" t="s">
        <v>277</v>
      </c>
      <c r="C340" s="15"/>
      <c r="D340" s="15"/>
      <c r="E340" s="15"/>
      <c r="F340" s="15"/>
      <c r="G340" s="15"/>
      <c r="H340" s="15">
        <f t="shared" ref="H340:H346" si="6">SUM(C340:G340)</f>
        <v>0</v>
      </c>
    </row>
    <row r="341" spans="2:8" x14ac:dyDescent="0.2">
      <c r="B341" s="1" t="s">
        <v>278</v>
      </c>
      <c r="C341" s="15">
        <f>+E249</f>
        <v>1250</v>
      </c>
      <c r="D341" s="15">
        <f>-C341</f>
        <v>-1250</v>
      </c>
      <c r="E341" s="15"/>
      <c r="F341" s="15"/>
      <c r="G341" s="15"/>
      <c r="H341" s="15">
        <f t="shared" si="6"/>
        <v>0</v>
      </c>
    </row>
    <row r="342" spans="2:8" s="24" customFormat="1" x14ac:dyDescent="0.2">
      <c r="B342" s="24" t="s">
        <v>279</v>
      </c>
      <c r="C342" s="23">
        <f>-+D267</f>
        <v>-50</v>
      </c>
      <c r="D342" s="23"/>
      <c r="E342" s="23">
        <f>+F270</f>
        <v>50</v>
      </c>
      <c r="F342" s="23">
        <f>-+(E263+E269)</f>
        <v>-150</v>
      </c>
      <c r="G342" s="23"/>
      <c r="H342" s="23">
        <f t="shared" si="6"/>
        <v>-150</v>
      </c>
    </row>
    <row r="343" spans="2:8" x14ac:dyDescent="0.2">
      <c r="B343" s="1" t="s">
        <v>280</v>
      </c>
      <c r="C343" s="15">
        <f>+C288</f>
        <v>558</v>
      </c>
      <c r="D343" s="15">
        <f>+F291</f>
        <v>1171.8</v>
      </c>
      <c r="E343" s="15"/>
      <c r="F343" s="15"/>
      <c r="G343" s="15"/>
      <c r="H343" s="15">
        <f t="shared" si="6"/>
        <v>1729.8</v>
      </c>
    </row>
    <row r="344" spans="2:8" x14ac:dyDescent="0.2">
      <c r="B344" s="1" t="s">
        <v>281</v>
      </c>
      <c r="C344" s="15"/>
      <c r="D344" s="15"/>
      <c r="E344" s="15"/>
      <c r="F344" s="15">
        <f>-E333</f>
        <v>-2120</v>
      </c>
      <c r="G344" s="15"/>
      <c r="H344" s="15">
        <f t="shared" si="6"/>
        <v>-2120</v>
      </c>
    </row>
    <row r="345" spans="2:8" x14ac:dyDescent="0.2">
      <c r="B345" s="1" t="s">
        <v>282</v>
      </c>
      <c r="C345" s="15"/>
      <c r="D345" s="15"/>
      <c r="E345" s="15"/>
      <c r="F345" s="15">
        <f>+E314</f>
        <v>1663.9676032126438</v>
      </c>
      <c r="G345" s="15">
        <f>+E322</f>
        <v>-235</v>
      </c>
      <c r="H345" s="15">
        <f t="shared" si="6"/>
        <v>1428.9676032126438</v>
      </c>
    </row>
    <row r="346" spans="2:8" x14ac:dyDescent="0.2">
      <c r="B346" s="1" t="s">
        <v>283</v>
      </c>
      <c r="C346" s="15"/>
      <c r="D346" s="15"/>
      <c r="E346" s="15"/>
      <c r="F346" s="15">
        <f>+F36</f>
        <v>41</v>
      </c>
      <c r="G346" s="15">
        <f>-F36</f>
        <v>-41</v>
      </c>
      <c r="H346" s="15">
        <f t="shared" si="6"/>
        <v>0</v>
      </c>
    </row>
    <row r="347" spans="2:8" ht="12.75" thickBot="1" x14ac:dyDescent="0.25">
      <c r="B347" s="1" t="s">
        <v>284</v>
      </c>
      <c r="C347" s="17">
        <f t="shared" ref="C347:G347" si="7">SUM(C339:C346)</f>
        <v>6758</v>
      </c>
      <c r="D347" s="17">
        <f t="shared" si="7"/>
        <v>3671.8</v>
      </c>
      <c r="E347" s="17">
        <f t="shared" si="7"/>
        <v>50</v>
      </c>
      <c r="F347" s="17">
        <f t="shared" si="7"/>
        <v>3259.9676032126436</v>
      </c>
      <c r="G347" s="17">
        <f t="shared" si="7"/>
        <v>1300</v>
      </c>
      <c r="H347" s="17">
        <f>SUM(H339:H346)</f>
        <v>15039.767603212644</v>
      </c>
    </row>
    <row r="348" spans="2:8" ht="12.75" thickTop="1" x14ac:dyDescent="0.2"/>
  </sheetData>
  <hyperlinks>
    <hyperlink ref="A1" location="Main!A1" display="Main" xr:uid="{AE70ECC9-A06A-4F28-98D6-8B7AD516970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Module 35</vt:lpstr>
      <vt:lpstr>WSE35.1</vt:lpstr>
      <vt:lpstr>WSE35.2</vt:lpstr>
      <vt:lpstr>WSE35.3</vt:lpstr>
      <vt:lpstr>WSE35.4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2023-05-05T16:42:34Z</dcterms:created>
  <dcterms:modified xsi:type="dcterms:W3CDTF">2023-06-01T12:45:12Z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2023-05-05T16:42:36Z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16d051f2-949d-4ad9-85da-aa18bf42b19d</vt:lpwstr>
  </property>
  <property fmtid="{D5CDD505-2E9C-101B-9397-08002B2CF9AE}" pid="8" name="MSIP_Label_ea60d57e-af5b-4752-ac57-3e4f28ca11dc_ContentBits">
    <vt:lpwstr>0</vt:lpwstr>
  </property>
</Properties>
</file>