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https://ukdeloitte-my.sharepoint.com/personal/bcornish_deloitte_co_uk/Documents/ICAS/TPS/FINREP/Bob's FINREP Class Notes/"/>
    </mc:Choice>
  </mc:AlternateContent>
  <xr:revisionPtr revIDLastSave="12" documentId="13_ncr:1_{AC1504BD-9F58-4338-AE1C-6F0A00E8DF4E}" xr6:coauthVersionLast="47" xr6:coauthVersionMax="47" xr10:uidLastSave="{7B61A793-97EA-42C6-AB76-8014F0137B03}"/>
  <bookViews>
    <workbookView xWindow="1395" yWindow="1410" windowWidth="21600" windowHeight="11385" tabRatio="724" activeTab="1" xr2:uid="{0F730D26-0B02-4D79-9115-73F477E08AB2}"/>
  </bookViews>
  <sheets>
    <sheet name="Main" sheetId="2" r:id="rId1"/>
    <sheet name="Module 23" sheetId="1" r:id="rId2"/>
    <sheet name="WSE23.1" sheetId="7" r:id="rId3"/>
    <sheet name="WSE23.2" sheetId="4" r:id="rId4"/>
    <sheet name="WSE23.3" sheetId="5" r:id="rId5"/>
    <sheet name="WSE23.4" sheetId="10" r:id="rId6"/>
    <sheet name="WSE23.5" sheetId="11" r:id="rId7"/>
    <sheet name="WSE23.6" sheetId="13" r:id="rId8"/>
    <sheet name="WSE23.7" sheetId="15" r:id="rId9"/>
    <sheet name="WSE23.9" sheetId="12"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36" i="15" l="1"/>
  <c r="F35" i="12"/>
  <c r="C22" i="12"/>
  <c r="E53" i="12"/>
  <c r="E54" i="12"/>
  <c r="E52" i="12"/>
  <c r="C30" i="12"/>
  <c r="C29" i="12"/>
  <c r="C44" i="13"/>
  <c r="C46" i="13"/>
  <c r="C45" i="13"/>
  <c r="E52" i="13" s="1"/>
  <c r="C40" i="13"/>
  <c r="C41" i="13"/>
  <c r="C42" i="13"/>
  <c r="C39" i="13"/>
  <c r="C43" i="13" s="1"/>
  <c r="E32" i="13"/>
  <c r="E33" i="13" s="1"/>
  <c r="E34" i="13" s="1"/>
  <c r="E35" i="13" s="1"/>
  <c r="E43" i="11"/>
  <c r="F46" i="11" s="1"/>
  <c r="E42" i="11"/>
  <c r="F47" i="11" s="1"/>
  <c r="D38" i="11"/>
  <c r="F45" i="11" s="1"/>
  <c r="E44" i="11" s="1"/>
  <c r="C22" i="11"/>
  <c r="C19" i="11"/>
  <c r="E29" i="10"/>
  <c r="F30" i="10" s="1"/>
  <c r="C32" i="12" l="1"/>
  <c r="C31" i="12"/>
  <c r="E55" i="12"/>
  <c r="E58" i="12" s="1"/>
  <c r="F59" i="12" s="1"/>
  <c r="C47" i="13"/>
  <c r="C49" i="13" s="1"/>
  <c r="F53" i="13" s="1"/>
  <c r="E51" i="13"/>
  <c r="D15" i="10"/>
  <c r="F18" i="10" s="1"/>
  <c r="E17" i="10" s="1"/>
  <c r="E70" i="15"/>
  <c r="E69" i="15"/>
  <c r="E68" i="15"/>
  <c r="F62" i="15"/>
  <c r="E61" i="15"/>
  <c r="F58" i="15"/>
  <c r="E57" i="15"/>
  <c r="F51" i="15"/>
  <c r="E50" i="15"/>
  <c r="C48" i="15"/>
  <c r="C46" i="15"/>
  <c r="C42" i="15"/>
  <c r="C40" i="15"/>
  <c r="C41" i="15"/>
  <c r="C37" i="15"/>
  <c r="C10" i="15"/>
  <c r="E321" i="1"/>
  <c r="D321" i="1"/>
  <c r="E320" i="1"/>
  <c r="D320" i="1"/>
  <c r="E319" i="1"/>
  <c r="D319" i="1"/>
  <c r="E317" i="1"/>
  <c r="D317" i="1"/>
  <c r="E316" i="1"/>
  <c r="D316" i="1"/>
  <c r="E314" i="1"/>
  <c r="D314" i="1"/>
  <c r="F289" i="1"/>
  <c r="E305" i="1" s="1"/>
  <c r="F306" i="1"/>
  <c r="F282" i="1"/>
  <c r="E300" i="1" s="1"/>
  <c r="F301" i="1" s="1"/>
  <c r="E281" i="1"/>
  <c r="E285" i="1" s="1"/>
  <c r="E282" i="1"/>
  <c r="E283" i="1" s="1"/>
  <c r="E287" i="1" s="1"/>
  <c r="E315" i="1" s="1"/>
  <c r="E289" i="1"/>
  <c r="F307" i="1" s="1"/>
  <c r="E290" i="1"/>
  <c r="D290" i="1"/>
  <c r="F290" i="1" s="1"/>
  <c r="D289" i="1"/>
  <c r="D281" i="1"/>
  <c r="D285" i="1" s="1"/>
  <c r="D282" i="1"/>
  <c r="D262" i="1"/>
  <c r="D264" i="1" s="1"/>
  <c r="E266" i="1" s="1"/>
  <c r="F267" i="1" s="1"/>
  <c r="D226" i="1"/>
  <c r="E226" i="1" s="1"/>
  <c r="D227" i="1"/>
  <c r="E227" i="1" s="1"/>
  <c r="D228" i="1"/>
  <c r="E228" i="1" s="1"/>
  <c r="D225" i="1"/>
  <c r="E225" i="1" s="1"/>
  <c r="E209" i="1"/>
  <c r="E213" i="1" s="1"/>
  <c r="E216" i="1" s="1"/>
  <c r="E197" i="1"/>
  <c r="E196" i="1"/>
  <c r="D193" i="1"/>
  <c r="F49" i="4"/>
  <c r="F50" i="4"/>
  <c r="F48" i="4"/>
  <c r="D49" i="4"/>
  <c r="E49" i="4" s="1"/>
  <c r="D50" i="4"/>
  <c r="E50" i="4" s="1"/>
  <c r="D48" i="4"/>
  <c r="E48" i="4" s="1"/>
  <c r="C28" i="4"/>
  <c r="E30" i="4" s="1"/>
  <c r="C45" i="4"/>
  <c r="G52" i="4" s="1"/>
  <c r="F57" i="4" s="1"/>
  <c r="E41" i="4"/>
  <c r="D40" i="4"/>
  <c r="E40" i="4" s="1"/>
  <c r="C112" i="1"/>
  <c r="C111" i="1"/>
  <c r="F115" i="1" s="1"/>
  <c r="C31" i="5"/>
  <c r="E10" i="5"/>
  <c r="F11" i="5" s="1"/>
  <c r="C21" i="5" s="1"/>
  <c r="D22" i="5" s="1"/>
  <c r="D23" i="5" s="1"/>
  <c r="E25" i="5" s="1"/>
  <c r="F26" i="5" s="1"/>
  <c r="F92" i="1"/>
  <c r="F91" i="1"/>
  <c r="C99" i="1"/>
  <c r="C100" i="1"/>
  <c r="B98" i="1"/>
  <c r="F99" i="1"/>
  <c r="F100" i="1"/>
  <c r="E98" i="1"/>
  <c r="E58" i="1"/>
  <c r="D52" i="1"/>
  <c r="C51" i="1"/>
  <c r="C52" i="1" s="1"/>
  <c r="F60" i="1" s="1"/>
  <c r="D111" i="1"/>
  <c r="H49" i="4"/>
  <c r="H50" i="4"/>
  <c r="H48" i="4"/>
  <c r="D112" i="1"/>
  <c r="E34" i="12" l="1"/>
  <c r="F36" i="12"/>
  <c r="F311" i="1"/>
  <c r="E310" i="1"/>
  <c r="E295" i="1"/>
  <c r="D283" i="1"/>
  <c r="D287" i="1" s="1"/>
  <c r="D291" i="1"/>
  <c r="E291" i="1"/>
  <c r="E198" i="1"/>
  <c r="E200" i="1" s="1"/>
  <c r="E229" i="1"/>
  <c r="E231" i="1" s="1"/>
  <c r="F232" i="1" s="1"/>
  <c r="G48" i="4"/>
  <c r="G50" i="4"/>
  <c r="G49" i="4"/>
  <c r="F31" i="4"/>
  <c r="E42" i="4"/>
  <c r="E114" i="1"/>
  <c r="E117" i="1"/>
  <c r="C125" i="1"/>
  <c r="F93" i="1"/>
  <c r="C30" i="5"/>
  <c r="C32" i="5" s="1"/>
  <c r="E34" i="5" s="1"/>
  <c r="F35" i="5" s="1"/>
  <c r="E59" i="1"/>
  <c r="E65" i="1"/>
  <c r="F66" i="1" s="1"/>
  <c r="D315" i="1" l="1"/>
  <c r="E294" i="1"/>
  <c r="F287" i="1"/>
  <c r="F296" i="1" s="1"/>
  <c r="F201" i="1"/>
  <c r="G51" i="4"/>
  <c r="G53" i="4" s="1"/>
  <c r="E55" i="4" s="1"/>
  <c r="F118" i="1"/>
  <c r="D125" i="1"/>
  <c r="F125" i="1" s="1"/>
  <c r="C126" i="1" s="1"/>
  <c r="E121" i="1"/>
  <c r="E56" i="4" l="1"/>
  <c r="D126" i="1"/>
  <c r="F126" i="1" s="1"/>
  <c r="E128" i="1" s="1"/>
  <c r="F129" i="1" s="1"/>
  <c r="F122" i="1"/>
</calcChain>
</file>

<file path=xl/sharedStrings.xml><?xml version="1.0" encoding="utf-8"?>
<sst xmlns="http://schemas.openxmlformats.org/spreadsheetml/2006/main" count="503" uniqueCount="395">
  <si>
    <t>Main</t>
  </si>
  <si>
    <t>Module 23</t>
  </si>
  <si>
    <t>Enforcable right and obligations between two parties</t>
  </si>
  <si>
    <t>enforeced through law, regs, or past patterns of practice</t>
  </si>
  <si>
    <t>sale of building</t>
  </si>
  <si>
    <t>no experience and no assets or income to actually pull this off.</t>
  </si>
  <si>
    <t>cannot claim further compensation should lebowski default</t>
  </si>
  <si>
    <t>written contract</t>
  </si>
  <si>
    <t>✔</t>
  </si>
  <si>
    <t>payment terms</t>
  </si>
  <si>
    <t>collection probability</t>
  </si>
  <si>
    <t>❌</t>
  </si>
  <si>
    <t>commercial substance</t>
  </si>
  <si>
    <t>identify each parties rights</t>
  </si>
  <si>
    <t>There is not a contract for revenue.  There is not ability to pay.</t>
  </si>
  <si>
    <t>1 criteria fails.  So cannot be considered revenue.</t>
  </si>
  <si>
    <t>Lewbowski could walk away and we have no compensation</t>
  </si>
  <si>
    <t>Activity 1</t>
  </si>
  <si>
    <t>Machinist</t>
  </si>
  <si>
    <t>efficieny bonus</t>
  </si>
  <si>
    <t>cr - rev</t>
  </si>
  <si>
    <t>dr - AR</t>
  </si>
  <si>
    <t>dr - rev</t>
  </si>
  <si>
    <t>cr - AR</t>
  </si>
  <si>
    <t>transaction price</t>
  </si>
  <si>
    <t>bein reassment of revenue transaction price</t>
  </si>
  <si>
    <t>being initial journal to rcognise revnue</t>
  </si>
  <si>
    <t>dr - bank</t>
  </si>
  <si>
    <t>dr - contract asset</t>
  </si>
  <si>
    <t>cr - contract asset</t>
  </si>
  <si>
    <t>transaction date</t>
  </si>
  <si>
    <t>Need a contract asset as this is contingent on something happening in the future.  We need to earn this income through meeting our targets.</t>
  </si>
  <si>
    <t>dr - bank/AR</t>
  </si>
  <si>
    <t>cr - SPL revenue</t>
  </si>
  <si>
    <t>total amount received / due from customer</t>
  </si>
  <si>
    <t>amount expected to be retained</t>
  </si>
  <si>
    <t>amount expected to be refunded</t>
  </si>
  <si>
    <t>cr - refund liability</t>
  </si>
  <si>
    <t>contract for sale</t>
  </si>
  <si>
    <t>price</t>
  </si>
  <si>
    <t>per unit</t>
  </si>
  <si>
    <t xml:space="preserve">if </t>
  </si>
  <si>
    <t>tubs in a year then price is £5</t>
  </si>
  <si>
    <t>cr - SPL rev</t>
  </si>
  <si>
    <t>£'000</t>
  </si>
  <si>
    <t>being revenue recognised for the month ended 31/01/2028</t>
  </si>
  <si>
    <t>k tubs in Jan</t>
  </si>
  <si>
    <t>AR</t>
  </si>
  <si>
    <t>Rev</t>
  </si>
  <si>
    <t>conditional price</t>
  </si>
  <si>
    <t>refund liability</t>
  </si>
  <si>
    <t>recognise the liability as we think they will achive the incentive target.</t>
  </si>
  <si>
    <t>WSE23.2</t>
  </si>
  <si>
    <t>WSE23.3</t>
  </si>
  <si>
    <t>Futureheads Ltd</t>
  </si>
  <si>
    <t>YE</t>
  </si>
  <si>
    <t>sold vehicles to Alms</t>
  </si>
  <si>
    <t xml:space="preserve">alms took delivery </t>
  </si>
  <si>
    <t>invoice</t>
  </si>
  <si>
    <t>original journal</t>
  </si>
  <si>
    <t>Transaction prive will have to be discounted</t>
  </si>
  <si>
    <t>cr - revenue</t>
  </si>
  <si>
    <t>dr SPL - rev</t>
  </si>
  <si>
    <t>reduction in rev &amp; AR</t>
  </si>
  <si>
    <t>cr -AR</t>
  </si>
  <si>
    <t>being correction of transaction price and reduction in AR</t>
  </si>
  <si>
    <t>finance income</t>
  </si>
  <si>
    <t>Dr - AR</t>
  </si>
  <si>
    <t>cr - SPL finance income</t>
  </si>
  <si>
    <t>being finance income for the 6 months ended 31/06/2025</t>
  </si>
  <si>
    <t>The transaction price includes a significant financing component.</t>
  </si>
  <si>
    <t>The transaction price should reflect the cash price on 1 January 20X5 and the consideration is adjusted for the time value of money.</t>
  </si>
  <si>
    <t>Revenue and trade receivables must be decreased to their present value and then finance income is recognised monthly until final receipt, gradually increasing the trade receivable.</t>
  </si>
  <si>
    <t>Lots of credit available for the chat.</t>
  </si>
  <si>
    <t>Templeton textiles ltd</t>
  </si>
  <si>
    <t>determin transaction price at YE</t>
  </si>
  <si>
    <t>Mungo plc</t>
  </si>
  <si>
    <t>contract length</t>
  </si>
  <si>
    <t>months</t>
  </si>
  <si>
    <t>commencement</t>
  </si>
  <si>
    <t>per meter</t>
  </si>
  <si>
    <t>Activity 2</t>
  </si>
  <si>
    <t>sale</t>
  </si>
  <si>
    <t>nothing to pay for two years</t>
  </si>
  <si>
    <t>incremental cost to borrow</t>
  </si>
  <si>
    <t>payment</t>
  </si>
  <si>
    <t>cr - SPL finacne income</t>
  </si>
  <si>
    <t>dr  -Ar</t>
  </si>
  <si>
    <t>open AR</t>
  </si>
  <si>
    <t xml:space="preserve">effective interest </t>
  </si>
  <si>
    <t>nominal receipt</t>
  </si>
  <si>
    <t>Close trade receiveable</t>
  </si>
  <si>
    <t>Dr - bank</t>
  </si>
  <si>
    <t>cr - Ar</t>
  </si>
  <si>
    <t>being receipt from customer on 01/01/2024</t>
  </si>
  <si>
    <t>&lt;&lt;&lt;no interest in 2024 as payment made at the start of the year.</t>
  </si>
  <si>
    <t>&lt;&lt;&lt;may need to pro-rate finance income</t>
  </si>
  <si>
    <t>if Mungo buys</t>
  </si>
  <si>
    <t xml:space="preserve">metres </t>
  </si>
  <si>
    <t>by</t>
  </si>
  <si>
    <t>the rebate</t>
  </si>
  <si>
    <t>sales department are confident the threshold will be met.</t>
  </si>
  <si>
    <t>total expected sale</t>
  </si>
  <si>
    <t>cr - rebate liabiility</t>
  </si>
  <si>
    <t>garment</t>
  </si>
  <si>
    <t>final batch</t>
  </si>
  <si>
    <t>garments</t>
  </si>
  <si>
    <t>delivered</t>
  </si>
  <si>
    <t>p</t>
  </si>
  <si>
    <t>Q</t>
  </si>
  <si>
    <t>EV</t>
  </si>
  <si>
    <t>penalty</t>
  </si>
  <si>
    <t>Decrease in revenue</t>
  </si>
  <si>
    <t>Dr - SPL revenue</t>
  </si>
  <si>
    <t>being correction of transaction price, removal of trade receivable and creation of accrued income</t>
  </si>
  <si>
    <t>being correction of transaction price and creation of refund liability</t>
  </si>
  <si>
    <t>It is expected that a number of items will fail the quality-control checks and the transaction price must be adjusted for penalties to arrive at the expected value.</t>
  </si>
  <si>
    <t>Revenue should not have been recognised at £9.00 per garment and this is not the transaction price unless all goods pass the quality check .</t>
  </si>
  <si>
    <t>The revenue and related trade receivable must be reduced to the expected value.</t>
  </si>
  <si>
    <t>Lots of mark available for chat.</t>
  </si>
  <si>
    <t>Both contracts’ transaction price includes a variable consideration – a rebate for the Mungo contract and penalties for the Flesher contract.</t>
  </si>
  <si>
    <t>As there is no evidence that the variable consideration will be reversed, it must be estimated and included in the transaction price.</t>
  </si>
  <si>
    <t>It is most likely that Mungo will purchase at least 1,000,000m by 30 June 20X3, with forecasted sales expected to be 1,091,000m in total.</t>
  </si>
  <si>
    <t>Templeton are entitled to consideration of £5.00 per metre until the threshold of 1,000,000m has been met and so have correctly raised invoices at this amount.</t>
  </si>
  <si>
    <t>However, the transaction price must only be recorded at £4.50 per metre and a refund liability created for the volume rebate of £0.50 per metre.</t>
  </si>
  <si>
    <t>Revenue must be reduced by £0.50 per metre as it has initially been recorded at £5.00 per metre and a corresponding refund liability created.</t>
  </si>
  <si>
    <t>WSE23.1</t>
  </si>
  <si>
    <t>WSE23.4</t>
  </si>
  <si>
    <t>WSE23.5</t>
  </si>
  <si>
    <t>WSE23.6</t>
  </si>
  <si>
    <t>WSE23.9</t>
  </si>
  <si>
    <t>Clifford plc</t>
  </si>
  <si>
    <t>does a contract exist at YE 31/8/25</t>
  </si>
  <si>
    <t>Boutique hotel</t>
  </si>
  <si>
    <t>Flesher plc</t>
  </si>
  <si>
    <t>Revenue should not have been recognised at £9.00 per garment and this is not the transaction price unless all goods pass the quality check</t>
  </si>
  <si>
    <t>Always include these lines in the answer.  Easy marks!!</t>
  </si>
  <si>
    <t>Activity 4</t>
  </si>
  <si>
    <t>contract price</t>
  </si>
  <si>
    <t>expected costs</t>
  </si>
  <si>
    <t>POC</t>
  </si>
  <si>
    <t>dr  -contract asset / accrued income</t>
  </si>
  <si>
    <t>being POC recognition as at 30/09/2029</t>
  </si>
  <si>
    <t>only recognising the difference</t>
  </si>
  <si>
    <t>Activity 5</t>
  </si>
  <si>
    <t>PA</t>
  </si>
  <si>
    <t>GM</t>
  </si>
  <si>
    <t>S</t>
  </si>
  <si>
    <t>J</t>
  </si>
  <si>
    <t>hours</t>
  </si>
  <si>
    <t>rate £</t>
  </si>
  <si>
    <t>Total</t>
  </si>
  <si>
    <t>acutal</t>
  </si>
  <si>
    <t>being revenue recognised fgor the year ended 31/10/2023</t>
  </si>
  <si>
    <t xml:space="preserve">Step 3 </t>
  </si>
  <si>
    <t>Determine the transaction price</t>
  </si>
  <si>
    <t>Step 4</t>
  </si>
  <si>
    <t>Allocate the transaction price to the performance oblifatoin in th econtract</t>
  </si>
  <si>
    <t>Step 5</t>
  </si>
  <si>
    <t>Recognise revenue when (or as) the entity satisfies a performance obligation</t>
  </si>
  <si>
    <t>no</t>
  </si>
  <si>
    <t>No contract for revenue exists in this situation</t>
  </si>
  <si>
    <t>Surplus goods</t>
  </si>
  <si>
    <t>orally agreed but enacted in principle</t>
  </si>
  <si>
    <t>paid in services</t>
  </si>
  <si>
    <t>a contract for revenue exists here.  Clifford has sold goods for consideration in the form of future services.  Would not be able to recognise revenue untilt the services are performed.</t>
  </si>
  <si>
    <t>Furniture outlet</t>
  </si>
  <si>
    <t>too late for the delivered goods.  Title has passed.  They will have to impair the recoverability of these goods</t>
  </si>
  <si>
    <t xml:space="preserve">the future order should be considered before following through on.  </t>
  </si>
  <si>
    <t>Restaurant chain</t>
  </si>
  <si>
    <t>the fact there is no compensation due when either party cancels suggests this is not a valid contract.</t>
  </si>
  <si>
    <t>Although contracts may be approved verbally, we cannot identify price or payment terms for the goods and services to be transferred as this meeting is yet to be held.</t>
  </si>
  <si>
    <t>No contract for revenue exists at 31 August 20X5.</t>
  </si>
  <si>
    <t>There is oral agreement indicating approval and each party’s right has been established.</t>
  </si>
  <si>
    <t>As the advertising company has agreed to provide services with a value of £40k over a three-month period, the payment terms have been identified.</t>
  </si>
  <si>
    <t>As goods are exchanged for future services, there is commercial substance to this agreement.</t>
  </si>
  <si>
    <t>There is no concern over the performance of services and so a contract for revenue exists at 31 August 20X5.</t>
  </si>
  <si>
    <t>For the goods already delivered, a performance obligation has been satisfied and so a contract for revenue exists at 31 August 20X5 for these items.</t>
  </si>
  <si>
    <t>No contract for revenue exists at 31 August 20X5 for the new order as it is not probable that Clifford will collect the consideration to which it will be entitled.</t>
  </si>
  <si>
    <t>Although many of the criteria for the existence of contract are in place, as the contract may be cancelled by either party without compensation, no contract for revenue exists at 31 August 20X5.</t>
  </si>
  <si>
    <t>did well.  Good sense for when a contract for sale exists.  In exam - copy stock answers from the solvers.</t>
  </si>
  <si>
    <t>transactions price</t>
  </si>
  <si>
    <t>revenue recognised correclty in the year</t>
  </si>
  <si>
    <t>Provision for onerous contract</t>
  </si>
  <si>
    <t>unavoidable futur econtract costs</t>
  </si>
  <si>
    <t>revenue not yet recognised</t>
  </si>
  <si>
    <t>dr - SPL COGS</t>
  </si>
  <si>
    <t>cr - Prov'n for onerous contract</t>
  </si>
  <si>
    <t>being recognition of provsion for onerous contract</t>
  </si>
  <si>
    <t>Activity 6</t>
  </si>
  <si>
    <t>receipts from customer</t>
  </si>
  <si>
    <t>amounts billed to customer in line with contract</t>
  </si>
  <si>
    <t>anticipated future direct costs</t>
  </si>
  <si>
    <t>wastage of materials</t>
  </si>
  <si>
    <t>admin cost incurred</t>
  </si>
  <si>
    <t>Direct materials cost incurred</t>
  </si>
  <si>
    <t>direct labout cost incurred</t>
  </si>
  <si>
    <t>total contract price</t>
  </si>
  <si>
    <t>Contract A</t>
  </si>
  <si>
    <t>Contract B</t>
  </si>
  <si>
    <t>&lt;&lt;&lt;recoverable</t>
  </si>
  <si>
    <t>total anticpiated cost</t>
  </si>
  <si>
    <t>costs incurred</t>
  </si>
  <si>
    <t>invoiced</t>
  </si>
  <si>
    <t>receipts</t>
  </si>
  <si>
    <t>is profitable</t>
  </si>
  <si>
    <t>yes, both profitable.  No onerous contract</t>
  </si>
  <si>
    <t>recognisable revenue</t>
  </si>
  <si>
    <t>dr - contract asset A</t>
  </si>
  <si>
    <t>dr - contract asset B</t>
  </si>
  <si>
    <t>cr - reveneu</t>
  </si>
  <si>
    <t>bein revenue recognised for th eyear ended 31/12/2021</t>
  </si>
  <si>
    <t>Revenue from contracts with customers</t>
  </si>
  <si>
    <t>Cost of sales</t>
  </si>
  <si>
    <t>dr  - COGS</t>
  </si>
  <si>
    <t>being cost incurred for the year ended 31/12/2021</t>
  </si>
  <si>
    <t>Trade revceivables</t>
  </si>
  <si>
    <t>cr - contract asset A</t>
  </si>
  <si>
    <t>cr - contract asset B</t>
  </si>
  <si>
    <t>being amounts billed to customers for the year ended 31/12/2021</t>
  </si>
  <si>
    <t>being receipts from customers</t>
  </si>
  <si>
    <t>revenue recognised</t>
  </si>
  <si>
    <t>non contract balance</t>
  </si>
  <si>
    <t>amounts billed to customers</t>
  </si>
  <si>
    <t>net AR</t>
  </si>
  <si>
    <t>receipts from customers</t>
  </si>
  <si>
    <t>WSE23.7</t>
  </si>
  <si>
    <t>Valois Ltd</t>
  </si>
  <si>
    <t>completion</t>
  </si>
  <si>
    <t>incentive</t>
  </si>
  <si>
    <t>if done before 30th April 2028</t>
  </si>
  <si>
    <t>£</t>
  </si>
  <si>
    <t>if not done before 31/7/28</t>
  </si>
  <si>
    <t>confident the incentive payment will be hit</t>
  </si>
  <si>
    <t>so we will recognise a further 550k of revenue</t>
  </si>
  <si>
    <t>recognise a contract asset for this</t>
  </si>
  <si>
    <t>we are confident it will be met</t>
  </si>
  <si>
    <t>evidenced by the fact we are ahead of schedule</t>
  </si>
  <si>
    <t>contract cost</t>
  </si>
  <si>
    <t>prod o/h</t>
  </si>
  <si>
    <t>other d. cost</t>
  </si>
  <si>
    <t>R&amp;D</t>
  </si>
  <si>
    <t>gen admin</t>
  </si>
  <si>
    <t>Depr</t>
  </si>
  <si>
    <t>pro fees</t>
  </si>
  <si>
    <t>material</t>
  </si>
  <si>
    <t>labour</t>
  </si>
  <si>
    <t>allowable costs</t>
  </si>
  <si>
    <t>unpaid invoice</t>
  </si>
  <si>
    <t>&lt;&lt;in AR</t>
  </si>
  <si>
    <t>figure out the POC on this contract</t>
  </si>
  <si>
    <t>total allowable cost</t>
  </si>
  <si>
    <t>variable</t>
  </si>
  <si>
    <t>fixed</t>
  </si>
  <si>
    <t>&lt;&lt; not specified in contract therefore not recvoerable</t>
  </si>
  <si>
    <t>Profitability</t>
  </si>
  <si>
    <t>total allowable costs</t>
  </si>
  <si>
    <t>estimated profit</t>
  </si>
  <si>
    <t>contract is proftiable therefore no onerous contract.</t>
  </si>
  <si>
    <t>Stage of completion</t>
  </si>
  <si>
    <t>Revenue</t>
  </si>
  <si>
    <t>estimated contract price</t>
  </si>
  <si>
    <t>factor in probable incentive bonues</t>
  </si>
  <si>
    <t>cr - SPL revnue</t>
  </si>
  <si>
    <t>being revenue from contract with customer</t>
  </si>
  <si>
    <t>Cost of sale</t>
  </si>
  <si>
    <t>Cost incurred to date are recorded in cost of sales as they relate to performance obligaitons satisfied during the year</t>
  </si>
  <si>
    <t>cr - contract suspense</t>
  </si>
  <si>
    <t>Trade receivables</t>
  </si>
  <si>
    <t>dr - suspense account</t>
  </si>
  <si>
    <t>being correction to invoice raised</t>
  </si>
  <si>
    <t>Contract balance</t>
  </si>
  <si>
    <t>a contract has become a liablitiy to recognise as the amount invoiced exceeds the revenue earned</t>
  </si>
  <si>
    <t>Revenue from contract with customer</t>
  </si>
  <si>
    <t>invoice raised</t>
  </si>
  <si>
    <t>contract liability</t>
  </si>
  <si>
    <t>dr</t>
  </si>
  <si>
    <t>cr</t>
  </si>
  <si>
    <t>Specialist Supermarkets plc</t>
  </si>
  <si>
    <t>R1</t>
  </si>
  <si>
    <t>Cormac Cleaning</t>
  </si>
  <si>
    <t>product for service consideration</t>
  </si>
  <si>
    <t>Sales price or specialist</t>
  </si>
  <si>
    <t>FV of Cormac services</t>
  </si>
  <si>
    <t>a contract exists here</t>
  </si>
  <si>
    <t>Advise, providing explanations, on whether a contract for revenue exists in each of the agreements in the Appendix and determine the transaction price for the year ended 31 August 20X2.3</t>
  </si>
  <si>
    <t>Iceman refrigeration</t>
  </si>
  <si>
    <t>Dr - admin costs - cleaning</t>
  </si>
  <si>
    <t>cost to Iceman</t>
  </si>
  <si>
    <t>Stand-alone selling price</t>
  </si>
  <si>
    <t>we have effectively bought goods with a view to sell</t>
  </si>
  <si>
    <t>the speculative nature of the inventory is irrelavent</t>
  </si>
  <si>
    <t xml:space="preserve">dr - inventory </t>
  </si>
  <si>
    <t>Green Market Place plc</t>
  </si>
  <si>
    <t>sales</t>
  </si>
  <si>
    <t>as the good are similar and of equal values.  No journal is required.</t>
  </si>
  <si>
    <t>just an update to internal inventory systems</t>
  </si>
  <si>
    <t>no FS line adjustment is required.</t>
  </si>
  <si>
    <t>FV of distirbution services</t>
  </si>
  <si>
    <t>no commercial substance</t>
  </si>
  <si>
    <t>being renveue recorded at the fair value of cleaning services received and corresponding cleaning expense</t>
  </si>
  <si>
    <t>being revenue recorded a the stand-alon price of distributin services performedn and corresponding goods received</t>
  </si>
  <si>
    <t>Harper's Heavy Plant plc</t>
  </si>
  <si>
    <t>contract date</t>
  </si>
  <si>
    <t>sale of 10 dumpers</t>
  </si>
  <si>
    <t>written agreement</t>
  </si>
  <si>
    <t>payment terms - consideration</t>
  </si>
  <si>
    <t>contract signed</t>
  </si>
  <si>
    <t>each</t>
  </si>
  <si>
    <t>Cost of manufacture</t>
  </si>
  <si>
    <t>truck have not been removed from inventories and into COGS</t>
  </si>
  <si>
    <t>Yes, given the above a contract exists.  We have a signed written agreement.  Details of consideration and payment terms.  Both parties are capable of performing the contract</t>
  </si>
  <si>
    <t>despatch</t>
  </si>
  <si>
    <t>POD received</t>
  </si>
  <si>
    <t>Delivery cost</t>
  </si>
  <si>
    <t>dr - cost of sales</t>
  </si>
  <si>
    <t>admin cost</t>
  </si>
  <si>
    <t>cr - admin cost</t>
  </si>
  <si>
    <t>credit terms</t>
  </si>
  <si>
    <t>days</t>
  </si>
  <si>
    <t>no concerns about ability to pay so no BD prov'n required</t>
  </si>
  <si>
    <t>is the price paid even though the list price is 150,000 the price paid is the number to consider</t>
  </si>
  <si>
    <t>dr - COGS</t>
  </si>
  <si>
    <t>trucks will have been held at the lower of cost and NRV - 100,000 each</t>
  </si>
  <si>
    <t>cr - inventory FG</t>
  </si>
  <si>
    <t>being sale of trucks on 60 days credit,  correction of SGA to COGS from admin exp, and movement of inventory to COGS.</t>
  </si>
  <si>
    <t>has commercial substance</t>
  </si>
  <si>
    <t>no concerns over ability to pay</t>
  </si>
  <si>
    <t>good jonb one this one.  Nailed it.  Double check the contract recognition checklist from the noes</t>
  </si>
  <si>
    <t>Bluffington Post Ltd</t>
  </si>
  <si>
    <t>per quarter payable in arrears</t>
  </si>
  <si>
    <t xml:space="preserve"> </t>
  </si>
  <si>
    <t>application approvals</t>
  </si>
  <si>
    <t>total subscibers</t>
  </si>
  <si>
    <t>cash received</t>
  </si>
  <si>
    <t>dr- cash received</t>
  </si>
  <si>
    <t>yes, contract for revenue exists</t>
  </si>
  <si>
    <t>yes - online form with tickbox/e-signature</t>
  </si>
  <si>
    <t>yes - quarterly in arrears.  Quarter end following sign up regardless of sigup on first or last day of the quarter</t>
  </si>
  <si>
    <t>yes - small ticket item £5.99 per year</t>
  </si>
  <si>
    <t>yes</t>
  </si>
  <si>
    <t>R2</t>
  </si>
  <si>
    <t>revenue recognition as at YE</t>
  </si>
  <si>
    <t>all revenue up to 31/12/2027 can be recognised as 100%</t>
  </si>
  <si>
    <t>revenue from 01/01/28 to 28/2/28 needs to be pro-rated to 2 months out of three</t>
  </si>
  <si>
    <t>delta</t>
  </si>
  <si>
    <t>revenue</t>
  </si>
  <si>
    <t>revenue earned</t>
  </si>
  <si>
    <t>dr - subscriptions received</t>
  </si>
  <si>
    <t>yes - sold for cash consideration</t>
  </si>
  <si>
    <t>=100*5.99*2/3</t>
  </si>
  <si>
    <t>=120*5.99*1/2</t>
  </si>
  <si>
    <t>esisinting customers</t>
  </si>
  <si>
    <t>beign correction to subscriptions received and accrued income at year end</t>
  </si>
  <si>
    <t>&lt;&lt;&lt;good job here - on the contract asset - remember to include the existing customers.  A careless mistake.  A good mistake to make.  Got all the other marks</t>
  </si>
  <si>
    <t>Web Heller plc</t>
  </si>
  <si>
    <t>30 days</t>
  </si>
  <si>
    <t>Duck</t>
  </si>
  <si>
    <t>contract agreed</t>
  </si>
  <si>
    <t xml:space="preserve">delivery </t>
  </si>
  <si>
    <t>&lt;&lt;&lt;transaction date</t>
  </si>
  <si>
    <t>payment date</t>
  </si>
  <si>
    <t>payment amount</t>
  </si>
  <si>
    <t>Given payment will be received within one year</t>
  </si>
  <si>
    <t>no finance element is relevant</t>
  </si>
  <si>
    <t>Web should recognise half a year's revnue</t>
  </si>
  <si>
    <t>months to YE</t>
  </si>
  <si>
    <t>YE to payment date</t>
  </si>
  <si>
    <t>Goose</t>
  </si>
  <si>
    <t>Disposal</t>
  </si>
  <si>
    <t>disposal date</t>
  </si>
  <si>
    <t>increase in sale</t>
  </si>
  <si>
    <t>10-24</t>
  </si>
  <si>
    <t>25-49</t>
  </si>
  <si>
    <t>50+</t>
  </si>
  <si>
    <t>prob%</t>
  </si>
  <si>
    <t>no discounting required as payment within 1 year</t>
  </si>
  <si>
    <t>Steps</t>
  </si>
  <si>
    <t>identify the performance obligations in the contract</t>
  </si>
  <si>
    <t>determin transaction price</t>
  </si>
  <si>
    <t>Allocate the transaction price to the performance obligations in the contract</t>
  </si>
  <si>
    <t xml:space="preserve">cash payment </t>
  </si>
  <si>
    <t>finance element</t>
  </si>
  <si>
    <t>cr - finance inceom</t>
  </si>
  <si>
    <t>being stand-alone selling prie recognised on dleivery of the machine and finance icome for the six months to 31/12/2016</t>
  </si>
  <si>
    <t>being variable consideratin due on 30/09/2027</t>
  </si>
  <si>
    <t>Step</t>
  </si>
  <si>
    <t>Identify the performance obligations in the contract</t>
  </si>
  <si>
    <t>Determine transaction price</t>
  </si>
  <si>
    <t>Recognise the revenue (or as) the entity satisfies a performance obligations</t>
  </si>
  <si>
    <t>Step 2 – Identify the performance obligations in the contract</t>
  </si>
  <si>
    <t>Step 3 – Determine transaction price</t>
  </si>
  <si>
    <t>Step 4 – Allocate the transaction price to the performance obligations in the contract</t>
  </si>
  <si>
    <t>Step 5 – Recognise revenue when (or as) the entity satisfies a performance obligation</t>
  </si>
  <si>
    <t>Step 1 - idenitify the contract with a customer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</si>
</sst>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Red]\-&quot;£&quot;#,##0.00"/>
    <numFmt numFmtId="44" formatCode="_-&quot;£&quot;* #,##0.00_-;\-&quot;£&quot;* #,##0.00_-;_-&quot;£&quot;* &quot;-&quot;??_-;_-@_-"/>
    <numFmt numFmtId="164" formatCode="&quot;£&quot;#,##0.00"/>
  </numFmts>
  <fonts count="9" x14ac:knownFonts="1">
    <font>
      <sz val="11"/>
      <color theme="1"/>
      <name val="Calibri"/>
      <family val="2"/>
      <scheme val="minor"/>
    </font>
    <font>
      <b/>
      <sz val="11"/>
      <color theme="1"/>
      <name val="Calibri"/>
      <family val="2"/>
      <scheme val="minor"/>
    </font>
    <font>
      <sz val="9"/>
      <color theme="1"/>
      <name val="Calibri"/>
      <family val="2"/>
      <scheme val="minor"/>
    </font>
    <font>
      <u/>
      <sz val="11"/>
      <color theme="10"/>
      <name val="Calibri"/>
      <family val="2"/>
      <scheme val="minor"/>
    </font>
    <font>
      <i/>
      <sz val="9"/>
      <color theme="1"/>
      <name val="Calibri"/>
      <family val="2"/>
      <scheme val="minor"/>
    </font>
    <font>
      <b/>
      <i/>
      <sz val="11"/>
      <color theme="1"/>
      <name val="Calibri"/>
      <family val="2"/>
      <scheme val="minor"/>
    </font>
    <font>
      <b/>
      <sz val="9"/>
      <color theme="1"/>
      <name val="Calibri"/>
      <family val="2"/>
      <scheme val="minor"/>
    </font>
    <font>
      <strike/>
      <sz val="11"/>
      <color theme="1"/>
      <name val="Calibri"/>
      <family val="2"/>
      <scheme val="minor"/>
    </font>
    <font>
      <strike/>
      <sz val="9"/>
      <color theme="1"/>
      <name val="Calibri"/>
      <family val="2"/>
      <scheme val="minor"/>
    </font>
  </fonts>
  <fills count="3">
    <fill>
      <patternFill patternType="none"/>
    </fill>
    <fill>
      <patternFill patternType="gray125"/>
    </fill>
    <fill>
      <patternFill patternType="solid">
        <fgColor rgb="FF92D050"/>
        <bgColor indexed="64"/>
      </patternFill>
    </fill>
  </fills>
  <borders count="3">
    <border>
      <left/>
      <right/>
      <top/>
      <bottom/>
      <diagonal/>
    </border>
    <border>
      <left/>
      <right/>
      <top style="thin">
        <color indexed="64"/>
      </top>
      <bottom style="double">
        <color indexed="64"/>
      </bottom>
      <diagonal/>
    </border>
    <border>
      <left/>
      <right/>
      <top/>
      <bottom style="thin">
        <color indexed="64"/>
      </bottom>
      <diagonal/>
    </border>
  </borders>
  <cellStyleXfs count="2">
    <xf numFmtId="0" fontId="0" fillId="0" borderId="0"/>
    <xf numFmtId="0" fontId="3" fillId="0" borderId="0" applyNumberFormat="0" applyFill="0" applyBorder="0" applyAlignment="0" applyProtection="0"/>
  </cellStyleXfs>
  <cellXfs count="39">
    <xf numFmtId="0" fontId="0" fillId="0" borderId="0" xfId="0"/>
    <xf numFmtId="0" fontId="0" fillId="0" borderId="0" xfId="0" applyFont="1"/>
    <xf numFmtId="0" fontId="2" fillId="0" borderId="0" xfId="0" applyFont="1"/>
    <xf numFmtId="0" fontId="3" fillId="0" borderId="0" xfId="1"/>
    <xf numFmtId="14" fontId="0" fillId="0" borderId="0" xfId="0" applyNumberFormat="1"/>
    <xf numFmtId="3" fontId="0" fillId="0" borderId="0" xfId="0" applyNumberFormat="1"/>
    <xf numFmtId="3" fontId="1" fillId="0" borderId="0" xfId="0" applyNumberFormat="1" applyFont="1"/>
    <xf numFmtId="14" fontId="0" fillId="0" borderId="0" xfId="0" applyNumberFormat="1" applyFont="1"/>
    <xf numFmtId="0" fontId="0" fillId="0" borderId="1" xfId="0" applyBorder="1"/>
    <xf numFmtId="0" fontId="0" fillId="0" borderId="0" xfId="0" applyBorder="1"/>
    <xf numFmtId="14" fontId="2" fillId="0" borderId="0" xfId="0" applyNumberFormat="1" applyFont="1"/>
    <xf numFmtId="8" fontId="2" fillId="0" borderId="0" xfId="0" applyNumberFormat="1" applyFont="1"/>
    <xf numFmtId="3" fontId="2" fillId="0" borderId="0" xfId="0" applyNumberFormat="1" applyFont="1"/>
    <xf numFmtId="0" fontId="4" fillId="0" borderId="0" xfId="0" applyFont="1"/>
    <xf numFmtId="0" fontId="4" fillId="2" borderId="0" xfId="0" applyFont="1" applyFill="1"/>
    <xf numFmtId="44" fontId="2" fillId="0" borderId="0" xfId="0" applyNumberFormat="1" applyFont="1"/>
    <xf numFmtId="0" fontId="1" fillId="0" borderId="0" xfId="0" applyFont="1"/>
    <xf numFmtId="9" fontId="0" fillId="0" borderId="0" xfId="0" applyNumberFormat="1"/>
    <xf numFmtId="0" fontId="0" fillId="2" borderId="0" xfId="0" applyFill="1"/>
    <xf numFmtId="14" fontId="5" fillId="0" borderId="0" xfId="0" applyNumberFormat="1" applyFont="1"/>
    <xf numFmtId="0" fontId="6" fillId="0" borderId="0" xfId="0" applyFont="1"/>
    <xf numFmtId="164" fontId="2" fillId="0" borderId="0" xfId="0" applyNumberFormat="1" applyFont="1"/>
    <xf numFmtId="3" fontId="2" fillId="0" borderId="1" xfId="0" applyNumberFormat="1" applyFont="1" applyBorder="1"/>
    <xf numFmtId="3" fontId="2" fillId="0" borderId="2" xfId="0" applyNumberFormat="1" applyFont="1" applyBorder="1"/>
    <xf numFmtId="0" fontId="2" fillId="2" borderId="0" xfId="0" applyFont="1" applyFill="1"/>
    <xf numFmtId="10" fontId="0" fillId="0" borderId="0" xfId="0" applyNumberFormat="1"/>
    <xf numFmtId="3" fontId="0" fillId="0" borderId="1" xfId="0" applyNumberFormat="1" applyBorder="1"/>
    <xf numFmtId="3" fontId="0" fillId="0" borderId="0" xfId="0" applyNumberFormat="1" applyBorder="1"/>
    <xf numFmtId="3" fontId="0" fillId="0" borderId="2" xfId="0" applyNumberFormat="1" applyBorder="1"/>
    <xf numFmtId="0" fontId="0" fillId="0" borderId="0" xfId="0" applyAlignment="1">
      <alignment horizontal="right" vertical="center"/>
    </xf>
    <xf numFmtId="0" fontId="7" fillId="0" borderId="0" xfId="0" applyFont="1"/>
    <xf numFmtId="3" fontId="7" fillId="0" borderId="0" xfId="0" applyNumberFormat="1" applyFont="1"/>
    <xf numFmtId="3" fontId="0" fillId="2" borderId="0" xfId="0" applyNumberFormat="1" applyFill="1"/>
    <xf numFmtId="9" fontId="2" fillId="0" borderId="0" xfId="0" applyNumberFormat="1" applyFont="1"/>
    <xf numFmtId="3" fontId="8" fillId="0" borderId="0" xfId="0" applyNumberFormat="1" applyFont="1"/>
    <xf numFmtId="3" fontId="2" fillId="0" borderId="0" xfId="0" applyNumberFormat="1" applyFont="1" applyBorder="1"/>
    <xf numFmtId="0" fontId="2" fillId="0" borderId="0" xfId="0" applyFont="1" applyAlignment="1">
      <alignment horizontal="right"/>
    </xf>
    <xf numFmtId="0" fontId="2" fillId="0" borderId="0" xfId="0" quotePrefix="1" applyFont="1"/>
    <xf numFmtId="17" fontId="2" fillId="0" borderId="0" xfId="0" quotePrefix="1" applyNumberFormat="1"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17</xdr:row>
      <xdr:rowOff>57150</xdr:rowOff>
    </xdr:from>
    <xdr:to>
      <xdr:col>9</xdr:col>
      <xdr:colOff>53115</xdr:colOff>
      <xdr:row>34</xdr:row>
      <xdr:rowOff>550</xdr:rowOff>
    </xdr:to>
    <xdr:pic>
      <xdr:nvPicPr>
        <xdr:cNvPr id="2" name="Picture 1">
          <a:extLst>
            <a:ext uri="{FF2B5EF4-FFF2-40B4-BE49-F238E27FC236}">
              <a16:creationId xmlns:a16="http://schemas.microsoft.com/office/drawing/2014/main" id="{A7ABB019-1AAC-A036-49C4-9681F074667E}"/>
            </a:ext>
          </a:extLst>
        </xdr:cNvPr>
        <xdr:cNvPicPr>
          <a:picLocks noChangeAspect="1"/>
        </xdr:cNvPicPr>
      </xdr:nvPicPr>
      <xdr:blipFill>
        <a:blip xmlns:r="http://schemas.openxmlformats.org/officeDocument/2006/relationships" r:embed="rId1"/>
        <a:stretch>
          <a:fillRect/>
        </a:stretch>
      </xdr:blipFill>
      <xdr:spPr>
        <a:xfrm>
          <a:off x="609600" y="3295650"/>
          <a:ext cx="5520465" cy="3181900"/>
        </a:xfrm>
        <a:prstGeom prst="rect">
          <a:avLst/>
        </a:prstGeom>
      </xdr:spPr>
    </xdr:pic>
    <xdr:clientData/>
  </xdr:twoCellAnchor>
  <xdr:twoCellAnchor editAs="oneCell">
    <xdr:from>
      <xdr:col>1</xdr:col>
      <xdr:colOff>1</xdr:colOff>
      <xdr:row>68</xdr:row>
      <xdr:rowOff>1</xdr:rowOff>
    </xdr:from>
    <xdr:to>
      <xdr:col>8</xdr:col>
      <xdr:colOff>457201</xdr:colOff>
      <xdr:row>76</xdr:row>
      <xdr:rowOff>135561</xdr:rowOff>
    </xdr:to>
    <xdr:pic>
      <xdr:nvPicPr>
        <xdr:cNvPr id="3" name="Picture 2">
          <a:extLst>
            <a:ext uri="{FF2B5EF4-FFF2-40B4-BE49-F238E27FC236}">
              <a16:creationId xmlns:a16="http://schemas.microsoft.com/office/drawing/2014/main" id="{02F638B6-3DA3-B49F-1C48-1CBEF06528FB}"/>
            </a:ext>
          </a:extLst>
        </xdr:cNvPr>
        <xdr:cNvPicPr>
          <a:picLocks noChangeAspect="1"/>
        </xdr:cNvPicPr>
      </xdr:nvPicPr>
      <xdr:blipFill>
        <a:blip xmlns:r="http://schemas.openxmlformats.org/officeDocument/2006/relationships" r:embed="rId2"/>
        <a:stretch>
          <a:fillRect/>
        </a:stretch>
      </xdr:blipFill>
      <xdr:spPr>
        <a:xfrm>
          <a:off x="609601" y="12954001"/>
          <a:ext cx="5314950" cy="1659560"/>
        </a:xfrm>
        <a:prstGeom prst="rect">
          <a:avLst/>
        </a:prstGeom>
      </xdr:spPr>
    </xdr:pic>
    <xdr:clientData/>
  </xdr:twoCellAnchor>
  <xdr:twoCellAnchor editAs="oneCell">
    <xdr:from>
      <xdr:col>1</xdr:col>
      <xdr:colOff>0</xdr:colOff>
      <xdr:row>131</xdr:row>
      <xdr:rowOff>0</xdr:rowOff>
    </xdr:from>
    <xdr:to>
      <xdr:col>11</xdr:col>
      <xdr:colOff>324828</xdr:colOff>
      <xdr:row>166</xdr:row>
      <xdr:rowOff>19983</xdr:rowOff>
    </xdr:to>
    <xdr:pic>
      <xdr:nvPicPr>
        <xdr:cNvPr id="4" name="Picture 3">
          <a:extLst>
            <a:ext uri="{FF2B5EF4-FFF2-40B4-BE49-F238E27FC236}">
              <a16:creationId xmlns:a16="http://schemas.microsoft.com/office/drawing/2014/main" id="{171F375D-4E2A-2E99-FC08-6C470853A34C}"/>
            </a:ext>
          </a:extLst>
        </xdr:cNvPr>
        <xdr:cNvPicPr>
          <a:picLocks noChangeAspect="1"/>
        </xdr:cNvPicPr>
      </xdr:nvPicPr>
      <xdr:blipFill>
        <a:blip xmlns:r="http://schemas.openxmlformats.org/officeDocument/2006/relationships" r:embed="rId3"/>
        <a:stretch>
          <a:fillRect/>
        </a:stretch>
      </xdr:blipFill>
      <xdr:spPr>
        <a:xfrm>
          <a:off x="609600" y="24974550"/>
          <a:ext cx="7011378" cy="6687483"/>
        </a:xfrm>
        <a:prstGeom prst="rect">
          <a:avLst/>
        </a:prstGeom>
      </xdr:spPr>
    </xdr:pic>
    <xdr:clientData/>
  </xdr:twoCellAnchor>
  <xdr:twoCellAnchor editAs="oneCell">
    <xdr:from>
      <xdr:col>1</xdr:col>
      <xdr:colOff>0</xdr:colOff>
      <xdr:row>167</xdr:row>
      <xdr:rowOff>9524</xdr:rowOff>
    </xdr:from>
    <xdr:to>
      <xdr:col>11</xdr:col>
      <xdr:colOff>417637</xdr:colOff>
      <xdr:row>186</xdr:row>
      <xdr:rowOff>190499</xdr:rowOff>
    </xdr:to>
    <xdr:pic>
      <xdr:nvPicPr>
        <xdr:cNvPr id="5" name="Picture 4">
          <a:extLst>
            <a:ext uri="{FF2B5EF4-FFF2-40B4-BE49-F238E27FC236}">
              <a16:creationId xmlns:a16="http://schemas.microsoft.com/office/drawing/2014/main" id="{17E38908-069D-52E6-EFEE-39DA09FF4862}"/>
            </a:ext>
          </a:extLst>
        </xdr:cNvPr>
        <xdr:cNvPicPr>
          <a:picLocks noChangeAspect="1"/>
        </xdr:cNvPicPr>
      </xdr:nvPicPr>
      <xdr:blipFill>
        <a:blip xmlns:r="http://schemas.openxmlformats.org/officeDocument/2006/relationships" r:embed="rId4"/>
        <a:stretch>
          <a:fillRect/>
        </a:stretch>
      </xdr:blipFill>
      <xdr:spPr>
        <a:xfrm>
          <a:off x="609600" y="31842074"/>
          <a:ext cx="7104187" cy="3800475"/>
        </a:xfrm>
        <a:prstGeom prst="rect">
          <a:avLst/>
        </a:prstGeom>
      </xdr:spPr>
    </xdr:pic>
    <xdr:clientData/>
  </xdr:twoCellAnchor>
  <xdr:twoCellAnchor editAs="oneCell">
    <xdr:from>
      <xdr:col>1</xdr:col>
      <xdr:colOff>0</xdr:colOff>
      <xdr:row>234</xdr:row>
      <xdr:rowOff>0</xdr:rowOff>
    </xdr:from>
    <xdr:to>
      <xdr:col>5</xdr:col>
      <xdr:colOff>526676</xdr:colOff>
      <xdr:row>257</xdr:row>
      <xdr:rowOff>63043</xdr:rowOff>
    </xdr:to>
    <xdr:pic>
      <xdr:nvPicPr>
        <xdr:cNvPr id="6" name="Picture 5">
          <a:extLst>
            <a:ext uri="{FF2B5EF4-FFF2-40B4-BE49-F238E27FC236}">
              <a16:creationId xmlns:a16="http://schemas.microsoft.com/office/drawing/2014/main" id="{9319D03C-25D8-F71E-8898-7C50BFB87334}"/>
            </a:ext>
          </a:extLst>
        </xdr:cNvPr>
        <xdr:cNvPicPr>
          <a:picLocks noChangeAspect="1"/>
        </xdr:cNvPicPr>
      </xdr:nvPicPr>
      <xdr:blipFill>
        <a:blip xmlns:r="http://schemas.openxmlformats.org/officeDocument/2006/relationships" r:embed="rId5"/>
        <a:stretch>
          <a:fillRect/>
        </a:stretch>
      </xdr:blipFill>
      <xdr:spPr>
        <a:xfrm>
          <a:off x="605118" y="44644235"/>
          <a:ext cx="3552264" cy="444454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7</xdr:row>
      <xdr:rowOff>0</xdr:rowOff>
    </xdr:from>
    <xdr:to>
      <xdr:col>8</xdr:col>
      <xdr:colOff>34065</xdr:colOff>
      <xdr:row>23</xdr:row>
      <xdr:rowOff>40774</xdr:rowOff>
    </xdr:to>
    <xdr:pic>
      <xdr:nvPicPr>
        <xdr:cNvPr id="2" name="Picture 1">
          <a:extLst>
            <a:ext uri="{FF2B5EF4-FFF2-40B4-BE49-F238E27FC236}">
              <a16:creationId xmlns:a16="http://schemas.microsoft.com/office/drawing/2014/main" id="{C29CF176-6E2E-41B5-AD23-2FD32444E746}"/>
            </a:ext>
          </a:extLst>
        </xdr:cNvPr>
        <xdr:cNvPicPr>
          <a:picLocks noChangeAspect="1"/>
        </xdr:cNvPicPr>
      </xdr:nvPicPr>
      <xdr:blipFill>
        <a:blip xmlns:r="http://schemas.openxmlformats.org/officeDocument/2006/relationships" r:embed="rId1"/>
        <a:stretch>
          <a:fillRect/>
        </a:stretch>
      </xdr:blipFill>
      <xdr:spPr>
        <a:xfrm>
          <a:off x="609600" y="1104900"/>
          <a:ext cx="4301265" cy="247917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5F0004-2B25-41F4-8841-DC5251B91AEC}">
  <dimension ref="A1:C9"/>
  <sheetViews>
    <sheetView workbookViewId="0">
      <selection activeCell="G11" sqref="G11"/>
    </sheetView>
  </sheetViews>
  <sheetFormatPr defaultRowHeight="12" x14ac:dyDescent="0.2"/>
  <cols>
    <col min="1" max="16384" width="9.140625" style="2"/>
  </cols>
  <sheetData>
    <row r="1" spans="1:3" ht="15" x14ac:dyDescent="0.25">
      <c r="A1" s="3"/>
    </row>
    <row r="2" spans="1:3" ht="15" x14ac:dyDescent="0.25">
      <c r="B2" s="3" t="s">
        <v>1</v>
      </c>
      <c r="C2" s="3" t="s">
        <v>126</v>
      </c>
    </row>
    <row r="3" spans="1:3" ht="15" x14ac:dyDescent="0.25">
      <c r="C3" s="3" t="s">
        <v>52</v>
      </c>
    </row>
    <row r="4" spans="1:3" ht="15" x14ac:dyDescent="0.25">
      <c r="C4" s="3" t="s">
        <v>53</v>
      </c>
    </row>
    <row r="5" spans="1:3" ht="15" x14ac:dyDescent="0.25">
      <c r="C5" s="3" t="s">
        <v>127</v>
      </c>
    </row>
    <row r="6" spans="1:3" ht="15" x14ac:dyDescent="0.25">
      <c r="C6" s="3" t="s">
        <v>128</v>
      </c>
    </row>
    <row r="7" spans="1:3" ht="15" x14ac:dyDescent="0.25">
      <c r="C7" s="3" t="s">
        <v>129</v>
      </c>
    </row>
    <row r="8" spans="1:3" ht="15" x14ac:dyDescent="0.25">
      <c r="C8" s="3" t="s">
        <v>226</v>
      </c>
    </row>
    <row r="9" spans="1:3" ht="15" x14ac:dyDescent="0.25">
      <c r="C9" s="3" t="s">
        <v>130</v>
      </c>
    </row>
  </sheetData>
  <hyperlinks>
    <hyperlink ref="C3" location="WSE23.2!A1" display="WSE23.2" xr:uid="{B005D399-8F95-40AD-9FF0-DE86C3EBD9BA}"/>
    <hyperlink ref="C4" location="WSE23.3!A1" display="WSE23.3" xr:uid="{9B9B45DB-1B70-4DFE-8871-4A44B43B7B12}"/>
    <hyperlink ref="C2" location="WSE23.1!A1" display="WSE23.1" xr:uid="{73EA28B2-E706-48ED-A6BB-96C904E85665}"/>
    <hyperlink ref="C5" location="WSE23.4!A1" display="WSE23.4" xr:uid="{9A4A6586-68CE-4E66-99A4-66987E3B7ACB}"/>
    <hyperlink ref="C6" location="WSE23.5!A1" display="WSE23.5" xr:uid="{691469A5-E78B-4AD5-97AE-BA0BA4B1CA67}"/>
    <hyperlink ref="C7" location="WSE23.6!A1" display="WSE23.6" xr:uid="{26FCB94E-3CE9-4850-B395-B19F2FDA7B72}"/>
    <hyperlink ref="C9" location="WSE23.9!A1" display="WSE23.9" xr:uid="{3D645BBE-9329-423A-857F-14935B7F3131}"/>
    <hyperlink ref="C8" location="WSE23.7!A1" display="WSE23.7" xr:uid="{FEDD51D1-2009-4475-946E-20F5F35C62C5}"/>
    <hyperlink ref="B2" location="'Module 23'!A1" display="Module 23" xr:uid="{068E87BA-3B05-4090-96F0-49674CDFE461}"/>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CF4491-B1C0-440B-B648-52FEAEA63DA4}">
  <dimension ref="A1:F60"/>
  <sheetViews>
    <sheetView zoomScale="175" zoomScaleNormal="175" workbookViewId="0">
      <selection activeCell="C31" sqref="C31"/>
    </sheetView>
  </sheetViews>
  <sheetFormatPr defaultRowHeight="12" x14ac:dyDescent="0.2"/>
  <cols>
    <col min="1" max="16384" width="9.140625" style="2"/>
  </cols>
  <sheetData>
    <row r="1" spans="1:3" ht="15" x14ac:dyDescent="0.25">
      <c r="A1" s="3" t="s">
        <v>0</v>
      </c>
    </row>
    <row r="3" spans="1:3" x14ac:dyDescent="0.2">
      <c r="B3" s="2" t="s">
        <v>355</v>
      </c>
    </row>
    <row r="4" spans="1:3" x14ac:dyDescent="0.2">
      <c r="B4" s="2" t="s">
        <v>55</v>
      </c>
      <c r="C4" s="10">
        <v>46387</v>
      </c>
    </row>
    <row r="6" spans="1:3" x14ac:dyDescent="0.2">
      <c r="B6" s="2" t="s">
        <v>318</v>
      </c>
      <c r="C6" s="2" t="s">
        <v>356</v>
      </c>
    </row>
    <row r="8" spans="1:3" x14ac:dyDescent="0.2">
      <c r="B8" s="2" t="s">
        <v>357</v>
      </c>
    </row>
    <row r="9" spans="1:3" x14ac:dyDescent="0.2">
      <c r="B9" s="2" t="s">
        <v>377</v>
      </c>
    </row>
    <row r="10" spans="1:3" x14ac:dyDescent="0.2">
      <c r="B10" s="2">
        <v>1</v>
      </c>
      <c r="C10" s="2" t="s">
        <v>378</v>
      </c>
    </row>
    <row r="11" spans="1:3" x14ac:dyDescent="0.2">
      <c r="B11" s="2">
        <v>2</v>
      </c>
      <c r="C11" s="2" t="s">
        <v>379</v>
      </c>
    </row>
    <row r="12" spans="1:3" x14ac:dyDescent="0.2">
      <c r="B12" s="2">
        <v>3</v>
      </c>
      <c r="C12" s="2" t="s">
        <v>380</v>
      </c>
    </row>
    <row r="13" spans="1:3" x14ac:dyDescent="0.2">
      <c r="B13" s="2">
        <v>4</v>
      </c>
    </row>
    <row r="14" spans="1:3" x14ac:dyDescent="0.2">
      <c r="B14" s="2">
        <v>5</v>
      </c>
      <c r="C14" s="2" t="s">
        <v>389</v>
      </c>
    </row>
    <row r="16" spans="1:3" x14ac:dyDescent="0.2">
      <c r="B16" s="2" t="s">
        <v>358</v>
      </c>
      <c r="C16" s="10">
        <v>46174</v>
      </c>
    </row>
    <row r="17" spans="2:4" x14ac:dyDescent="0.2">
      <c r="B17" s="2" t="s">
        <v>359</v>
      </c>
      <c r="C17" s="10">
        <v>46204</v>
      </c>
      <c r="D17" s="2" t="s">
        <v>360</v>
      </c>
    </row>
    <row r="19" spans="2:4" x14ac:dyDescent="0.2">
      <c r="B19" s="2" t="s">
        <v>361</v>
      </c>
      <c r="C19" s="10">
        <v>46568</v>
      </c>
    </row>
    <row r="20" spans="2:4" x14ac:dyDescent="0.2">
      <c r="B20" s="2" t="s">
        <v>362</v>
      </c>
      <c r="C20" s="12">
        <v>161000</v>
      </c>
    </row>
    <row r="21" spans="2:4" x14ac:dyDescent="0.2">
      <c r="B21" s="2" t="s">
        <v>381</v>
      </c>
      <c r="C21" s="12">
        <v>145000</v>
      </c>
    </row>
    <row r="22" spans="2:4" x14ac:dyDescent="0.2">
      <c r="B22" s="2" t="s">
        <v>382</v>
      </c>
      <c r="C22" s="12">
        <f>+C20-C21</f>
        <v>16000</v>
      </c>
    </row>
    <row r="23" spans="2:4" x14ac:dyDescent="0.2">
      <c r="C23" s="12"/>
    </row>
    <row r="24" spans="2:4" x14ac:dyDescent="0.2">
      <c r="B24" s="2" t="s">
        <v>363</v>
      </c>
    </row>
    <row r="25" spans="2:4" x14ac:dyDescent="0.2">
      <c r="B25" s="2" t="s">
        <v>364</v>
      </c>
    </row>
    <row r="27" spans="2:4" x14ac:dyDescent="0.2">
      <c r="B27" s="2" t="s">
        <v>365</v>
      </c>
    </row>
    <row r="29" spans="2:4" x14ac:dyDescent="0.2">
      <c r="B29" s="2" t="s">
        <v>366</v>
      </c>
      <c r="C29" s="12">
        <f>YEARFRAC(C17,C4)*12</f>
        <v>6</v>
      </c>
    </row>
    <row r="30" spans="2:4" x14ac:dyDescent="0.2">
      <c r="B30" s="2" t="s">
        <v>367</v>
      </c>
      <c r="C30" s="12">
        <f>YEARFRAC(C4,C19)*12</f>
        <v>6</v>
      </c>
    </row>
    <row r="31" spans="2:4" x14ac:dyDescent="0.2">
      <c r="C31" s="12">
        <f>+$C$22*C29/12</f>
        <v>8000</v>
      </c>
    </row>
    <row r="32" spans="2:4" x14ac:dyDescent="0.2">
      <c r="C32" s="12">
        <f>+$C$22*C30/12</f>
        <v>8000</v>
      </c>
    </row>
    <row r="33" spans="2:6" x14ac:dyDescent="0.2">
      <c r="C33" s="12"/>
    </row>
    <row r="34" spans="2:6" x14ac:dyDescent="0.2">
      <c r="B34" s="2" t="s">
        <v>21</v>
      </c>
      <c r="E34" s="12">
        <f>+C21+C31</f>
        <v>153000</v>
      </c>
    </row>
    <row r="35" spans="2:6" x14ac:dyDescent="0.2">
      <c r="C35" s="2" t="s">
        <v>210</v>
      </c>
      <c r="F35" s="12">
        <f>+C21</f>
        <v>145000</v>
      </c>
    </row>
    <row r="36" spans="2:6" x14ac:dyDescent="0.2">
      <c r="C36" s="2" t="s">
        <v>383</v>
      </c>
      <c r="F36" s="12">
        <f>+C31</f>
        <v>8000</v>
      </c>
    </row>
    <row r="37" spans="2:6" x14ac:dyDescent="0.2">
      <c r="B37" s="2" t="s">
        <v>384</v>
      </c>
    </row>
    <row r="40" spans="2:6" x14ac:dyDescent="0.2">
      <c r="B40" s="2" t="s">
        <v>368</v>
      </c>
    </row>
    <row r="41" spans="2:6" x14ac:dyDescent="0.2">
      <c r="B41" s="2" t="s">
        <v>386</v>
      </c>
    </row>
    <row r="42" spans="2:6" x14ac:dyDescent="0.2">
      <c r="B42" s="2">
        <v>2</v>
      </c>
      <c r="C42" s="2" t="s">
        <v>387</v>
      </c>
    </row>
    <row r="43" spans="2:6" x14ac:dyDescent="0.2">
      <c r="B43" s="2">
        <v>3</v>
      </c>
      <c r="C43" s="2" t="s">
        <v>388</v>
      </c>
    </row>
    <row r="44" spans="2:6" x14ac:dyDescent="0.2">
      <c r="B44" s="2">
        <v>4</v>
      </c>
      <c r="C44" s="2" t="s">
        <v>380</v>
      </c>
    </row>
    <row r="45" spans="2:6" x14ac:dyDescent="0.2">
      <c r="B45" s="2">
        <v>5</v>
      </c>
      <c r="C45" s="2" t="s">
        <v>389</v>
      </c>
    </row>
    <row r="47" spans="2:6" x14ac:dyDescent="0.2">
      <c r="B47" s="2" t="s">
        <v>369</v>
      </c>
      <c r="C47" s="2">
        <v>175000</v>
      </c>
    </row>
    <row r="48" spans="2:6" x14ac:dyDescent="0.2">
      <c r="B48" s="2" t="s">
        <v>370</v>
      </c>
      <c r="C48" s="10">
        <v>46296</v>
      </c>
    </row>
    <row r="49" spans="2:6" x14ac:dyDescent="0.2">
      <c r="B49" s="2" t="s">
        <v>30</v>
      </c>
      <c r="C49" s="10">
        <v>46296</v>
      </c>
    </row>
    <row r="51" spans="2:6" x14ac:dyDescent="0.2">
      <c r="B51" s="2" t="s">
        <v>371</v>
      </c>
      <c r="C51" s="2" t="s">
        <v>44</v>
      </c>
      <c r="D51" s="2" t="s">
        <v>375</v>
      </c>
    </row>
    <row r="52" spans="2:6" x14ac:dyDescent="0.2">
      <c r="B52" s="38" t="s">
        <v>372</v>
      </c>
      <c r="C52" s="2">
        <v>9</v>
      </c>
      <c r="D52" s="33">
        <v>0.3</v>
      </c>
      <c r="E52" s="2">
        <f>+C52*D52</f>
        <v>2.6999999999999997</v>
      </c>
    </row>
    <row r="53" spans="2:6" x14ac:dyDescent="0.2">
      <c r="B53" s="37" t="s">
        <v>373</v>
      </c>
      <c r="C53" s="2">
        <v>22</v>
      </c>
      <c r="D53" s="33">
        <v>0.6</v>
      </c>
      <c r="E53" s="2">
        <f t="shared" ref="E53:E54" si="0">+C53*D53</f>
        <v>13.2</v>
      </c>
    </row>
    <row r="54" spans="2:6" x14ac:dyDescent="0.2">
      <c r="B54" s="37" t="s">
        <v>374</v>
      </c>
      <c r="C54" s="2">
        <v>44</v>
      </c>
      <c r="D54" s="33">
        <v>0.1</v>
      </c>
      <c r="E54" s="2">
        <f t="shared" si="0"/>
        <v>4.4000000000000004</v>
      </c>
    </row>
    <row r="55" spans="2:6" x14ac:dyDescent="0.2">
      <c r="E55" s="2">
        <f>SUM(E52:E54)</f>
        <v>20.299999999999997</v>
      </c>
    </row>
    <row r="56" spans="2:6" x14ac:dyDescent="0.2">
      <c r="B56" s="2" t="s">
        <v>376</v>
      </c>
    </row>
    <row r="58" spans="2:6" x14ac:dyDescent="0.2">
      <c r="B58" s="2" t="s">
        <v>28</v>
      </c>
      <c r="E58" s="2">
        <f>+E55</f>
        <v>20.299999999999997</v>
      </c>
    </row>
    <row r="59" spans="2:6" x14ac:dyDescent="0.2">
      <c r="C59" s="2" t="s">
        <v>61</v>
      </c>
      <c r="F59" s="2">
        <f>+E58</f>
        <v>20.299999999999997</v>
      </c>
    </row>
    <row r="60" spans="2:6" x14ac:dyDescent="0.2">
      <c r="B60" s="2" t="s">
        <v>385</v>
      </c>
    </row>
  </sheetData>
  <hyperlinks>
    <hyperlink ref="A1" location="Main!A1" display="Main" xr:uid="{A9968416-1F60-43FE-8B81-ED1C9668CF7C}"/>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BB08BF-FB00-4488-A0FD-2BEC8630721C}">
  <dimension ref="A1:G321"/>
  <sheetViews>
    <sheetView tabSelected="1" zoomScale="145" zoomScaleNormal="145" workbookViewId="0">
      <selection activeCell="B6" sqref="B6:B10"/>
    </sheetView>
  </sheetViews>
  <sheetFormatPr defaultRowHeight="15" x14ac:dyDescent="0.25"/>
  <cols>
    <col min="2" max="2" width="11.5703125" bestFit="1" customWidth="1"/>
    <col min="3" max="3" width="11.85546875" bestFit="1" customWidth="1"/>
    <col min="4" max="4" width="11.140625" bestFit="1" customWidth="1"/>
    <col min="5" max="5" width="10.7109375" bestFit="1" customWidth="1"/>
    <col min="6" max="6" width="9.28515625" bestFit="1" customWidth="1"/>
  </cols>
  <sheetData>
    <row r="1" spans="1:2" x14ac:dyDescent="0.25">
      <c r="A1" s="3" t="s">
        <v>0</v>
      </c>
    </row>
    <row r="2" spans="1:2" x14ac:dyDescent="0.25">
      <c r="B2" s="3"/>
    </row>
    <row r="6" spans="1:2" x14ac:dyDescent="0.25">
      <c r="B6" t="s">
        <v>394</v>
      </c>
    </row>
    <row r="7" spans="1:2" x14ac:dyDescent="0.25">
      <c r="B7" t="s">
        <v>390</v>
      </c>
    </row>
    <row r="8" spans="1:2" x14ac:dyDescent="0.25">
      <c r="B8" t="s">
        <v>391</v>
      </c>
    </row>
    <row r="9" spans="1:2" x14ac:dyDescent="0.25">
      <c r="B9" t="s">
        <v>392</v>
      </c>
    </row>
    <row r="10" spans="1:2" x14ac:dyDescent="0.25">
      <c r="B10" t="s">
        <v>393</v>
      </c>
    </row>
    <row r="13" spans="1:2" x14ac:dyDescent="0.25">
      <c r="B13" t="s">
        <v>2</v>
      </c>
    </row>
    <row r="14" spans="1:2" x14ac:dyDescent="0.25">
      <c r="B14" t="s">
        <v>3</v>
      </c>
    </row>
    <row r="35" spans="2:5" x14ac:dyDescent="0.25">
      <c r="B35" t="s">
        <v>4</v>
      </c>
      <c r="D35">
        <v>420000</v>
      </c>
    </row>
    <row r="36" spans="2:5" x14ac:dyDescent="0.25">
      <c r="B36" t="s">
        <v>5</v>
      </c>
    </row>
    <row r="37" spans="2:5" x14ac:dyDescent="0.25">
      <c r="B37" t="s">
        <v>6</v>
      </c>
    </row>
    <row r="38" spans="2:5" x14ac:dyDescent="0.25">
      <c r="B38" t="s">
        <v>7</v>
      </c>
      <c r="E38" t="s">
        <v>8</v>
      </c>
    </row>
    <row r="39" spans="2:5" x14ac:dyDescent="0.25">
      <c r="B39" t="s">
        <v>9</v>
      </c>
      <c r="E39" t="s">
        <v>8</v>
      </c>
    </row>
    <row r="40" spans="2:5" x14ac:dyDescent="0.25">
      <c r="B40" t="s">
        <v>10</v>
      </c>
      <c r="E40" t="s">
        <v>11</v>
      </c>
    </row>
    <row r="41" spans="2:5" x14ac:dyDescent="0.25">
      <c r="B41" t="s">
        <v>12</v>
      </c>
      <c r="E41" t="s">
        <v>8</v>
      </c>
    </row>
    <row r="42" spans="2:5" x14ac:dyDescent="0.25">
      <c r="B42" t="s">
        <v>13</v>
      </c>
      <c r="E42" t="s">
        <v>8</v>
      </c>
    </row>
    <row r="44" spans="2:5" x14ac:dyDescent="0.25">
      <c r="B44" t="s">
        <v>14</v>
      </c>
    </row>
    <row r="45" spans="2:5" x14ac:dyDescent="0.25">
      <c r="B45" t="s">
        <v>16</v>
      </c>
    </row>
    <row r="46" spans="2:5" x14ac:dyDescent="0.25">
      <c r="B46" t="s">
        <v>15</v>
      </c>
    </row>
    <row r="48" spans="2:5" x14ac:dyDescent="0.25">
      <c r="B48" t="s">
        <v>17</v>
      </c>
    </row>
    <row r="49" spans="2:6" x14ac:dyDescent="0.25">
      <c r="B49" t="s">
        <v>18</v>
      </c>
      <c r="C49" s="4">
        <v>45658</v>
      </c>
      <c r="D49" s="4">
        <v>46022</v>
      </c>
    </row>
    <row r="50" spans="2:6" x14ac:dyDescent="0.25">
      <c r="C50" s="5">
        <v>400000</v>
      </c>
      <c r="D50" s="5">
        <v>400000</v>
      </c>
    </row>
    <row r="51" spans="2:6" x14ac:dyDescent="0.25">
      <c r="B51" t="s">
        <v>19</v>
      </c>
      <c r="C51" s="5">
        <f>0.04*C50</f>
        <v>16000</v>
      </c>
      <c r="D51">
        <v>0</v>
      </c>
    </row>
    <row r="52" spans="2:6" x14ac:dyDescent="0.25">
      <c r="B52" t="s">
        <v>24</v>
      </c>
      <c r="C52" s="6">
        <f>+C50+C51</f>
        <v>416000</v>
      </c>
      <c r="D52" s="6">
        <f>+D50-D51</f>
        <v>400000</v>
      </c>
    </row>
    <row r="53" spans="2:6" x14ac:dyDescent="0.25">
      <c r="C53" s="6"/>
      <c r="D53" s="6"/>
    </row>
    <row r="54" spans="2:6" x14ac:dyDescent="0.25">
      <c r="B54" t="s">
        <v>30</v>
      </c>
      <c r="C54" s="7">
        <v>45658</v>
      </c>
      <c r="D54" s="6"/>
    </row>
    <row r="55" spans="2:6" x14ac:dyDescent="0.25">
      <c r="C55" s="7"/>
      <c r="D55" s="6"/>
    </row>
    <row r="56" spans="2:6" x14ac:dyDescent="0.25">
      <c r="B56" t="s">
        <v>31</v>
      </c>
      <c r="C56" s="7"/>
      <c r="D56" s="6"/>
    </row>
    <row r="58" spans="2:6" x14ac:dyDescent="0.25">
      <c r="B58" t="s">
        <v>27</v>
      </c>
      <c r="E58" s="5">
        <f>+C50</f>
        <v>400000</v>
      </c>
    </row>
    <row r="59" spans="2:6" x14ac:dyDescent="0.25">
      <c r="B59" t="s">
        <v>28</v>
      </c>
      <c r="E59" s="5">
        <f>+C51</f>
        <v>16000</v>
      </c>
    </row>
    <row r="60" spans="2:6" x14ac:dyDescent="0.25">
      <c r="C60" t="s">
        <v>20</v>
      </c>
      <c r="F60" s="5">
        <f>+C52</f>
        <v>416000</v>
      </c>
    </row>
    <row r="61" spans="2:6" x14ac:dyDescent="0.25">
      <c r="E61" s="5"/>
    </row>
    <row r="62" spans="2:6" x14ac:dyDescent="0.25">
      <c r="B62" t="s">
        <v>26</v>
      </c>
    </row>
    <row r="65" spans="2:6" x14ac:dyDescent="0.25">
      <c r="B65" t="s">
        <v>22</v>
      </c>
      <c r="E65" s="5">
        <f>+C51</f>
        <v>16000</v>
      </c>
    </row>
    <row r="66" spans="2:6" x14ac:dyDescent="0.25">
      <c r="C66" t="s">
        <v>29</v>
      </c>
      <c r="F66" s="5">
        <f>+E65</f>
        <v>16000</v>
      </c>
    </row>
    <row r="67" spans="2:6" x14ac:dyDescent="0.25">
      <c r="B67" t="s">
        <v>25</v>
      </c>
    </row>
    <row r="80" spans="2:6" x14ac:dyDescent="0.25">
      <c r="B80" t="s">
        <v>32</v>
      </c>
      <c r="E80" t="s">
        <v>34</v>
      </c>
    </row>
    <row r="81" spans="2:6" x14ac:dyDescent="0.25">
      <c r="C81" t="s">
        <v>33</v>
      </c>
      <c r="F81" t="s">
        <v>35</v>
      </c>
    </row>
    <row r="82" spans="2:6" x14ac:dyDescent="0.25">
      <c r="C82" t="s">
        <v>37</v>
      </c>
      <c r="F82" t="s">
        <v>36</v>
      </c>
    </row>
    <row r="85" spans="2:6" x14ac:dyDescent="0.25">
      <c r="B85" t="s">
        <v>38</v>
      </c>
      <c r="C85" s="4">
        <v>46753</v>
      </c>
    </row>
    <row r="86" spans="2:6" x14ac:dyDescent="0.25">
      <c r="B86" t="s">
        <v>39</v>
      </c>
      <c r="C86">
        <v>5.5</v>
      </c>
      <c r="D86" t="s">
        <v>40</v>
      </c>
    </row>
    <row r="87" spans="2:6" x14ac:dyDescent="0.25">
      <c r="B87" t="s">
        <v>41</v>
      </c>
      <c r="C87">
        <v>1000000</v>
      </c>
      <c r="D87" t="s">
        <v>42</v>
      </c>
    </row>
    <row r="88" spans="2:6" x14ac:dyDescent="0.25">
      <c r="B88" t="s">
        <v>49</v>
      </c>
      <c r="C88">
        <v>5</v>
      </c>
    </row>
    <row r="89" spans="2:6" x14ac:dyDescent="0.25">
      <c r="B89">
        <v>96</v>
      </c>
      <c r="C89" t="s">
        <v>46</v>
      </c>
    </row>
    <row r="91" spans="2:6" x14ac:dyDescent="0.25">
      <c r="B91" t="s">
        <v>47</v>
      </c>
      <c r="F91">
        <f>+B89*C86</f>
        <v>528</v>
      </c>
    </row>
    <row r="92" spans="2:6" x14ac:dyDescent="0.25">
      <c r="B92" t="s">
        <v>48</v>
      </c>
      <c r="F92">
        <f>+B89*5</f>
        <v>480</v>
      </c>
    </row>
    <row r="93" spans="2:6" ht="15.75" thickBot="1" x14ac:dyDescent="0.3">
      <c r="B93" t="s">
        <v>50</v>
      </c>
      <c r="F93" s="8">
        <f>+F91-F92</f>
        <v>48</v>
      </c>
    </row>
    <row r="94" spans="2:6" ht="15.75" thickTop="1" x14ac:dyDescent="0.25">
      <c r="F94" s="9"/>
    </row>
    <row r="95" spans="2:6" x14ac:dyDescent="0.25">
      <c r="B95" t="s">
        <v>51</v>
      </c>
      <c r="F95" s="9"/>
    </row>
    <row r="97" spans="2:6" x14ac:dyDescent="0.25">
      <c r="E97" t="s">
        <v>44</v>
      </c>
      <c r="F97" t="s">
        <v>44</v>
      </c>
    </row>
    <row r="98" spans="2:6" x14ac:dyDescent="0.25">
      <c r="B98" t="str">
        <f>+B80</f>
        <v>dr - bank/AR</v>
      </c>
      <c r="E98" s="5">
        <f>+B89*C86</f>
        <v>528</v>
      </c>
      <c r="F98" s="5"/>
    </row>
    <row r="99" spans="2:6" x14ac:dyDescent="0.25">
      <c r="C99" t="str">
        <f>+C81</f>
        <v>cr - SPL revenue</v>
      </c>
      <c r="E99" s="5"/>
      <c r="F99" s="5">
        <f>+B89*5</f>
        <v>480</v>
      </c>
    </row>
    <row r="100" spans="2:6" x14ac:dyDescent="0.25">
      <c r="C100" t="str">
        <f>+C82</f>
        <v>cr - refund liability</v>
      </c>
      <c r="E100" s="5"/>
      <c r="F100" s="5">
        <f>+B89*0.5</f>
        <v>48</v>
      </c>
    </row>
    <row r="101" spans="2:6" x14ac:dyDescent="0.25">
      <c r="B101" t="s">
        <v>45</v>
      </c>
    </row>
    <row r="104" spans="2:6" x14ac:dyDescent="0.25">
      <c r="B104" s="16" t="s">
        <v>81</v>
      </c>
      <c r="C104">
        <v>0</v>
      </c>
    </row>
    <row r="105" spans="2:6" x14ac:dyDescent="0.25">
      <c r="B105" t="s">
        <v>82</v>
      </c>
      <c r="C105">
        <v>100000</v>
      </c>
    </row>
    <row r="106" spans="2:6" x14ac:dyDescent="0.25">
      <c r="B106" t="s">
        <v>83</v>
      </c>
    </row>
    <row r="107" spans="2:6" x14ac:dyDescent="0.25">
      <c r="B107" t="s">
        <v>84</v>
      </c>
      <c r="C107" s="17">
        <v>0.06</v>
      </c>
    </row>
    <row r="108" spans="2:6" x14ac:dyDescent="0.25">
      <c r="B108" t="s">
        <v>82</v>
      </c>
      <c r="C108" s="4">
        <v>44562</v>
      </c>
    </row>
    <row r="109" spans="2:6" x14ac:dyDescent="0.25">
      <c r="B109" t="s">
        <v>85</v>
      </c>
      <c r="C109" s="4">
        <v>45292</v>
      </c>
    </row>
    <row r="111" spans="2:6" x14ac:dyDescent="0.25">
      <c r="C111" s="5">
        <f>NPV(C107,C104:C105)</f>
        <v>88999.644001423978</v>
      </c>
      <c r="D111" t="str">
        <f ca="1">+_xlfn.FORMULATEXT(C111)</f>
        <v>=NPV(C107,C104:C105)</v>
      </c>
    </row>
    <row r="112" spans="2:6" x14ac:dyDescent="0.25">
      <c r="C112" s="5">
        <f>+C105/(1+C107)^2</f>
        <v>88999.644001423978</v>
      </c>
      <c r="D112" t="str">
        <f ca="1">+_xlfn.FORMULATEXT(C112)</f>
        <v>=+C105/(1+C107)^2</v>
      </c>
    </row>
    <row r="113" spans="2:7" x14ac:dyDescent="0.25">
      <c r="B113" s="19">
        <v>44926</v>
      </c>
    </row>
    <row r="114" spans="2:7" x14ac:dyDescent="0.25">
      <c r="B114" s="1" t="s">
        <v>21</v>
      </c>
      <c r="E114" s="5">
        <f>+C111</f>
        <v>88999.644001423978</v>
      </c>
      <c r="F114" s="5"/>
    </row>
    <row r="115" spans="2:7" x14ac:dyDescent="0.25">
      <c r="C115" t="s">
        <v>20</v>
      </c>
      <c r="E115" s="5"/>
      <c r="F115" s="5">
        <f>+C111</f>
        <v>88999.644001423978</v>
      </c>
    </row>
    <row r="116" spans="2:7" x14ac:dyDescent="0.25">
      <c r="E116" s="5"/>
      <c r="F116" s="5"/>
    </row>
    <row r="117" spans="2:7" x14ac:dyDescent="0.25">
      <c r="B117" t="s">
        <v>21</v>
      </c>
      <c r="E117" s="5">
        <f>+C107*C111</f>
        <v>5339.9786400854382</v>
      </c>
      <c r="F117" s="5"/>
    </row>
    <row r="118" spans="2:7" x14ac:dyDescent="0.25">
      <c r="C118" t="s">
        <v>86</v>
      </c>
      <c r="E118" s="5"/>
      <c r="F118" s="5">
        <f>+E117</f>
        <v>5339.9786400854382</v>
      </c>
      <c r="G118" s="18" t="s">
        <v>96</v>
      </c>
    </row>
    <row r="119" spans="2:7" x14ac:dyDescent="0.25">
      <c r="E119" s="5"/>
      <c r="F119" s="5"/>
    </row>
    <row r="120" spans="2:7" x14ac:dyDescent="0.25">
      <c r="B120" s="19">
        <v>45291</v>
      </c>
      <c r="E120" s="5"/>
      <c r="F120" s="5"/>
    </row>
    <row r="121" spans="2:7" x14ac:dyDescent="0.25">
      <c r="B121" t="s">
        <v>87</v>
      </c>
      <c r="E121" s="5">
        <f>+C107*(E114+E117)</f>
        <v>5660.3773584905648</v>
      </c>
      <c r="F121" s="5"/>
    </row>
    <row r="122" spans="2:7" x14ac:dyDescent="0.25">
      <c r="C122" t="s">
        <v>68</v>
      </c>
      <c r="E122" s="5"/>
      <c r="F122" s="5">
        <f>+E121</f>
        <v>5660.3773584905648</v>
      </c>
    </row>
    <row r="124" spans="2:7" x14ac:dyDescent="0.25">
      <c r="C124" t="s">
        <v>88</v>
      </c>
      <c r="D124" t="s">
        <v>89</v>
      </c>
      <c r="E124" t="s">
        <v>90</v>
      </c>
      <c r="F124" t="s">
        <v>91</v>
      </c>
    </row>
    <row r="125" spans="2:7" x14ac:dyDescent="0.25">
      <c r="B125" s="4">
        <v>44926</v>
      </c>
      <c r="C125" s="5">
        <f>+C111</f>
        <v>88999.644001423978</v>
      </c>
      <c r="D125" s="5">
        <f>+E117</f>
        <v>5339.9786400854382</v>
      </c>
      <c r="E125">
        <v>0</v>
      </c>
      <c r="F125" s="5">
        <f>SUM(C125:E125)</f>
        <v>94339.622641509413</v>
      </c>
    </row>
    <row r="126" spans="2:7" x14ac:dyDescent="0.25">
      <c r="B126" s="4">
        <v>45291</v>
      </c>
      <c r="C126" s="5">
        <f>+F125</f>
        <v>94339.622641509413</v>
      </c>
      <c r="D126" s="5">
        <f>+E121</f>
        <v>5660.3773584905648</v>
      </c>
      <c r="E126">
        <v>0</v>
      </c>
      <c r="F126" s="5">
        <f>SUM(C126:E126)</f>
        <v>99999.999999999971</v>
      </c>
    </row>
    <row r="128" spans="2:7" x14ac:dyDescent="0.25">
      <c r="B128" t="s">
        <v>92</v>
      </c>
      <c r="E128" s="5">
        <f>+F126</f>
        <v>99999.999999999971</v>
      </c>
    </row>
    <row r="129" spans="2:7" x14ac:dyDescent="0.25">
      <c r="C129" t="s">
        <v>93</v>
      </c>
      <c r="F129" s="5">
        <f>+E128</f>
        <v>99999.999999999971</v>
      </c>
    </row>
    <row r="130" spans="2:7" x14ac:dyDescent="0.25">
      <c r="B130" t="s">
        <v>94</v>
      </c>
      <c r="G130" s="18" t="s">
        <v>95</v>
      </c>
    </row>
    <row r="189" spans="2:5" x14ac:dyDescent="0.25">
      <c r="B189" t="s">
        <v>137</v>
      </c>
    </row>
    <row r="190" spans="2:5" x14ac:dyDescent="0.25">
      <c r="B190" t="s">
        <v>55</v>
      </c>
      <c r="E190" s="4">
        <v>47391</v>
      </c>
    </row>
    <row r="191" spans="2:5" x14ac:dyDescent="0.25">
      <c r="B191" t="s">
        <v>138</v>
      </c>
      <c r="E191" s="5">
        <v>35000000</v>
      </c>
    </row>
    <row r="192" spans="2:5" x14ac:dyDescent="0.25">
      <c r="B192" t="s">
        <v>139</v>
      </c>
      <c r="E192" s="5">
        <v>29000000</v>
      </c>
    </row>
    <row r="193" spans="2:6" x14ac:dyDescent="0.25">
      <c r="B193" t="s">
        <v>140</v>
      </c>
      <c r="D193" s="4">
        <f>+E190</f>
        <v>47391</v>
      </c>
      <c r="E193" s="25">
        <v>0.75</v>
      </c>
    </row>
    <row r="194" spans="2:6" x14ac:dyDescent="0.25">
      <c r="B194" t="s">
        <v>140</v>
      </c>
      <c r="D194" s="4">
        <v>47026</v>
      </c>
      <c r="E194" s="25">
        <v>0.5</v>
      </c>
    </row>
    <row r="196" spans="2:6" x14ac:dyDescent="0.25">
      <c r="D196" s="4">
        <v>47391</v>
      </c>
      <c r="E196" s="5">
        <f>+E193*$E$191</f>
        <v>26250000</v>
      </c>
    </row>
    <row r="197" spans="2:6" x14ac:dyDescent="0.25">
      <c r="D197" s="4">
        <v>47026</v>
      </c>
      <c r="E197" s="5">
        <f>+E194*$E$191</f>
        <v>17500000</v>
      </c>
    </row>
    <row r="198" spans="2:6" x14ac:dyDescent="0.25">
      <c r="E198" s="5">
        <f>+E196-E197</f>
        <v>8750000</v>
      </c>
    </row>
    <row r="200" spans="2:6" x14ac:dyDescent="0.25">
      <c r="B200" t="s">
        <v>141</v>
      </c>
      <c r="E200" s="5">
        <f>+E198</f>
        <v>8750000</v>
      </c>
    </row>
    <row r="201" spans="2:6" x14ac:dyDescent="0.25">
      <c r="C201" t="s">
        <v>61</v>
      </c>
      <c r="F201" s="5">
        <f>+E198</f>
        <v>8750000</v>
      </c>
    </row>
    <row r="202" spans="2:6" x14ac:dyDescent="0.25">
      <c r="B202" t="s">
        <v>142</v>
      </c>
    </row>
    <row r="203" spans="2:6" x14ac:dyDescent="0.25">
      <c r="B203" t="s">
        <v>143</v>
      </c>
    </row>
    <row r="205" spans="2:6" x14ac:dyDescent="0.25">
      <c r="B205" t="s">
        <v>144</v>
      </c>
    </row>
    <row r="206" spans="2:6" x14ac:dyDescent="0.25">
      <c r="B206" t="s">
        <v>55</v>
      </c>
      <c r="C206" s="4">
        <v>45230</v>
      </c>
    </row>
    <row r="208" spans="2:6" x14ac:dyDescent="0.25">
      <c r="C208" t="s">
        <v>149</v>
      </c>
      <c r="D208" t="s">
        <v>150</v>
      </c>
      <c r="E208" t="s">
        <v>151</v>
      </c>
    </row>
    <row r="209" spans="2:6" x14ac:dyDescent="0.25">
      <c r="B209" t="s">
        <v>148</v>
      </c>
      <c r="C209">
        <v>400</v>
      </c>
      <c r="D209" s="5">
        <v>110</v>
      </c>
      <c r="E209" s="5">
        <f>+C209*D209</f>
        <v>44000</v>
      </c>
      <c r="F209" s="5"/>
    </row>
    <row r="210" spans="2:6" x14ac:dyDescent="0.25">
      <c r="B210" t="s">
        <v>147</v>
      </c>
      <c r="C210">
        <v>200</v>
      </c>
      <c r="D210" s="5">
        <v>160</v>
      </c>
      <c r="E210" s="5">
        <v>32000</v>
      </c>
      <c r="F210" s="5"/>
    </row>
    <row r="211" spans="2:6" x14ac:dyDescent="0.25">
      <c r="B211" t="s">
        <v>146</v>
      </c>
      <c r="C211">
        <v>20</v>
      </c>
      <c r="D211" s="5">
        <v>240</v>
      </c>
      <c r="E211" s="5">
        <v>4800</v>
      </c>
      <c r="F211" s="5"/>
    </row>
    <row r="212" spans="2:6" x14ac:dyDescent="0.25">
      <c r="B212" t="s">
        <v>145</v>
      </c>
      <c r="C212">
        <v>10</v>
      </c>
      <c r="D212" s="5">
        <v>350</v>
      </c>
      <c r="E212" s="5">
        <v>3500</v>
      </c>
      <c r="F212" s="5"/>
    </row>
    <row r="213" spans="2:6" ht="15.75" thickBot="1" x14ac:dyDescent="0.3">
      <c r="D213" s="5"/>
      <c r="E213" s="26">
        <f>SUM(E209:E212)</f>
        <v>84300</v>
      </c>
      <c r="F213" s="5"/>
    </row>
    <row r="214" spans="2:6" ht="15.75" thickTop="1" x14ac:dyDescent="0.25">
      <c r="D214" s="5"/>
      <c r="E214" s="27"/>
      <c r="F214" s="5"/>
    </row>
    <row r="215" spans="2:6" x14ac:dyDescent="0.25">
      <c r="B215" t="s">
        <v>154</v>
      </c>
      <c r="D215" s="5"/>
      <c r="E215" s="27"/>
      <c r="F215" s="5"/>
    </row>
    <row r="216" spans="2:6" x14ac:dyDescent="0.25">
      <c r="B216" t="s">
        <v>155</v>
      </c>
      <c r="D216" s="5"/>
      <c r="E216" s="27">
        <f>+E213</f>
        <v>84300</v>
      </c>
      <c r="F216" s="5"/>
    </row>
    <row r="217" spans="2:6" x14ac:dyDescent="0.25">
      <c r="D217" s="5"/>
      <c r="E217" s="27"/>
      <c r="F217" s="5"/>
    </row>
    <row r="218" spans="2:6" x14ac:dyDescent="0.25">
      <c r="B218" t="s">
        <v>156</v>
      </c>
      <c r="D218" s="5"/>
      <c r="E218" s="27"/>
      <c r="F218" s="5"/>
    </row>
    <row r="219" spans="2:6" x14ac:dyDescent="0.25">
      <c r="B219" t="s">
        <v>157</v>
      </c>
      <c r="D219" s="5"/>
      <c r="E219" s="27"/>
      <c r="F219" s="5"/>
    </row>
    <row r="220" spans="2:6" x14ac:dyDescent="0.25">
      <c r="D220" s="5"/>
      <c r="E220" s="27"/>
      <c r="F220" s="5"/>
    </row>
    <row r="221" spans="2:6" x14ac:dyDescent="0.25">
      <c r="B221" t="s">
        <v>158</v>
      </c>
      <c r="D221" s="5"/>
      <c r="E221" s="27"/>
      <c r="F221" s="5"/>
    </row>
    <row r="222" spans="2:6" x14ac:dyDescent="0.25">
      <c r="B222" t="s">
        <v>159</v>
      </c>
      <c r="D222" s="5"/>
      <c r="E222" s="27"/>
      <c r="F222" s="5"/>
    </row>
    <row r="223" spans="2:6" x14ac:dyDescent="0.25">
      <c r="D223" s="5"/>
      <c r="E223" s="5"/>
      <c r="F223" s="5"/>
    </row>
    <row r="224" spans="2:6" x14ac:dyDescent="0.25">
      <c r="B224" t="s">
        <v>152</v>
      </c>
      <c r="D224" s="5"/>
      <c r="E224" s="5"/>
      <c r="F224" s="5"/>
    </row>
    <row r="225" spans="2:6" x14ac:dyDescent="0.25">
      <c r="B225" t="s">
        <v>148</v>
      </c>
      <c r="C225">
        <v>120</v>
      </c>
      <c r="D225" s="5">
        <f>+D209</f>
        <v>110</v>
      </c>
      <c r="E225" s="5">
        <f>+C225*D225</f>
        <v>13200</v>
      </c>
      <c r="F225" s="5"/>
    </row>
    <row r="226" spans="2:6" x14ac:dyDescent="0.25">
      <c r="B226" t="s">
        <v>147</v>
      </c>
      <c r="C226">
        <v>45</v>
      </c>
      <c r="D226" s="5">
        <f t="shared" ref="D226:D228" si="0">+D210</f>
        <v>160</v>
      </c>
      <c r="E226" s="5">
        <f t="shared" ref="E226:E228" si="1">+C226*D226</f>
        <v>7200</v>
      </c>
      <c r="F226" s="5"/>
    </row>
    <row r="227" spans="2:6" x14ac:dyDescent="0.25">
      <c r="B227" t="s">
        <v>146</v>
      </c>
      <c r="C227">
        <v>4</v>
      </c>
      <c r="D227" s="5">
        <f t="shared" si="0"/>
        <v>240</v>
      </c>
      <c r="E227" s="5">
        <f t="shared" si="1"/>
        <v>960</v>
      </c>
      <c r="F227" s="5"/>
    </row>
    <row r="228" spans="2:6" x14ac:dyDescent="0.25">
      <c r="B228" t="s">
        <v>145</v>
      </c>
      <c r="C228">
        <v>2</v>
      </c>
      <c r="D228" s="5">
        <f t="shared" si="0"/>
        <v>350</v>
      </c>
      <c r="E228" s="5">
        <f t="shared" si="1"/>
        <v>700</v>
      </c>
      <c r="F228" s="5"/>
    </row>
    <row r="229" spans="2:6" ht="15.75" thickBot="1" x14ac:dyDescent="0.3">
      <c r="D229" s="5"/>
      <c r="E229" s="26">
        <f>SUM(E225:E228)</f>
        <v>22060</v>
      </c>
      <c r="F229" s="5"/>
    </row>
    <row r="230" spans="2:6" ht="15.75" thickTop="1" x14ac:dyDescent="0.25">
      <c r="D230" s="5"/>
      <c r="E230" s="5"/>
      <c r="F230" s="5"/>
    </row>
    <row r="231" spans="2:6" x14ac:dyDescent="0.25">
      <c r="B231" t="s">
        <v>28</v>
      </c>
      <c r="D231" s="5"/>
      <c r="E231" s="5">
        <f>+E229</f>
        <v>22060</v>
      </c>
      <c r="F231" s="5"/>
    </row>
    <row r="232" spans="2:6" x14ac:dyDescent="0.25">
      <c r="C232" t="s">
        <v>61</v>
      </c>
      <c r="D232" s="5"/>
      <c r="E232" s="5"/>
      <c r="F232" s="5">
        <f>+E231</f>
        <v>22060</v>
      </c>
    </row>
    <row r="233" spans="2:6" x14ac:dyDescent="0.25">
      <c r="B233" t="s">
        <v>153</v>
      </c>
    </row>
    <row r="260" spans="2:6" x14ac:dyDescent="0.25">
      <c r="B260" t="s">
        <v>181</v>
      </c>
      <c r="D260" s="5">
        <v>5000</v>
      </c>
    </row>
    <row r="261" spans="2:6" x14ac:dyDescent="0.25">
      <c r="B261" t="s">
        <v>182</v>
      </c>
      <c r="D261" s="28">
        <v>-2000</v>
      </c>
    </row>
    <row r="262" spans="2:6" x14ac:dyDescent="0.25">
      <c r="B262" t="s">
        <v>185</v>
      </c>
      <c r="D262" s="5">
        <f>SUM(D260:D261)</f>
        <v>3000</v>
      </c>
    </row>
    <row r="263" spans="2:6" x14ac:dyDescent="0.25">
      <c r="B263" t="s">
        <v>184</v>
      </c>
      <c r="D263" s="5">
        <v>3850</v>
      </c>
    </row>
    <row r="264" spans="2:6" ht="15.75" thickBot="1" x14ac:dyDescent="0.3">
      <c r="B264" t="s">
        <v>183</v>
      </c>
      <c r="D264" s="26">
        <f>+D263-D262</f>
        <v>850</v>
      </c>
    </row>
    <row r="265" spans="2:6" ht="15.75" thickTop="1" x14ac:dyDescent="0.25"/>
    <row r="266" spans="2:6" x14ac:dyDescent="0.25">
      <c r="B266" t="s">
        <v>186</v>
      </c>
      <c r="E266" s="5">
        <f>+D264</f>
        <v>850</v>
      </c>
    </row>
    <row r="267" spans="2:6" x14ac:dyDescent="0.25">
      <c r="C267" t="s">
        <v>187</v>
      </c>
      <c r="F267" s="5">
        <f>+E266</f>
        <v>850</v>
      </c>
    </row>
    <row r="268" spans="2:6" x14ac:dyDescent="0.25">
      <c r="B268" t="s">
        <v>188</v>
      </c>
    </row>
    <row r="270" spans="2:6" x14ac:dyDescent="0.25">
      <c r="B270" t="s">
        <v>189</v>
      </c>
    </row>
    <row r="271" spans="2:6" x14ac:dyDescent="0.25">
      <c r="D271" s="29" t="s">
        <v>198</v>
      </c>
      <c r="E271" s="29" t="s">
        <v>199</v>
      </c>
    </row>
    <row r="272" spans="2:6" x14ac:dyDescent="0.25">
      <c r="B272" t="s">
        <v>197</v>
      </c>
      <c r="D272" s="5">
        <v>800</v>
      </c>
      <c r="E272" s="5">
        <v>400</v>
      </c>
    </row>
    <row r="273" spans="2:6" x14ac:dyDescent="0.25">
      <c r="B273" t="s">
        <v>196</v>
      </c>
      <c r="D273" s="5">
        <v>200</v>
      </c>
      <c r="E273" s="5">
        <v>5</v>
      </c>
    </row>
    <row r="274" spans="2:6" x14ac:dyDescent="0.25">
      <c r="B274" t="s">
        <v>195</v>
      </c>
      <c r="D274" s="5">
        <v>290</v>
      </c>
      <c r="E274" s="5">
        <v>20</v>
      </c>
    </row>
    <row r="275" spans="2:6" x14ac:dyDescent="0.25">
      <c r="B275" t="s">
        <v>194</v>
      </c>
      <c r="D275" s="5">
        <v>10</v>
      </c>
      <c r="E275" s="5">
        <v>5</v>
      </c>
      <c r="F275" t="s">
        <v>200</v>
      </c>
    </row>
    <row r="276" spans="2:6" s="30" customFormat="1" x14ac:dyDescent="0.25">
      <c r="B276" s="30" t="s">
        <v>193</v>
      </c>
      <c r="D276" s="31">
        <v>22</v>
      </c>
      <c r="E276" s="31">
        <v>3</v>
      </c>
    </row>
    <row r="277" spans="2:6" x14ac:dyDescent="0.25">
      <c r="B277" t="s">
        <v>192</v>
      </c>
      <c r="D277" s="5">
        <v>90</v>
      </c>
      <c r="E277" s="5">
        <v>270</v>
      </c>
    </row>
    <row r="278" spans="2:6" x14ac:dyDescent="0.25">
      <c r="B278" t="s">
        <v>191</v>
      </c>
      <c r="D278" s="5">
        <v>600</v>
      </c>
      <c r="E278" s="5">
        <v>75</v>
      </c>
    </row>
    <row r="279" spans="2:6" x14ac:dyDescent="0.25">
      <c r="B279" t="s">
        <v>190</v>
      </c>
      <c r="D279" s="5">
        <v>510</v>
      </c>
      <c r="E279" s="5">
        <v>0</v>
      </c>
    </row>
    <row r="281" spans="2:6" x14ac:dyDescent="0.25">
      <c r="B281" t="s">
        <v>201</v>
      </c>
      <c r="D281" s="5">
        <f>+D277+D275+D274+D273</f>
        <v>590</v>
      </c>
      <c r="E281" s="5">
        <f>+E277+E275+E274+E273</f>
        <v>300</v>
      </c>
    </row>
    <row r="282" spans="2:6" x14ac:dyDescent="0.25">
      <c r="B282" t="s">
        <v>202</v>
      </c>
      <c r="D282" s="5">
        <f>+D273+D274+D275</f>
        <v>500</v>
      </c>
      <c r="E282" s="5">
        <f>+E273+E274+E275</f>
        <v>30</v>
      </c>
      <c r="F282" s="5">
        <f>SUM(D282:E282)</f>
        <v>530</v>
      </c>
    </row>
    <row r="283" spans="2:6" x14ac:dyDescent="0.25">
      <c r="B283" t="s">
        <v>140</v>
      </c>
      <c r="D283" s="25">
        <f>+D282/D281</f>
        <v>0.84745762711864403</v>
      </c>
      <c r="E283" s="25">
        <f>+E282/E281</f>
        <v>0.1</v>
      </c>
    </row>
    <row r="284" spans="2:6" x14ac:dyDescent="0.25">
      <c r="D284" s="25"/>
      <c r="E284" s="25"/>
    </row>
    <row r="285" spans="2:6" x14ac:dyDescent="0.25">
      <c r="B285" t="s">
        <v>205</v>
      </c>
      <c r="D285" s="32">
        <f>+D272-D281</f>
        <v>210</v>
      </c>
      <c r="E285" s="32">
        <f>+E272-E281</f>
        <v>100</v>
      </c>
      <c r="F285" t="s">
        <v>206</v>
      </c>
    </row>
    <row r="286" spans="2:6" x14ac:dyDescent="0.25">
      <c r="D286" s="25"/>
      <c r="E286" s="25"/>
    </row>
    <row r="287" spans="2:6" x14ac:dyDescent="0.25">
      <c r="B287" t="s">
        <v>207</v>
      </c>
      <c r="D287" s="5">
        <f>+D283*D272</f>
        <v>677.96610169491521</v>
      </c>
      <c r="E287" s="5">
        <f>+E283*E272</f>
        <v>40</v>
      </c>
      <c r="F287" s="5">
        <f>SUM(D287:E287)</f>
        <v>717.96610169491521</v>
      </c>
    </row>
    <row r="289" spans="2:6" x14ac:dyDescent="0.25">
      <c r="B289" t="s">
        <v>203</v>
      </c>
      <c r="D289" s="5">
        <f>+D278</f>
        <v>600</v>
      </c>
      <c r="E289" s="5">
        <f>+E278</f>
        <v>75</v>
      </c>
      <c r="F289" s="5">
        <f>SUM(D289:E289)</f>
        <v>675</v>
      </c>
    </row>
    <row r="290" spans="2:6" x14ac:dyDescent="0.25">
      <c r="B290" t="s">
        <v>204</v>
      </c>
      <c r="D290" s="5">
        <f>+D279</f>
        <v>510</v>
      </c>
      <c r="E290" s="5">
        <f>+E279</f>
        <v>0</v>
      </c>
      <c r="F290" s="5">
        <f>SUM(D290:E290)</f>
        <v>510</v>
      </c>
    </row>
    <row r="291" spans="2:6" x14ac:dyDescent="0.25">
      <c r="B291" t="s">
        <v>47</v>
      </c>
      <c r="D291" s="5">
        <f>+D289-D290</f>
        <v>90</v>
      </c>
      <c r="E291" s="5">
        <f>+E289-E290</f>
        <v>75</v>
      </c>
    </row>
    <row r="293" spans="2:6" x14ac:dyDescent="0.25">
      <c r="B293" t="s">
        <v>212</v>
      </c>
    </row>
    <row r="294" spans="2:6" x14ac:dyDescent="0.25">
      <c r="B294" t="s">
        <v>208</v>
      </c>
      <c r="E294" s="5">
        <f>+D287</f>
        <v>677.96610169491521</v>
      </c>
    </row>
    <row r="295" spans="2:6" x14ac:dyDescent="0.25">
      <c r="B295" t="s">
        <v>209</v>
      </c>
      <c r="E295" s="5">
        <f>+E287</f>
        <v>40</v>
      </c>
    </row>
    <row r="296" spans="2:6" x14ac:dyDescent="0.25">
      <c r="C296" t="s">
        <v>210</v>
      </c>
      <c r="F296" s="5">
        <f>+F287</f>
        <v>717.96610169491521</v>
      </c>
    </row>
    <row r="297" spans="2:6" x14ac:dyDescent="0.25">
      <c r="B297" t="s">
        <v>211</v>
      </c>
    </row>
    <row r="299" spans="2:6" x14ac:dyDescent="0.25">
      <c r="B299" t="s">
        <v>213</v>
      </c>
    </row>
    <row r="300" spans="2:6" x14ac:dyDescent="0.25">
      <c r="B300" t="s">
        <v>214</v>
      </c>
      <c r="E300" s="5">
        <f>+F282</f>
        <v>530</v>
      </c>
    </row>
    <row r="301" spans="2:6" x14ac:dyDescent="0.25">
      <c r="C301" t="s">
        <v>23</v>
      </c>
      <c r="F301" s="5">
        <f>+E300</f>
        <v>530</v>
      </c>
    </row>
    <row r="302" spans="2:6" x14ac:dyDescent="0.25">
      <c r="B302" t="s">
        <v>215</v>
      </c>
    </row>
    <row r="304" spans="2:6" x14ac:dyDescent="0.25">
      <c r="B304" t="s">
        <v>216</v>
      </c>
    </row>
    <row r="305" spans="2:6" x14ac:dyDescent="0.25">
      <c r="B305" t="s">
        <v>21</v>
      </c>
      <c r="E305" s="5">
        <f>+F289</f>
        <v>675</v>
      </c>
    </row>
    <row r="306" spans="2:6" x14ac:dyDescent="0.25">
      <c r="C306" t="s">
        <v>217</v>
      </c>
      <c r="F306" s="5">
        <f>+D289</f>
        <v>600</v>
      </c>
    </row>
    <row r="307" spans="2:6" x14ac:dyDescent="0.25">
      <c r="C307" t="s">
        <v>218</v>
      </c>
      <c r="F307" s="5">
        <f>+E289</f>
        <v>75</v>
      </c>
    </row>
    <row r="308" spans="2:6" x14ac:dyDescent="0.25">
      <c r="B308" t="s">
        <v>219</v>
      </c>
    </row>
    <row r="310" spans="2:6" x14ac:dyDescent="0.25">
      <c r="B310" t="s">
        <v>27</v>
      </c>
      <c r="E310" s="5">
        <f>+F290</f>
        <v>510</v>
      </c>
    </row>
    <row r="311" spans="2:6" x14ac:dyDescent="0.25">
      <c r="C311" t="s">
        <v>23</v>
      </c>
      <c r="F311" s="5">
        <f>+F290</f>
        <v>510</v>
      </c>
    </row>
    <row r="312" spans="2:6" x14ac:dyDescent="0.25">
      <c r="B312" t="s">
        <v>220</v>
      </c>
    </row>
    <row r="314" spans="2:6" x14ac:dyDescent="0.25">
      <c r="D314" t="str">
        <f>+'Module 23'!D271</f>
        <v>Contract A</v>
      </c>
      <c r="E314" t="str">
        <f>+'Module 23'!E271</f>
        <v>Contract B</v>
      </c>
    </row>
    <row r="315" spans="2:6" x14ac:dyDescent="0.25">
      <c r="B315" t="s">
        <v>221</v>
      </c>
      <c r="D315" s="5">
        <f>+D287</f>
        <v>677.96610169491521</v>
      </c>
      <c r="E315" s="5">
        <f>+E287</f>
        <v>40</v>
      </c>
    </row>
    <row r="316" spans="2:6" x14ac:dyDescent="0.25">
      <c r="B316" t="s">
        <v>223</v>
      </c>
      <c r="D316" s="5">
        <f>+D289</f>
        <v>600</v>
      </c>
      <c r="E316" s="5">
        <f>+E289</f>
        <v>75</v>
      </c>
    </row>
    <row r="317" spans="2:6" x14ac:dyDescent="0.25">
      <c r="B317" t="s">
        <v>222</v>
      </c>
      <c r="D317" s="5">
        <f>+D316-D315</f>
        <v>-77.96610169491521</v>
      </c>
      <c r="E317" s="5">
        <f>+E316-E315</f>
        <v>35</v>
      </c>
    </row>
    <row r="319" spans="2:6" x14ac:dyDescent="0.25">
      <c r="B319" t="s">
        <v>223</v>
      </c>
      <c r="D319" s="5">
        <f>+D316</f>
        <v>600</v>
      </c>
      <c r="E319" s="5">
        <f>+E316</f>
        <v>75</v>
      </c>
    </row>
    <row r="320" spans="2:6" x14ac:dyDescent="0.25">
      <c r="B320" t="s">
        <v>225</v>
      </c>
      <c r="D320" s="5">
        <f>+D290</f>
        <v>510</v>
      </c>
      <c r="E320" s="5">
        <f>+E290</f>
        <v>0</v>
      </c>
    </row>
    <row r="321" spans="2:5" x14ac:dyDescent="0.25">
      <c r="B321" t="s">
        <v>224</v>
      </c>
      <c r="D321" s="5">
        <f>+D320-D319</f>
        <v>-90</v>
      </c>
      <c r="E321" s="5">
        <f>+E320-E319</f>
        <v>-75</v>
      </c>
    </row>
  </sheetData>
  <hyperlinks>
    <hyperlink ref="A1" location="Main!A1" display="Main" xr:uid="{76E43222-3973-4661-8162-6E4A704BBF4C}"/>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FE74C6-7A71-4289-959B-858C9735F797}">
  <dimension ref="A1:E60"/>
  <sheetViews>
    <sheetView zoomScale="175" zoomScaleNormal="175" workbookViewId="0">
      <selection activeCell="F30" sqref="F30"/>
    </sheetView>
  </sheetViews>
  <sheetFormatPr defaultRowHeight="12" x14ac:dyDescent="0.2"/>
  <cols>
    <col min="1" max="16384" width="9.140625" style="2"/>
  </cols>
  <sheetData>
    <row r="1" spans="1:3" ht="15" x14ac:dyDescent="0.25">
      <c r="A1" s="3" t="s">
        <v>0</v>
      </c>
    </row>
    <row r="3" spans="1:3" x14ac:dyDescent="0.2">
      <c r="B3" s="2" t="s">
        <v>131</v>
      </c>
      <c r="C3" s="24" t="s">
        <v>180</v>
      </c>
    </row>
    <row r="6" spans="1:3" x14ac:dyDescent="0.2">
      <c r="B6" s="2" t="s">
        <v>132</v>
      </c>
    </row>
    <row r="25" spans="2:5" x14ac:dyDescent="0.2">
      <c r="B25" s="20" t="s">
        <v>133</v>
      </c>
    </row>
    <row r="26" spans="2:5" ht="15" x14ac:dyDescent="0.25">
      <c r="B26" s="1" t="s">
        <v>7</v>
      </c>
      <c r="E26" s="2" t="s">
        <v>160</v>
      </c>
    </row>
    <row r="27" spans="2:5" ht="15" x14ac:dyDescent="0.25">
      <c r="B27" s="1" t="s">
        <v>9</v>
      </c>
      <c r="E27" s="2" t="s">
        <v>160</v>
      </c>
    </row>
    <row r="28" spans="2:5" ht="15" x14ac:dyDescent="0.25">
      <c r="B28" s="1" t="s">
        <v>10</v>
      </c>
      <c r="E28" s="2" t="s">
        <v>160</v>
      </c>
    </row>
    <row r="29" spans="2:5" ht="15" x14ac:dyDescent="0.25">
      <c r="B29" s="1" t="s">
        <v>12</v>
      </c>
      <c r="E29" s="2" t="s">
        <v>160</v>
      </c>
    </row>
    <row r="30" spans="2:5" ht="15" x14ac:dyDescent="0.25">
      <c r="B30" s="1" t="s">
        <v>13</v>
      </c>
      <c r="E30" s="2" t="s">
        <v>160</v>
      </c>
    </row>
    <row r="32" spans="2:5" x14ac:dyDescent="0.2">
      <c r="B32" s="2" t="s">
        <v>161</v>
      </c>
    </row>
    <row r="33" spans="2:5" x14ac:dyDescent="0.2">
      <c r="B33" s="13" t="s">
        <v>171</v>
      </c>
    </row>
    <row r="34" spans="2:5" x14ac:dyDescent="0.2">
      <c r="B34" s="13" t="s">
        <v>172</v>
      </c>
    </row>
    <row r="37" spans="2:5" x14ac:dyDescent="0.2">
      <c r="B37" s="20" t="s">
        <v>162</v>
      </c>
    </row>
    <row r="38" spans="2:5" ht="15" x14ac:dyDescent="0.25">
      <c r="B38" s="1" t="s">
        <v>7</v>
      </c>
      <c r="E38" s="2" t="s">
        <v>163</v>
      </c>
    </row>
    <row r="39" spans="2:5" ht="15" x14ac:dyDescent="0.25">
      <c r="B39" s="1" t="s">
        <v>9</v>
      </c>
      <c r="E39" s="2" t="s">
        <v>164</v>
      </c>
    </row>
    <row r="40" spans="2:5" ht="15" x14ac:dyDescent="0.25">
      <c r="B40" s="1" t="s">
        <v>10</v>
      </c>
    </row>
    <row r="41" spans="2:5" ht="15" x14ac:dyDescent="0.25">
      <c r="B41" s="1" t="s">
        <v>12</v>
      </c>
    </row>
    <row r="42" spans="2:5" ht="15" x14ac:dyDescent="0.25">
      <c r="B42" s="1" t="s">
        <v>13</v>
      </c>
    </row>
    <row r="44" spans="2:5" x14ac:dyDescent="0.2">
      <c r="B44" s="2" t="s">
        <v>165</v>
      </c>
    </row>
    <row r="45" spans="2:5" x14ac:dyDescent="0.2">
      <c r="B45" s="13" t="s">
        <v>173</v>
      </c>
    </row>
    <row r="46" spans="2:5" x14ac:dyDescent="0.2">
      <c r="B46" s="13" t="s">
        <v>174</v>
      </c>
    </row>
    <row r="47" spans="2:5" x14ac:dyDescent="0.2">
      <c r="B47" s="13" t="s">
        <v>175</v>
      </c>
    </row>
    <row r="48" spans="2:5" x14ac:dyDescent="0.2">
      <c r="B48" s="13" t="s">
        <v>176</v>
      </c>
    </row>
    <row r="50" spans="2:2" x14ac:dyDescent="0.2">
      <c r="B50" s="20" t="s">
        <v>166</v>
      </c>
    </row>
    <row r="51" spans="2:2" x14ac:dyDescent="0.2">
      <c r="B51" s="2" t="s">
        <v>167</v>
      </c>
    </row>
    <row r="52" spans="2:2" x14ac:dyDescent="0.2">
      <c r="B52" s="2" t="s">
        <v>168</v>
      </c>
    </row>
    <row r="54" spans="2:2" x14ac:dyDescent="0.2">
      <c r="B54" s="2" t="s">
        <v>177</v>
      </c>
    </row>
    <row r="55" spans="2:2" x14ac:dyDescent="0.2">
      <c r="B55" s="2" t="s">
        <v>178</v>
      </c>
    </row>
    <row r="57" spans="2:2" x14ac:dyDescent="0.2">
      <c r="B57" s="20" t="s">
        <v>169</v>
      </c>
    </row>
    <row r="58" spans="2:2" x14ac:dyDescent="0.2">
      <c r="B58" s="2" t="s">
        <v>170</v>
      </c>
    </row>
    <row r="60" spans="2:2" x14ac:dyDescent="0.2">
      <c r="B60" s="2" t="s">
        <v>179</v>
      </c>
    </row>
  </sheetData>
  <hyperlinks>
    <hyperlink ref="A1" location="Main!A1" display="Main" xr:uid="{197B2E97-85A8-47B6-84DE-65CBA38723A6}"/>
  </hyperlink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9A028C-DDD7-4E28-A042-AE8761EEA781}">
  <dimension ref="A1:H64"/>
  <sheetViews>
    <sheetView zoomScale="175" zoomScaleNormal="175" workbookViewId="0">
      <selection activeCell="J63" sqref="J63"/>
    </sheetView>
  </sheetViews>
  <sheetFormatPr defaultRowHeight="12" x14ac:dyDescent="0.2"/>
  <cols>
    <col min="1" max="4" width="9.140625" style="2"/>
    <col min="5" max="5" width="12" style="2" bestFit="1" customWidth="1"/>
    <col min="6" max="7" width="9.140625" style="2"/>
    <col min="8" max="8" width="10.140625" style="2" bestFit="1" customWidth="1"/>
    <col min="9" max="9" width="10.7109375" style="2" bestFit="1" customWidth="1"/>
    <col min="10" max="10" width="10.42578125" style="2" bestFit="1" customWidth="1"/>
    <col min="11" max="11" width="12.28515625" style="2" bestFit="1" customWidth="1"/>
    <col min="12" max="16384" width="9.140625" style="2"/>
  </cols>
  <sheetData>
    <row r="1" spans="1:3" ht="15" x14ac:dyDescent="0.25">
      <c r="A1" s="3" t="s">
        <v>0</v>
      </c>
    </row>
    <row r="4" spans="1:3" x14ac:dyDescent="0.2">
      <c r="B4" s="2" t="s">
        <v>74</v>
      </c>
    </row>
    <row r="5" spans="1:3" x14ac:dyDescent="0.2">
      <c r="B5" s="2" t="s">
        <v>55</v>
      </c>
      <c r="C5" s="10">
        <v>45016</v>
      </c>
    </row>
    <row r="6" spans="1:3" x14ac:dyDescent="0.2">
      <c r="B6" s="2" t="s">
        <v>75</v>
      </c>
    </row>
    <row r="8" spans="1:3" x14ac:dyDescent="0.2">
      <c r="B8" s="13" t="s">
        <v>120</v>
      </c>
    </row>
    <row r="9" spans="1:3" x14ac:dyDescent="0.2">
      <c r="B9" s="13" t="s">
        <v>121</v>
      </c>
    </row>
    <row r="11" spans="1:3" x14ac:dyDescent="0.2">
      <c r="B11" s="20" t="s">
        <v>76</v>
      </c>
    </row>
    <row r="13" spans="1:3" x14ac:dyDescent="0.2">
      <c r="B13" s="13" t="s">
        <v>122</v>
      </c>
    </row>
    <row r="14" spans="1:3" x14ac:dyDescent="0.2">
      <c r="B14" s="13" t="s">
        <v>123</v>
      </c>
    </row>
    <row r="15" spans="1:3" x14ac:dyDescent="0.2">
      <c r="B15" s="13" t="s">
        <v>124</v>
      </c>
    </row>
    <row r="16" spans="1:3" x14ac:dyDescent="0.2">
      <c r="B16" s="13" t="s">
        <v>125</v>
      </c>
    </row>
    <row r="19" spans="2:6" x14ac:dyDescent="0.2">
      <c r="B19" s="2" t="s">
        <v>77</v>
      </c>
      <c r="C19" s="2">
        <v>12</v>
      </c>
      <c r="D19" s="2" t="s">
        <v>78</v>
      </c>
    </row>
    <row r="20" spans="2:6" x14ac:dyDescent="0.2">
      <c r="B20" s="2" t="s">
        <v>79</v>
      </c>
      <c r="C20" s="10">
        <v>44743</v>
      </c>
    </row>
    <row r="21" spans="2:6" x14ac:dyDescent="0.2">
      <c r="B21" s="2" t="s">
        <v>39</v>
      </c>
      <c r="C21" s="15">
        <v>5</v>
      </c>
      <c r="D21" s="2" t="s">
        <v>80</v>
      </c>
    </row>
    <row r="22" spans="2:6" x14ac:dyDescent="0.2">
      <c r="B22" s="2" t="s">
        <v>97</v>
      </c>
      <c r="C22" s="2">
        <v>1000000</v>
      </c>
      <c r="D22" s="2" t="s">
        <v>98</v>
      </c>
      <c r="E22" s="2" t="s">
        <v>99</v>
      </c>
      <c r="F22" s="10">
        <v>45107</v>
      </c>
    </row>
    <row r="23" spans="2:6" x14ac:dyDescent="0.2">
      <c r="B23" s="2" t="s">
        <v>100</v>
      </c>
      <c r="C23" s="2">
        <v>0.5</v>
      </c>
    </row>
    <row r="25" spans="2:6" x14ac:dyDescent="0.2">
      <c r="B25" s="2" t="s">
        <v>101</v>
      </c>
    </row>
    <row r="27" spans="2:6" x14ac:dyDescent="0.2">
      <c r="B27" s="2" t="s">
        <v>102</v>
      </c>
      <c r="C27" s="12">
        <v>768000</v>
      </c>
    </row>
    <row r="28" spans="2:6" x14ac:dyDescent="0.2">
      <c r="C28" s="12">
        <f>SUM(C27:C27)</f>
        <v>768000</v>
      </c>
    </row>
    <row r="30" spans="2:6" x14ac:dyDescent="0.2">
      <c r="B30" s="2" t="s">
        <v>22</v>
      </c>
      <c r="E30" s="12">
        <f>+C23*C28</f>
        <v>384000</v>
      </c>
      <c r="F30" s="12"/>
    </row>
    <row r="31" spans="2:6" x14ac:dyDescent="0.2">
      <c r="C31" s="2" t="s">
        <v>103</v>
      </c>
      <c r="E31" s="12"/>
      <c r="F31" s="12">
        <f>+C23*C28</f>
        <v>384000</v>
      </c>
    </row>
    <row r="32" spans="2:6" x14ac:dyDescent="0.2">
      <c r="B32" s="2" t="s">
        <v>115</v>
      </c>
    </row>
    <row r="34" spans="2:8" x14ac:dyDescent="0.2">
      <c r="B34" s="20" t="s">
        <v>134</v>
      </c>
    </row>
    <row r="35" spans="2:8" x14ac:dyDescent="0.2">
      <c r="B35" s="2" t="s">
        <v>119</v>
      </c>
    </row>
    <row r="36" spans="2:8" x14ac:dyDescent="0.2">
      <c r="B36" s="14" t="s">
        <v>116</v>
      </c>
    </row>
    <row r="37" spans="2:8" x14ac:dyDescent="0.2">
      <c r="B37" s="14" t="s">
        <v>117</v>
      </c>
    </row>
    <row r="38" spans="2:8" x14ac:dyDescent="0.2">
      <c r="B38" s="14" t="s">
        <v>118</v>
      </c>
    </row>
    <row r="40" spans="2:8" x14ac:dyDescent="0.2">
      <c r="B40" s="2" t="s">
        <v>104</v>
      </c>
      <c r="C40" s="21">
        <v>9</v>
      </c>
      <c r="D40" s="12">
        <f>+C43-D41</f>
        <v>9835</v>
      </c>
      <c r="E40" s="12">
        <f>+C40*D40</f>
        <v>88515</v>
      </c>
    </row>
    <row r="41" spans="2:8" x14ac:dyDescent="0.2">
      <c r="B41" s="2" t="s">
        <v>111</v>
      </c>
      <c r="C41" s="21">
        <v>4.5</v>
      </c>
      <c r="D41" s="12">
        <v>165</v>
      </c>
      <c r="E41" s="12">
        <f>+C41*D41</f>
        <v>742.5</v>
      </c>
    </row>
    <row r="42" spans="2:8" x14ac:dyDescent="0.2">
      <c r="D42" s="12"/>
      <c r="E42" s="12">
        <f>SUM(E40:E41)</f>
        <v>89257.5</v>
      </c>
    </row>
    <row r="43" spans="2:8" x14ac:dyDescent="0.2">
      <c r="B43" s="2" t="s">
        <v>105</v>
      </c>
      <c r="C43" s="2">
        <v>10000</v>
      </c>
      <c r="D43" s="2" t="s">
        <v>106</v>
      </c>
    </row>
    <row r="44" spans="2:8" x14ac:dyDescent="0.2">
      <c r="B44" s="2" t="s">
        <v>107</v>
      </c>
      <c r="C44" s="10">
        <v>45013</v>
      </c>
    </row>
    <row r="45" spans="2:8" x14ac:dyDescent="0.2">
      <c r="C45" s="12">
        <f>+C43*C40</f>
        <v>90000</v>
      </c>
    </row>
    <row r="47" spans="2:8" x14ac:dyDescent="0.2">
      <c r="B47" s="2" t="s">
        <v>108</v>
      </c>
      <c r="C47" s="2" t="s">
        <v>109</v>
      </c>
      <c r="G47" s="2" t="s">
        <v>110</v>
      </c>
    </row>
    <row r="48" spans="2:8" x14ac:dyDescent="0.2">
      <c r="B48" s="2">
        <v>0.5</v>
      </c>
      <c r="C48" s="12">
        <v>100</v>
      </c>
      <c r="D48" s="12">
        <f>+$C$43-C48</f>
        <v>9900</v>
      </c>
      <c r="E48" s="12">
        <f>+D48*$C$40</f>
        <v>89100</v>
      </c>
      <c r="F48" s="12">
        <f>+C48*$C$41</f>
        <v>450</v>
      </c>
      <c r="G48" s="12">
        <f>(E48-F48)*B48</f>
        <v>44325</v>
      </c>
      <c r="H48" s="2" t="str">
        <f ca="1">_xlfn.FORMULATEXT(G48)</f>
        <v>=(E48-F48)*B48</v>
      </c>
    </row>
    <row r="49" spans="2:8" x14ac:dyDescent="0.2">
      <c r="B49" s="2">
        <v>0.35</v>
      </c>
      <c r="C49" s="12">
        <v>200</v>
      </c>
      <c r="D49" s="12">
        <f t="shared" ref="D49:D50" si="0">+$C$43-C49</f>
        <v>9800</v>
      </c>
      <c r="E49" s="12">
        <f t="shared" ref="E49:E50" si="1">+D49*$C$40</f>
        <v>88200</v>
      </c>
      <c r="F49" s="12">
        <f t="shared" ref="F49:F50" si="2">+C49*$C$41</f>
        <v>900</v>
      </c>
      <c r="G49" s="12">
        <f t="shared" ref="G49:G50" si="3">(E49-F49)*B49</f>
        <v>30554.999999999996</v>
      </c>
      <c r="H49" s="2" t="str">
        <f t="shared" ref="H49:H50" ca="1" si="4">_xlfn.FORMULATEXT(G49)</f>
        <v>=(E49-F49)*B49</v>
      </c>
    </row>
    <row r="50" spans="2:8" x14ac:dyDescent="0.2">
      <c r="B50" s="2">
        <v>0.15</v>
      </c>
      <c r="C50" s="12">
        <v>300</v>
      </c>
      <c r="D50" s="12">
        <f t="shared" si="0"/>
        <v>9700</v>
      </c>
      <c r="E50" s="12">
        <f t="shared" si="1"/>
        <v>87300</v>
      </c>
      <c r="F50" s="12">
        <f t="shared" si="2"/>
        <v>1350</v>
      </c>
      <c r="G50" s="23">
        <f t="shared" si="3"/>
        <v>12892.5</v>
      </c>
      <c r="H50" s="2" t="str">
        <f t="shared" ca="1" si="4"/>
        <v>=(E50-F50)*B50</v>
      </c>
    </row>
    <row r="51" spans="2:8" x14ac:dyDescent="0.2">
      <c r="C51" s="12"/>
      <c r="D51" s="12"/>
      <c r="E51" s="12"/>
      <c r="F51" s="12"/>
      <c r="G51" s="12">
        <f>SUM(G48:G50)</f>
        <v>87772.5</v>
      </c>
    </row>
    <row r="52" spans="2:8" x14ac:dyDescent="0.2">
      <c r="C52" s="12"/>
      <c r="D52" s="12"/>
      <c r="E52" s="12"/>
      <c r="F52" s="12"/>
      <c r="G52" s="12">
        <f>+C45</f>
        <v>90000</v>
      </c>
    </row>
    <row r="53" spans="2:8" ht="12.75" thickBot="1" x14ac:dyDescent="0.25">
      <c r="B53" s="2" t="s">
        <v>112</v>
      </c>
      <c r="C53" s="12"/>
      <c r="D53" s="12"/>
      <c r="E53" s="12"/>
      <c r="F53" s="12"/>
      <c r="G53" s="22">
        <f>+G52-G51</f>
        <v>2227.5</v>
      </c>
    </row>
    <row r="54" spans="2:8" ht="12.75" thickTop="1" x14ac:dyDescent="0.2"/>
    <row r="55" spans="2:8" x14ac:dyDescent="0.2">
      <c r="B55" s="2" t="s">
        <v>113</v>
      </c>
      <c r="E55" s="21">
        <f>+G53</f>
        <v>2227.5</v>
      </c>
    </row>
    <row r="56" spans="2:8" x14ac:dyDescent="0.2">
      <c r="B56" s="2" t="s">
        <v>28</v>
      </c>
      <c r="E56" s="12">
        <f>+G51</f>
        <v>87772.5</v>
      </c>
      <c r="F56" s="12"/>
    </row>
    <row r="57" spans="2:8" x14ac:dyDescent="0.2">
      <c r="C57" s="2" t="s">
        <v>23</v>
      </c>
      <c r="F57" s="12">
        <f>+G52</f>
        <v>90000</v>
      </c>
    </row>
    <row r="58" spans="2:8" x14ac:dyDescent="0.2">
      <c r="B58" s="2" t="s">
        <v>114</v>
      </c>
    </row>
    <row r="61" spans="2:8" x14ac:dyDescent="0.2">
      <c r="B61" s="24" t="s">
        <v>136</v>
      </c>
    </row>
    <row r="62" spans="2:8" x14ac:dyDescent="0.2">
      <c r="B62" s="24" t="s">
        <v>116</v>
      </c>
    </row>
    <row r="63" spans="2:8" x14ac:dyDescent="0.2">
      <c r="B63" s="24" t="s">
        <v>135</v>
      </c>
    </row>
    <row r="64" spans="2:8" x14ac:dyDescent="0.2">
      <c r="B64" s="24" t="s">
        <v>118</v>
      </c>
    </row>
  </sheetData>
  <hyperlinks>
    <hyperlink ref="A1" location="Main!A1" display="Main" xr:uid="{EB74E6F2-6FD7-4303-90B4-EEAEA2B5CE6B}"/>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B9007-12DC-4E00-9F27-193563EA438F}">
  <dimension ref="A1:F36"/>
  <sheetViews>
    <sheetView zoomScale="160" zoomScaleNormal="160" workbookViewId="0">
      <selection activeCell="B27" sqref="B27"/>
    </sheetView>
  </sheetViews>
  <sheetFormatPr defaultRowHeight="12" x14ac:dyDescent="0.2"/>
  <cols>
    <col min="1" max="2" width="9.140625" style="2"/>
    <col min="3" max="3" width="11" style="2" bestFit="1" customWidth="1"/>
    <col min="4" max="6" width="9.7109375" style="2" bestFit="1" customWidth="1"/>
    <col min="7" max="16384" width="9.140625" style="2"/>
  </cols>
  <sheetData>
    <row r="1" spans="1:6" ht="15" x14ac:dyDescent="0.25">
      <c r="A1" s="3" t="s">
        <v>0</v>
      </c>
    </row>
    <row r="3" spans="1:6" x14ac:dyDescent="0.2">
      <c r="B3" s="2" t="s">
        <v>54</v>
      </c>
    </row>
    <row r="4" spans="1:6" x14ac:dyDescent="0.2">
      <c r="B4" s="2" t="s">
        <v>55</v>
      </c>
      <c r="C4" s="10">
        <v>45838</v>
      </c>
    </row>
    <row r="5" spans="1:6" x14ac:dyDescent="0.2">
      <c r="B5" s="2" t="s">
        <v>56</v>
      </c>
    </row>
    <row r="6" spans="1:6" x14ac:dyDescent="0.2">
      <c r="B6" s="2" t="s">
        <v>57</v>
      </c>
      <c r="C6" s="10">
        <v>45658</v>
      </c>
    </row>
    <row r="7" spans="1:6" x14ac:dyDescent="0.2">
      <c r="B7" s="2" t="s">
        <v>58</v>
      </c>
      <c r="C7" s="10">
        <v>45658</v>
      </c>
      <c r="D7" s="2">
        <v>561800</v>
      </c>
    </row>
    <row r="9" spans="1:6" x14ac:dyDescent="0.2">
      <c r="B9" s="2" t="s">
        <v>59</v>
      </c>
    </row>
    <row r="10" spans="1:6" x14ac:dyDescent="0.2">
      <c r="B10" s="2" t="s">
        <v>21</v>
      </c>
      <c r="E10" s="2">
        <f>+D7</f>
        <v>561800</v>
      </c>
    </row>
    <row r="11" spans="1:6" x14ac:dyDescent="0.2">
      <c r="C11" s="2" t="s">
        <v>43</v>
      </c>
      <c r="F11" s="2">
        <f>+E10</f>
        <v>561800</v>
      </c>
    </row>
    <row r="13" spans="1:6" x14ac:dyDescent="0.2">
      <c r="B13" s="2" t="s">
        <v>73</v>
      </c>
    </row>
    <row r="14" spans="1:6" x14ac:dyDescent="0.2">
      <c r="B14" s="14" t="s">
        <v>70</v>
      </c>
    </row>
    <row r="15" spans="1:6" x14ac:dyDescent="0.2">
      <c r="B15" s="14" t="s">
        <v>71</v>
      </c>
    </row>
    <row r="16" spans="1:6" x14ac:dyDescent="0.2">
      <c r="B16" s="14" t="s">
        <v>72</v>
      </c>
    </row>
    <row r="18" spans="2:6" x14ac:dyDescent="0.2">
      <c r="B18" s="2" t="s">
        <v>60</v>
      </c>
    </row>
    <row r="20" spans="2:6" x14ac:dyDescent="0.2">
      <c r="B20" s="10">
        <v>46023</v>
      </c>
      <c r="C20" s="2">
        <v>0</v>
      </c>
    </row>
    <row r="21" spans="2:6" x14ac:dyDescent="0.2">
      <c r="B21" s="10">
        <v>46388</v>
      </c>
      <c r="C21" s="12">
        <f>+F11</f>
        <v>561800</v>
      </c>
      <c r="D21" s="12"/>
    </row>
    <row r="22" spans="2:6" x14ac:dyDescent="0.2">
      <c r="B22" s="2" t="s">
        <v>24</v>
      </c>
      <c r="C22" s="12"/>
      <c r="D22" s="12">
        <f>NPV(0.06,C20:C21)</f>
        <v>500000</v>
      </c>
    </row>
    <row r="23" spans="2:6" x14ac:dyDescent="0.2">
      <c r="B23" s="2" t="s">
        <v>63</v>
      </c>
      <c r="C23" s="12"/>
      <c r="D23" s="12">
        <f>+C21-D22</f>
        <v>61800</v>
      </c>
    </row>
    <row r="25" spans="2:6" x14ac:dyDescent="0.2">
      <c r="B25" s="2" t="s">
        <v>62</v>
      </c>
      <c r="E25" s="11">
        <f>+D23</f>
        <v>61800</v>
      </c>
    </row>
    <row r="26" spans="2:6" x14ac:dyDescent="0.2">
      <c r="C26" s="2" t="s">
        <v>64</v>
      </c>
      <c r="F26" s="11">
        <f>+E25</f>
        <v>61800</v>
      </c>
    </row>
    <row r="27" spans="2:6" x14ac:dyDescent="0.2">
      <c r="B27" s="2" t="s">
        <v>65</v>
      </c>
      <c r="F27" s="11"/>
    </row>
    <row r="28" spans="2:6" x14ac:dyDescent="0.2">
      <c r="F28" s="11"/>
    </row>
    <row r="29" spans="2:6" x14ac:dyDescent="0.2">
      <c r="B29" s="2" t="s">
        <v>66</v>
      </c>
      <c r="F29" s="11"/>
    </row>
    <row r="30" spans="2:6" x14ac:dyDescent="0.2">
      <c r="C30" s="11">
        <f>+D23</f>
        <v>61800</v>
      </c>
    </row>
    <row r="31" spans="2:6" x14ac:dyDescent="0.2">
      <c r="C31" s="12">
        <f>YEARFRAC(C6,C4)*12</f>
        <v>5.9666666666666668</v>
      </c>
    </row>
    <row r="32" spans="2:6" x14ac:dyDescent="0.2">
      <c r="C32" s="11">
        <f>+C31/24*C30</f>
        <v>15364.166666666668</v>
      </c>
    </row>
    <row r="34" spans="2:6" x14ac:dyDescent="0.2">
      <c r="B34" s="2" t="s">
        <v>67</v>
      </c>
      <c r="E34" s="11">
        <f>+C32</f>
        <v>15364.166666666668</v>
      </c>
    </row>
    <row r="35" spans="2:6" x14ac:dyDescent="0.2">
      <c r="C35" s="2" t="s">
        <v>68</v>
      </c>
      <c r="F35" s="11">
        <f>+E34</f>
        <v>15364.166666666668</v>
      </c>
    </row>
    <row r="36" spans="2:6" x14ac:dyDescent="0.2">
      <c r="B36" s="2" t="s">
        <v>69</v>
      </c>
    </row>
  </sheetData>
  <hyperlinks>
    <hyperlink ref="A1" location="Main!A1" display="Main" xr:uid="{CAA9EA8B-8640-45F6-B799-6D997C1AB9AA}"/>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3F10F1-FBEB-40F8-9CDF-8EA0E597808A}">
  <dimension ref="A1:F40"/>
  <sheetViews>
    <sheetView zoomScale="175" zoomScaleNormal="175" workbookViewId="0"/>
  </sheetViews>
  <sheetFormatPr defaultRowHeight="12" x14ac:dyDescent="0.2"/>
  <cols>
    <col min="1" max="16384" width="9.140625" style="2"/>
  </cols>
  <sheetData>
    <row r="1" spans="1:4" ht="15" x14ac:dyDescent="0.25">
      <c r="A1" s="3" t="s">
        <v>0</v>
      </c>
    </row>
    <row r="4" spans="1:4" x14ac:dyDescent="0.2">
      <c r="B4" s="2" t="s">
        <v>278</v>
      </c>
    </row>
    <row r="5" spans="1:4" x14ac:dyDescent="0.2">
      <c r="B5" s="2" t="s">
        <v>55</v>
      </c>
      <c r="C5" s="10">
        <v>44804</v>
      </c>
    </row>
    <row r="7" spans="1:4" x14ac:dyDescent="0.2">
      <c r="B7" s="20" t="s">
        <v>279</v>
      </c>
    </row>
    <row r="8" spans="1:4" x14ac:dyDescent="0.2">
      <c r="B8" s="2" t="s">
        <v>285</v>
      </c>
    </row>
    <row r="9" spans="1:4" x14ac:dyDescent="0.2">
      <c r="B9" s="13" t="s">
        <v>280</v>
      </c>
    </row>
    <row r="10" spans="1:4" x14ac:dyDescent="0.2">
      <c r="B10" s="2" t="s">
        <v>281</v>
      </c>
    </row>
    <row r="11" spans="1:4" x14ac:dyDescent="0.2">
      <c r="B11" s="2" t="s">
        <v>282</v>
      </c>
      <c r="D11" s="12">
        <v>124000</v>
      </c>
    </row>
    <row r="12" spans="1:4" x14ac:dyDescent="0.2">
      <c r="B12" s="2" t="s">
        <v>283</v>
      </c>
      <c r="D12" s="12">
        <v>129000</v>
      </c>
    </row>
    <row r="14" spans="1:4" x14ac:dyDescent="0.2">
      <c r="B14" s="2" t="s">
        <v>284</v>
      </c>
    </row>
    <row r="15" spans="1:4" ht="12.75" thickBot="1" x14ac:dyDescent="0.25">
      <c r="B15" s="2" t="s">
        <v>24</v>
      </c>
      <c r="D15" s="22">
        <f>+D12</f>
        <v>129000</v>
      </c>
    </row>
    <row r="16" spans="1:4" ht="12.75" thickTop="1" x14ac:dyDescent="0.2">
      <c r="D16" s="35"/>
    </row>
    <row r="17" spans="2:6" x14ac:dyDescent="0.2">
      <c r="B17" s="2" t="s">
        <v>287</v>
      </c>
      <c r="E17" s="12">
        <f>+F18</f>
        <v>129000</v>
      </c>
    </row>
    <row r="18" spans="2:6" x14ac:dyDescent="0.2">
      <c r="C18" s="2" t="s">
        <v>61</v>
      </c>
      <c r="D18" s="35"/>
      <c r="F18" s="12">
        <f>+D15</f>
        <v>129000</v>
      </c>
    </row>
    <row r="19" spans="2:6" x14ac:dyDescent="0.2">
      <c r="B19" s="2" t="s">
        <v>300</v>
      </c>
      <c r="D19" s="35"/>
      <c r="F19" s="12"/>
    </row>
    <row r="21" spans="2:6" x14ac:dyDescent="0.2">
      <c r="B21" s="13" t="s">
        <v>286</v>
      </c>
    </row>
    <row r="22" spans="2:6" x14ac:dyDescent="0.2">
      <c r="B22" s="2" t="s">
        <v>288</v>
      </c>
      <c r="C22" s="12">
        <v>10000</v>
      </c>
    </row>
    <row r="23" spans="2:6" x14ac:dyDescent="0.2">
      <c r="B23" s="2" t="s">
        <v>298</v>
      </c>
      <c r="C23" s="12">
        <v>11000</v>
      </c>
    </row>
    <row r="24" spans="2:6" x14ac:dyDescent="0.2">
      <c r="B24" s="2" t="s">
        <v>289</v>
      </c>
    </row>
    <row r="25" spans="2:6" x14ac:dyDescent="0.2">
      <c r="B25" s="2" t="s">
        <v>290</v>
      </c>
    </row>
    <row r="26" spans="2:6" x14ac:dyDescent="0.2">
      <c r="B26" s="2" t="s">
        <v>291</v>
      </c>
    </row>
    <row r="29" spans="2:6" x14ac:dyDescent="0.2">
      <c r="B29" s="2" t="s">
        <v>292</v>
      </c>
      <c r="E29" s="12">
        <f>+C23</f>
        <v>11000</v>
      </c>
      <c r="F29" s="12"/>
    </row>
    <row r="30" spans="2:6" x14ac:dyDescent="0.2">
      <c r="C30" s="2" t="s">
        <v>61</v>
      </c>
      <c r="E30" s="12"/>
      <c r="F30" s="12">
        <f>+E29</f>
        <v>11000</v>
      </c>
    </row>
    <row r="31" spans="2:6" x14ac:dyDescent="0.2">
      <c r="B31" s="2" t="s">
        <v>301</v>
      </c>
    </row>
    <row r="33" spans="2:4" x14ac:dyDescent="0.2">
      <c r="B33" s="13" t="s">
        <v>293</v>
      </c>
    </row>
    <row r="35" spans="2:4" x14ac:dyDescent="0.2">
      <c r="B35" s="2" t="s">
        <v>294</v>
      </c>
      <c r="C35" s="2">
        <v>13800</v>
      </c>
      <c r="D35" s="10">
        <v>44562</v>
      </c>
    </row>
    <row r="37" spans="2:4" x14ac:dyDescent="0.2">
      <c r="B37" s="2" t="s">
        <v>295</v>
      </c>
    </row>
    <row r="38" spans="2:4" x14ac:dyDescent="0.2">
      <c r="B38" s="2" t="s">
        <v>296</v>
      </c>
    </row>
    <row r="39" spans="2:4" x14ac:dyDescent="0.2">
      <c r="B39" s="2" t="s">
        <v>297</v>
      </c>
    </row>
    <row r="40" spans="2:4" x14ac:dyDescent="0.2">
      <c r="B40" s="2" t="s">
        <v>299</v>
      </c>
    </row>
  </sheetData>
  <hyperlinks>
    <hyperlink ref="A1" location="Main!A1" display="Main" xr:uid="{8D371143-F0F2-40C9-AD22-92C186717F52}"/>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E34676-45E0-48F0-B04F-95DE2F2652C3}">
  <dimension ref="A1:F48"/>
  <sheetViews>
    <sheetView zoomScale="175" zoomScaleNormal="175" workbookViewId="0"/>
  </sheetViews>
  <sheetFormatPr defaultRowHeight="12" x14ac:dyDescent="0.2"/>
  <cols>
    <col min="1" max="16384" width="9.140625" style="2"/>
  </cols>
  <sheetData>
    <row r="1" spans="1:4" ht="15" x14ac:dyDescent="0.25">
      <c r="A1" s="3" t="s">
        <v>0</v>
      </c>
    </row>
    <row r="3" spans="1:4" x14ac:dyDescent="0.2">
      <c r="B3" s="2" t="s">
        <v>302</v>
      </c>
      <c r="D3" s="24" t="s">
        <v>328</v>
      </c>
    </row>
    <row r="4" spans="1:4" x14ac:dyDescent="0.2">
      <c r="B4" s="2" t="s">
        <v>55</v>
      </c>
      <c r="C4" s="10">
        <v>47118</v>
      </c>
    </row>
    <row r="7" spans="1:4" x14ac:dyDescent="0.2">
      <c r="B7" s="20" t="s">
        <v>279</v>
      </c>
    </row>
    <row r="8" spans="1:4" x14ac:dyDescent="0.2">
      <c r="B8" s="2" t="s">
        <v>303</v>
      </c>
      <c r="C8" s="10">
        <v>46905</v>
      </c>
    </row>
    <row r="9" spans="1:4" x14ac:dyDescent="0.2">
      <c r="B9" s="2" t="s">
        <v>304</v>
      </c>
      <c r="C9" s="2">
        <v>10</v>
      </c>
    </row>
    <row r="10" spans="1:4" x14ac:dyDescent="0.2">
      <c r="B10" s="2" t="s">
        <v>305</v>
      </c>
    </row>
    <row r="11" spans="1:4" x14ac:dyDescent="0.2">
      <c r="B11" s="2" t="s">
        <v>306</v>
      </c>
    </row>
    <row r="12" spans="1:4" x14ac:dyDescent="0.2">
      <c r="B12" s="2" t="s">
        <v>307</v>
      </c>
      <c r="C12" s="10">
        <v>46996</v>
      </c>
    </row>
    <row r="13" spans="1:4" x14ac:dyDescent="0.2">
      <c r="C13" s="10"/>
    </row>
    <row r="14" spans="1:4" x14ac:dyDescent="0.2">
      <c r="B14" s="2" t="s">
        <v>311</v>
      </c>
      <c r="C14" s="10"/>
    </row>
    <row r="15" spans="1:4" x14ac:dyDescent="0.2">
      <c r="B15" s="2" t="s">
        <v>326</v>
      </c>
      <c r="C15" s="10"/>
    </row>
    <row r="16" spans="1:4" x14ac:dyDescent="0.2">
      <c r="B16" s="2" t="s">
        <v>327</v>
      </c>
      <c r="C16" s="10"/>
    </row>
    <row r="18" spans="2:4" x14ac:dyDescent="0.2">
      <c r="B18" s="2" t="s">
        <v>39</v>
      </c>
      <c r="C18" s="12">
        <v>150000</v>
      </c>
      <c r="D18" s="2" t="s">
        <v>308</v>
      </c>
    </row>
    <row r="19" spans="2:4" x14ac:dyDescent="0.2">
      <c r="C19" s="12">
        <f>+C9*C18</f>
        <v>1500000</v>
      </c>
    </row>
    <row r="21" spans="2:4" x14ac:dyDescent="0.2">
      <c r="B21" s="2" t="s">
        <v>309</v>
      </c>
      <c r="C21" s="12">
        <v>100000</v>
      </c>
      <c r="D21" s="2" t="s">
        <v>308</v>
      </c>
    </row>
    <row r="22" spans="2:4" x14ac:dyDescent="0.2">
      <c r="C22" s="12">
        <f>+C9*C21</f>
        <v>1000000</v>
      </c>
    </row>
    <row r="24" spans="2:4" x14ac:dyDescent="0.2">
      <c r="B24" s="2" t="s">
        <v>310</v>
      </c>
    </row>
    <row r="25" spans="2:4" x14ac:dyDescent="0.2">
      <c r="B25" s="2" t="s">
        <v>323</v>
      </c>
    </row>
    <row r="28" spans="2:4" x14ac:dyDescent="0.2">
      <c r="B28" s="2" t="s">
        <v>312</v>
      </c>
      <c r="C28" s="10">
        <v>47083</v>
      </c>
      <c r="D28" s="2">
        <v>10</v>
      </c>
    </row>
    <row r="29" spans="2:4" x14ac:dyDescent="0.2">
      <c r="B29" s="2" t="s">
        <v>107</v>
      </c>
      <c r="C29" s="10">
        <v>47087</v>
      </c>
    </row>
    <row r="30" spans="2:4" x14ac:dyDescent="0.2">
      <c r="B30" s="2" t="s">
        <v>313</v>
      </c>
      <c r="C30" s="10">
        <v>47087</v>
      </c>
    </row>
    <row r="31" spans="2:4" x14ac:dyDescent="0.2">
      <c r="B31" s="2" t="s">
        <v>314</v>
      </c>
      <c r="C31" s="12">
        <v>8000</v>
      </c>
      <c r="D31" s="2" t="s">
        <v>315</v>
      </c>
    </row>
    <row r="32" spans="2:4" x14ac:dyDescent="0.2">
      <c r="B32" s="2" t="s">
        <v>316</v>
      </c>
      <c r="C32" s="12">
        <v>8000</v>
      </c>
      <c r="D32" s="2" t="s">
        <v>317</v>
      </c>
    </row>
    <row r="33" spans="2:6" x14ac:dyDescent="0.2">
      <c r="C33" s="12"/>
    </row>
    <row r="34" spans="2:6" x14ac:dyDescent="0.2">
      <c r="B34" s="2" t="s">
        <v>138</v>
      </c>
      <c r="C34" s="12">
        <v>145000</v>
      </c>
    </row>
    <row r="35" spans="2:6" x14ac:dyDescent="0.2">
      <c r="B35" s="2" t="s">
        <v>318</v>
      </c>
      <c r="C35" s="2">
        <v>60</v>
      </c>
      <c r="D35" s="2" t="s">
        <v>319</v>
      </c>
    </row>
    <row r="36" spans="2:6" x14ac:dyDescent="0.2">
      <c r="B36" s="2" t="s">
        <v>320</v>
      </c>
    </row>
    <row r="38" spans="2:6" x14ac:dyDescent="0.2">
      <c r="B38" s="2" t="s">
        <v>24</v>
      </c>
      <c r="D38" s="12">
        <f>+C34</f>
        <v>145000</v>
      </c>
    </row>
    <row r="39" spans="2:6" x14ac:dyDescent="0.2">
      <c r="B39" s="2" t="s">
        <v>321</v>
      </c>
    </row>
    <row r="41" spans="2:6" x14ac:dyDescent="0.2">
      <c r="E41" s="36" t="s">
        <v>44</v>
      </c>
      <c r="F41" s="36" t="s">
        <v>44</v>
      </c>
    </row>
    <row r="42" spans="2:6" x14ac:dyDescent="0.2">
      <c r="B42" s="2" t="s">
        <v>322</v>
      </c>
      <c r="E42" s="12">
        <f>(+C21)*(10/1000)</f>
        <v>1000</v>
      </c>
      <c r="F42" s="12"/>
    </row>
    <row r="43" spans="2:6" x14ac:dyDescent="0.2">
      <c r="B43" s="2" t="s">
        <v>322</v>
      </c>
      <c r="E43" s="12">
        <f>+C32/1000</f>
        <v>8</v>
      </c>
      <c r="F43" s="12"/>
    </row>
    <row r="44" spans="2:6" x14ac:dyDescent="0.2">
      <c r="B44" s="2" t="s">
        <v>21</v>
      </c>
      <c r="E44" s="12">
        <f>(+F45)</f>
        <v>1450</v>
      </c>
      <c r="F44" s="12"/>
    </row>
    <row r="45" spans="2:6" x14ac:dyDescent="0.2">
      <c r="C45" s="2" t="s">
        <v>61</v>
      </c>
      <c r="E45" s="12"/>
      <c r="F45" s="12">
        <f>(+D38)*(10/1000)</f>
        <v>1450</v>
      </c>
    </row>
    <row r="46" spans="2:6" x14ac:dyDescent="0.2">
      <c r="C46" s="2" t="s">
        <v>317</v>
      </c>
      <c r="E46" s="12"/>
      <c r="F46" s="12">
        <f>(+E43)</f>
        <v>8</v>
      </c>
    </row>
    <row r="47" spans="2:6" x14ac:dyDescent="0.2">
      <c r="C47" s="2" t="s">
        <v>324</v>
      </c>
      <c r="E47" s="12"/>
      <c r="F47" s="12">
        <f>(+E42)</f>
        <v>1000</v>
      </c>
    </row>
    <row r="48" spans="2:6" x14ac:dyDescent="0.2">
      <c r="B48" s="2" t="s">
        <v>325</v>
      </c>
    </row>
  </sheetData>
  <hyperlinks>
    <hyperlink ref="A1" location="Main!A1" display="Main" xr:uid="{E7411FA6-0980-42AA-B5F6-54355F8D7737}"/>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E2540-C980-4D2C-9C43-DEB708B8541E}">
  <dimension ref="A1:F54"/>
  <sheetViews>
    <sheetView topLeftCell="A2" zoomScale="175" zoomScaleNormal="175" workbookViewId="0">
      <selection activeCell="A2" sqref="A2"/>
    </sheetView>
  </sheetViews>
  <sheetFormatPr defaultRowHeight="12" x14ac:dyDescent="0.2"/>
  <cols>
    <col min="1" max="16384" width="9.140625" style="2"/>
  </cols>
  <sheetData>
    <row r="1" spans="1:4" ht="15" x14ac:dyDescent="0.25">
      <c r="A1" s="3" t="s">
        <v>0</v>
      </c>
    </row>
    <row r="3" spans="1:4" x14ac:dyDescent="0.2">
      <c r="B3" s="2" t="s">
        <v>329</v>
      </c>
      <c r="C3" s="24" t="s">
        <v>354</v>
      </c>
    </row>
    <row r="4" spans="1:4" x14ac:dyDescent="0.2">
      <c r="B4" s="2" t="s">
        <v>55</v>
      </c>
      <c r="C4" s="10">
        <v>46811</v>
      </c>
    </row>
    <row r="6" spans="1:4" x14ac:dyDescent="0.2">
      <c r="B6" s="2" t="s">
        <v>39</v>
      </c>
      <c r="C6" s="2">
        <v>5.99</v>
      </c>
      <c r="D6" s="2" t="s">
        <v>330</v>
      </c>
    </row>
    <row r="7" spans="1:4" x14ac:dyDescent="0.2">
      <c r="D7" s="2" t="s">
        <v>331</v>
      </c>
    </row>
    <row r="8" spans="1:4" x14ac:dyDescent="0.2">
      <c r="B8" s="10">
        <v>46447</v>
      </c>
      <c r="C8" s="2">
        <v>840</v>
      </c>
      <c r="D8" s="2" t="s">
        <v>332</v>
      </c>
    </row>
    <row r="9" spans="1:4" x14ac:dyDescent="0.2">
      <c r="B9" s="10">
        <v>46568</v>
      </c>
      <c r="C9" s="2">
        <v>952</v>
      </c>
      <c r="D9" s="2" t="s">
        <v>333</v>
      </c>
    </row>
    <row r="10" spans="1:4" x14ac:dyDescent="0.2">
      <c r="B10" s="10">
        <v>46660</v>
      </c>
      <c r="C10" s="2">
        <v>1030</v>
      </c>
      <c r="D10" s="2" t="s">
        <v>333</v>
      </c>
    </row>
    <row r="11" spans="1:4" x14ac:dyDescent="0.2">
      <c r="B11" s="10">
        <v>46752</v>
      </c>
      <c r="C11" s="2">
        <v>1125</v>
      </c>
      <c r="D11" s="2" t="s">
        <v>333</v>
      </c>
    </row>
    <row r="13" spans="1:4" x14ac:dyDescent="0.2">
      <c r="B13" s="2" t="s">
        <v>334</v>
      </c>
      <c r="C13" s="2" t="s">
        <v>335</v>
      </c>
    </row>
    <row r="16" spans="1:4" x14ac:dyDescent="0.2">
      <c r="B16" s="20" t="s">
        <v>279</v>
      </c>
    </row>
    <row r="17" spans="2:5" x14ac:dyDescent="0.2">
      <c r="B17" s="2" t="s">
        <v>336</v>
      </c>
    </row>
    <row r="18" spans="2:5" x14ac:dyDescent="0.2">
      <c r="B18" s="2" t="s">
        <v>7</v>
      </c>
      <c r="D18" s="2" t="s">
        <v>337</v>
      </c>
    </row>
    <row r="19" spans="2:5" x14ac:dyDescent="0.2">
      <c r="B19" s="2" t="s">
        <v>9</v>
      </c>
      <c r="D19" s="2" t="s">
        <v>338</v>
      </c>
    </row>
    <row r="20" spans="2:5" x14ac:dyDescent="0.2">
      <c r="B20" s="2" t="s">
        <v>10</v>
      </c>
      <c r="D20" s="2" t="s">
        <v>339</v>
      </c>
    </row>
    <row r="21" spans="2:5" x14ac:dyDescent="0.2">
      <c r="B21" s="2" t="s">
        <v>12</v>
      </c>
      <c r="D21" s="2" t="s">
        <v>349</v>
      </c>
    </row>
    <row r="22" spans="2:5" x14ac:dyDescent="0.2">
      <c r="B22" s="2" t="s">
        <v>13</v>
      </c>
      <c r="D22" s="2" t="s">
        <v>340</v>
      </c>
    </row>
    <row r="24" spans="2:5" x14ac:dyDescent="0.2">
      <c r="B24" s="20" t="s">
        <v>341</v>
      </c>
    </row>
    <row r="26" spans="2:5" x14ac:dyDescent="0.2">
      <c r="B26" s="2" t="s">
        <v>342</v>
      </c>
    </row>
    <row r="27" spans="2:5" x14ac:dyDescent="0.2">
      <c r="B27" s="2" t="s">
        <v>343</v>
      </c>
    </row>
    <row r="28" spans="2:5" x14ac:dyDescent="0.2">
      <c r="B28" s="2" t="s">
        <v>344</v>
      </c>
    </row>
    <row r="31" spans="2:5" x14ac:dyDescent="0.2">
      <c r="E31" s="2" t="s">
        <v>345</v>
      </c>
    </row>
    <row r="32" spans="2:5" x14ac:dyDescent="0.2">
      <c r="B32" s="10">
        <v>46477</v>
      </c>
      <c r="C32" s="2">
        <v>840</v>
      </c>
      <c r="D32" s="2" t="s">
        <v>333</v>
      </c>
      <c r="E32" s="2">
        <f>+C32</f>
        <v>840</v>
      </c>
    </row>
    <row r="33" spans="2:5" x14ac:dyDescent="0.2">
      <c r="B33" s="10">
        <v>46568</v>
      </c>
      <c r="C33" s="2">
        <v>952</v>
      </c>
      <c r="D33" s="2" t="s">
        <v>333</v>
      </c>
      <c r="E33" s="2">
        <f>+C33-E32</f>
        <v>112</v>
      </c>
    </row>
    <row r="34" spans="2:5" x14ac:dyDescent="0.2">
      <c r="B34" s="10">
        <v>46660</v>
      </c>
      <c r="C34" s="2">
        <v>1030</v>
      </c>
      <c r="D34" s="2" t="s">
        <v>333</v>
      </c>
      <c r="E34" s="2">
        <f t="shared" ref="E34:E35" si="0">+C34-E33</f>
        <v>918</v>
      </c>
    </row>
    <row r="35" spans="2:5" x14ac:dyDescent="0.2">
      <c r="B35" s="10">
        <v>46752</v>
      </c>
      <c r="C35" s="2">
        <v>1125</v>
      </c>
      <c r="D35" s="2" t="s">
        <v>333</v>
      </c>
      <c r="E35" s="2">
        <f t="shared" si="0"/>
        <v>207</v>
      </c>
    </row>
    <row r="36" spans="2:5" x14ac:dyDescent="0.2">
      <c r="B36" s="10">
        <v>46843</v>
      </c>
      <c r="C36" s="2">
        <v>220</v>
      </c>
    </row>
    <row r="38" spans="2:5" x14ac:dyDescent="0.2">
      <c r="B38" s="2" t="s">
        <v>346</v>
      </c>
    </row>
    <row r="39" spans="2:5" x14ac:dyDescent="0.2">
      <c r="B39" s="10">
        <v>46477</v>
      </c>
      <c r="C39" s="12">
        <f>+C32*$C$6</f>
        <v>5031.6000000000004</v>
      </c>
    </row>
    <row r="40" spans="2:5" x14ac:dyDescent="0.2">
      <c r="B40" s="10">
        <v>46568</v>
      </c>
      <c r="C40" s="12">
        <f t="shared" ref="C40:C42" si="1">+C33*$C$6</f>
        <v>5702.4800000000005</v>
      </c>
    </row>
    <row r="41" spans="2:5" x14ac:dyDescent="0.2">
      <c r="B41" s="10">
        <v>46660</v>
      </c>
      <c r="C41" s="12">
        <f t="shared" si="1"/>
        <v>6169.7</v>
      </c>
    </row>
    <row r="42" spans="2:5" x14ac:dyDescent="0.2">
      <c r="B42" s="10">
        <v>46752</v>
      </c>
      <c r="C42" s="12">
        <f t="shared" si="1"/>
        <v>6738.75</v>
      </c>
    </row>
    <row r="43" spans="2:5" x14ac:dyDescent="0.2">
      <c r="C43" s="12">
        <f>SUM(C39:C42)</f>
        <v>23642.530000000002</v>
      </c>
    </row>
    <row r="44" spans="2:5" x14ac:dyDescent="0.2">
      <c r="B44" s="2" t="s">
        <v>352</v>
      </c>
      <c r="C44" s="12">
        <f>+C35*$C$6*0.666666666666667</f>
        <v>4492.5</v>
      </c>
    </row>
    <row r="45" spans="2:5" x14ac:dyDescent="0.2">
      <c r="C45" s="12">
        <f>100*$C$6*2/3</f>
        <v>399.33333333333331</v>
      </c>
      <c r="D45" s="37" t="s">
        <v>350</v>
      </c>
    </row>
    <row r="46" spans="2:5" x14ac:dyDescent="0.2">
      <c r="B46" s="10">
        <v>46843</v>
      </c>
      <c r="C46" s="12">
        <f>120*$C$6*1/2</f>
        <v>359.40000000000003</v>
      </c>
      <c r="D46" s="37" t="s">
        <v>351</v>
      </c>
    </row>
    <row r="47" spans="2:5" x14ac:dyDescent="0.2">
      <c r="C47" s="12">
        <f>SUM(C43:C46)</f>
        <v>28893.763333333336</v>
      </c>
    </row>
    <row r="49" spans="2:6" x14ac:dyDescent="0.2">
      <c r="B49" s="2" t="s">
        <v>347</v>
      </c>
      <c r="C49" s="12">
        <f>+C47</f>
        <v>28893.763333333336</v>
      </c>
    </row>
    <row r="51" spans="2:6" x14ac:dyDescent="0.2">
      <c r="B51" s="2" t="s">
        <v>348</v>
      </c>
      <c r="E51" s="12">
        <f>+C43</f>
        <v>23642.530000000002</v>
      </c>
    </row>
    <row r="52" spans="2:6" x14ac:dyDescent="0.2">
      <c r="B52" s="2" t="s">
        <v>28</v>
      </c>
      <c r="E52" s="12">
        <f>SUM(C44:C46)</f>
        <v>5251.2333333333327</v>
      </c>
    </row>
    <row r="53" spans="2:6" x14ac:dyDescent="0.2">
      <c r="C53" s="2" t="s">
        <v>61</v>
      </c>
      <c r="F53" s="12">
        <f>+C49</f>
        <v>28893.763333333336</v>
      </c>
    </row>
    <row r="54" spans="2:6" x14ac:dyDescent="0.2">
      <c r="B54" s="2" t="s">
        <v>353</v>
      </c>
    </row>
  </sheetData>
  <hyperlinks>
    <hyperlink ref="A1" location="Main!A1" display="Main" xr:uid="{A304FE07-DC2C-444D-9B54-C90B5E4D7FA6}"/>
  </hyperlink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12B076-9E3A-40D6-B325-F5B16DCA5A1E}">
  <dimension ref="A1:F71"/>
  <sheetViews>
    <sheetView topLeftCell="A4" zoomScale="175" zoomScaleNormal="175" workbookViewId="0">
      <selection activeCell="C11" sqref="C11"/>
    </sheetView>
  </sheetViews>
  <sheetFormatPr defaultRowHeight="12" x14ac:dyDescent="0.2"/>
  <cols>
    <col min="1" max="16384" width="9.140625" style="2"/>
  </cols>
  <sheetData>
    <row r="1" spans="1:5" ht="15" x14ac:dyDescent="0.25">
      <c r="A1" s="3" t="s">
        <v>0</v>
      </c>
    </row>
    <row r="3" spans="1:5" x14ac:dyDescent="0.2">
      <c r="B3" s="2" t="s">
        <v>227</v>
      </c>
    </row>
    <row r="4" spans="1:5" x14ac:dyDescent="0.2">
      <c r="B4" s="2" t="s">
        <v>55</v>
      </c>
      <c r="C4" s="10">
        <v>46477</v>
      </c>
    </row>
    <row r="6" spans="1:5" x14ac:dyDescent="0.2">
      <c r="B6" s="2" t="s">
        <v>79</v>
      </c>
      <c r="C6" s="10">
        <v>46174</v>
      </c>
    </row>
    <row r="7" spans="1:5" x14ac:dyDescent="0.2">
      <c r="B7" s="2" t="s">
        <v>228</v>
      </c>
      <c r="C7" s="10">
        <v>46904</v>
      </c>
    </row>
    <row r="8" spans="1:5" x14ac:dyDescent="0.2">
      <c r="B8" s="2" t="s">
        <v>138</v>
      </c>
      <c r="C8" s="2">
        <v>11000000</v>
      </c>
    </row>
    <row r="9" spans="1:5" x14ac:dyDescent="0.2">
      <c r="B9" s="2" t="s">
        <v>229</v>
      </c>
      <c r="C9" s="33">
        <v>0.05</v>
      </c>
      <c r="D9" s="2" t="s">
        <v>230</v>
      </c>
    </row>
    <row r="10" spans="1:5" x14ac:dyDescent="0.2">
      <c r="B10" s="2" t="s">
        <v>229</v>
      </c>
      <c r="C10" s="12">
        <f>+C9*C8</f>
        <v>550000</v>
      </c>
      <c r="D10" s="2" t="s">
        <v>231</v>
      </c>
    </row>
    <row r="11" spans="1:5" x14ac:dyDescent="0.2">
      <c r="B11" s="2" t="s">
        <v>111</v>
      </c>
      <c r="C11" s="2">
        <v>50000</v>
      </c>
      <c r="D11" s="2" t="s">
        <v>231</v>
      </c>
      <c r="E11" s="2" t="s">
        <v>232</v>
      </c>
    </row>
    <row r="13" spans="1:5" x14ac:dyDescent="0.2">
      <c r="B13" s="2" t="s">
        <v>233</v>
      </c>
    </row>
    <row r="14" spans="1:5" x14ac:dyDescent="0.2">
      <c r="B14" s="2" t="s">
        <v>234</v>
      </c>
    </row>
    <row r="15" spans="1:5" x14ac:dyDescent="0.2">
      <c r="B15" s="2" t="s">
        <v>235</v>
      </c>
    </row>
    <row r="16" spans="1:5" x14ac:dyDescent="0.2">
      <c r="B16" s="2" t="s">
        <v>236</v>
      </c>
    </row>
    <row r="17" spans="2:4" x14ac:dyDescent="0.2">
      <c r="B17" s="2" t="s">
        <v>237</v>
      </c>
    </row>
    <row r="19" spans="2:4" x14ac:dyDescent="0.2">
      <c r="B19" s="2" t="s">
        <v>238</v>
      </c>
    </row>
    <row r="20" spans="2:4" x14ac:dyDescent="0.2">
      <c r="C20" s="2" t="s">
        <v>44</v>
      </c>
    </row>
    <row r="21" spans="2:4" x14ac:dyDescent="0.2">
      <c r="B21" s="2" t="s">
        <v>246</v>
      </c>
      <c r="C21" s="12">
        <v>4200</v>
      </c>
    </row>
    <row r="22" spans="2:4" x14ac:dyDescent="0.2">
      <c r="B22" s="2" t="s">
        <v>245</v>
      </c>
      <c r="C22" s="12">
        <v>2650</v>
      </c>
    </row>
    <row r="23" spans="2:4" x14ac:dyDescent="0.2">
      <c r="B23" s="2" t="s">
        <v>244</v>
      </c>
      <c r="C23" s="12">
        <v>240</v>
      </c>
    </row>
    <row r="24" spans="2:4" x14ac:dyDescent="0.2">
      <c r="B24" s="2" t="s">
        <v>243</v>
      </c>
      <c r="C24" s="12">
        <v>330</v>
      </c>
    </row>
    <row r="25" spans="2:4" x14ac:dyDescent="0.2">
      <c r="B25" s="2" t="s">
        <v>242</v>
      </c>
      <c r="C25" s="34">
        <v>320</v>
      </c>
    </row>
    <row r="26" spans="2:4" x14ac:dyDescent="0.2">
      <c r="B26" s="2" t="s">
        <v>241</v>
      </c>
      <c r="C26" s="34">
        <v>260</v>
      </c>
      <c r="D26" s="2" t="s">
        <v>254</v>
      </c>
    </row>
    <row r="27" spans="2:4" x14ac:dyDescent="0.2">
      <c r="B27" s="2" t="s">
        <v>240</v>
      </c>
      <c r="C27" s="12">
        <v>34</v>
      </c>
    </row>
    <row r="28" spans="2:4" x14ac:dyDescent="0.2">
      <c r="B28" s="2" t="s">
        <v>239</v>
      </c>
      <c r="C28" s="12">
        <v>2100</v>
      </c>
    </row>
    <row r="29" spans="2:4" x14ac:dyDescent="0.2">
      <c r="C29" s="12"/>
    </row>
    <row r="30" spans="2:4" x14ac:dyDescent="0.2">
      <c r="B30" s="2" t="s">
        <v>247</v>
      </c>
      <c r="C30" s="12">
        <v>4300</v>
      </c>
    </row>
    <row r="31" spans="2:4" x14ac:dyDescent="0.2">
      <c r="B31" s="2" t="s">
        <v>248</v>
      </c>
      <c r="C31" s="2">
        <v>5300</v>
      </c>
      <c r="D31" s="2" t="s">
        <v>249</v>
      </c>
    </row>
    <row r="34" spans="2:4" x14ac:dyDescent="0.2">
      <c r="B34" s="2" t="s">
        <v>250</v>
      </c>
    </row>
    <row r="35" spans="2:4" x14ac:dyDescent="0.2">
      <c r="B35" s="2" t="s">
        <v>251</v>
      </c>
    </row>
    <row r="36" spans="2:4" x14ac:dyDescent="0.2">
      <c r="B36" s="2" t="s">
        <v>252</v>
      </c>
      <c r="C36" s="12">
        <f>+C21+C22+C23+C24+C27</f>
        <v>7454</v>
      </c>
    </row>
    <row r="37" spans="2:4" x14ac:dyDescent="0.2">
      <c r="B37" s="2" t="s">
        <v>253</v>
      </c>
      <c r="C37" s="12">
        <f>+C28</f>
        <v>2100</v>
      </c>
    </row>
    <row r="39" spans="2:4" x14ac:dyDescent="0.2">
      <c r="B39" s="2" t="s">
        <v>255</v>
      </c>
    </row>
    <row r="40" spans="2:4" x14ac:dyDescent="0.2">
      <c r="B40" s="2" t="s">
        <v>261</v>
      </c>
      <c r="C40" s="2">
        <f>(+C8+C10)/1000</f>
        <v>11550</v>
      </c>
      <c r="D40" s="2" t="s">
        <v>262</v>
      </c>
    </row>
    <row r="41" spans="2:4" x14ac:dyDescent="0.2">
      <c r="B41" s="2" t="s">
        <v>256</v>
      </c>
      <c r="C41" s="12">
        <f>SUM(C21:C28)-C25-C26</f>
        <v>9554</v>
      </c>
    </row>
    <row r="42" spans="2:4" x14ac:dyDescent="0.2">
      <c r="B42" s="2" t="s">
        <v>257</v>
      </c>
      <c r="C42" s="12">
        <f>+C40-C41</f>
        <v>1996</v>
      </c>
    </row>
    <row r="44" spans="2:4" x14ac:dyDescent="0.2">
      <c r="B44" s="2" t="s">
        <v>258</v>
      </c>
    </row>
    <row r="46" spans="2:4" x14ac:dyDescent="0.2">
      <c r="B46" s="2" t="s">
        <v>259</v>
      </c>
      <c r="C46" s="33">
        <f>+C30/C41</f>
        <v>0.45007326774126022</v>
      </c>
    </row>
    <row r="48" spans="2:4" x14ac:dyDescent="0.2">
      <c r="B48" s="2" t="s">
        <v>260</v>
      </c>
      <c r="C48" s="12">
        <f>+C46*C40</f>
        <v>5198.346242411556</v>
      </c>
    </row>
    <row r="50" spans="2:6" x14ac:dyDescent="0.2">
      <c r="B50" s="2" t="s">
        <v>28</v>
      </c>
      <c r="E50" s="12">
        <f>+C48</f>
        <v>5198.346242411556</v>
      </c>
    </row>
    <row r="51" spans="2:6" x14ac:dyDescent="0.2">
      <c r="C51" s="2" t="s">
        <v>263</v>
      </c>
      <c r="F51" s="12">
        <f>+E50</f>
        <v>5198.346242411556</v>
      </c>
    </row>
    <row r="52" spans="2:6" x14ac:dyDescent="0.2">
      <c r="B52" s="2" t="s">
        <v>264</v>
      </c>
    </row>
    <row r="54" spans="2:6" x14ac:dyDescent="0.2">
      <c r="B54" s="20" t="s">
        <v>265</v>
      </c>
    </row>
    <row r="55" spans="2:6" x14ac:dyDescent="0.2">
      <c r="B55" s="2" t="s">
        <v>266</v>
      </c>
    </row>
    <row r="57" spans="2:6" x14ac:dyDescent="0.2">
      <c r="B57" s="2" t="s">
        <v>186</v>
      </c>
      <c r="E57" s="12">
        <f>+C30</f>
        <v>4300</v>
      </c>
    </row>
    <row r="58" spans="2:6" x14ac:dyDescent="0.2">
      <c r="C58" s="2" t="s">
        <v>267</v>
      </c>
      <c r="F58" s="12">
        <f>+E57</f>
        <v>4300</v>
      </c>
    </row>
    <row r="60" spans="2:6" x14ac:dyDescent="0.2">
      <c r="B60" s="20" t="s">
        <v>268</v>
      </c>
    </row>
    <row r="61" spans="2:6" x14ac:dyDescent="0.2">
      <c r="B61" s="2" t="s">
        <v>269</v>
      </c>
      <c r="E61" s="2">
        <f>+C31</f>
        <v>5300</v>
      </c>
    </row>
    <row r="62" spans="2:6" x14ac:dyDescent="0.2">
      <c r="C62" s="2" t="s">
        <v>29</v>
      </c>
      <c r="F62" s="2">
        <f>+E61</f>
        <v>5300</v>
      </c>
    </row>
    <row r="63" spans="2:6" x14ac:dyDescent="0.2">
      <c r="B63" s="2" t="s">
        <v>270</v>
      </c>
    </row>
    <row r="65" spans="2:6" x14ac:dyDescent="0.2">
      <c r="B65" s="2" t="s">
        <v>271</v>
      </c>
    </row>
    <row r="66" spans="2:6" x14ac:dyDescent="0.2">
      <c r="B66" s="2" t="s">
        <v>272</v>
      </c>
    </row>
    <row r="68" spans="2:6" x14ac:dyDescent="0.2">
      <c r="B68" s="2" t="s">
        <v>273</v>
      </c>
      <c r="E68" s="12">
        <f>+C48</f>
        <v>5198.346242411556</v>
      </c>
      <c r="F68" s="2" t="s">
        <v>276</v>
      </c>
    </row>
    <row r="69" spans="2:6" x14ac:dyDescent="0.2">
      <c r="B69" s="2" t="s">
        <v>274</v>
      </c>
      <c r="E69" s="2">
        <f>+C31</f>
        <v>5300</v>
      </c>
      <c r="F69" s="2" t="s">
        <v>277</v>
      </c>
    </row>
    <row r="70" spans="2:6" ht="12.75" thickBot="1" x14ac:dyDescent="0.25">
      <c r="B70" s="2" t="s">
        <v>275</v>
      </c>
      <c r="E70" s="22">
        <f>+E69-E68</f>
        <v>101.65375758844402</v>
      </c>
      <c r="F70" s="2" t="s">
        <v>277</v>
      </c>
    </row>
    <row r="71" spans="2:6" ht="12.75" thickTop="1" x14ac:dyDescent="0.2"/>
  </sheetData>
  <hyperlinks>
    <hyperlink ref="A1" location="Main!A1" display="Main" xr:uid="{AD88FC12-C984-4B50-90A3-1F715840947D}"/>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Main</vt:lpstr>
      <vt:lpstr>Module 23</vt:lpstr>
      <vt:lpstr>WSE23.1</vt:lpstr>
      <vt:lpstr>WSE23.2</vt:lpstr>
      <vt:lpstr>WSE23.3</vt:lpstr>
      <vt:lpstr>WSE23.4</vt:lpstr>
      <vt:lpstr>WSE23.5</vt:lpstr>
      <vt:lpstr>WSE23.6</vt:lpstr>
      <vt:lpstr>WSE23.7</vt:lpstr>
      <vt:lpstr>WSE23.9</vt:lpstr>
    </vt:vector>
  </TitlesOfParts>
  <Company>Deloitte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bcornish</dc:creator>
  <cp:lastModifiedBy>Cornish, Bob</cp:lastModifiedBy>
  <dcterms:created xsi:type="dcterms:W3CDTF">2023-05-02T10:18:22Z</dcterms:created>
  <dcterms:modified xsi:type="dcterms:W3CDTF">2023-05-21T22:50:20Z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ea60d57e-af5b-4752-ac57-3e4f28ca11dc_Enabled">
    <vt:lpwstr>true</vt:lpwstr>
  </property>
  <property fmtid="{D5CDD505-2E9C-101B-9397-08002B2CF9AE}" pid="3" name="MSIP_Label_ea60d57e-af5b-4752-ac57-3e4f28ca11dc_SetDate">
    <vt:lpwstr>2023-05-02T10:18:23Z</vt:lpwstr>
  </property>
  <property fmtid="{D5CDD505-2E9C-101B-9397-08002B2CF9AE}" pid="4" name="MSIP_Label_ea60d57e-af5b-4752-ac57-3e4f28ca11dc_Method">
    <vt:lpwstr>Standard</vt:lpwstr>
  </property>
  <property fmtid="{D5CDD505-2E9C-101B-9397-08002B2CF9AE}" pid="5" name="MSIP_Label_ea60d57e-af5b-4752-ac57-3e4f28ca11dc_Name">
    <vt:lpwstr>ea60d57e-af5b-4752-ac57-3e4f28ca11dc</vt:lpwstr>
  </property>
  <property fmtid="{D5CDD505-2E9C-101B-9397-08002B2CF9AE}" pid="6" name="MSIP_Label_ea60d57e-af5b-4752-ac57-3e4f28ca11dc_SiteId">
    <vt:lpwstr>36da45f1-dd2c-4d1f-af13-5abe46b99921</vt:lpwstr>
  </property>
  <property fmtid="{D5CDD505-2E9C-101B-9397-08002B2CF9AE}" pid="7" name="MSIP_Label_ea60d57e-af5b-4752-ac57-3e4f28ca11dc_ActionId">
    <vt:lpwstr>2ceca12f-c865-4f0a-bc5d-b7cf17114b01</vt:lpwstr>
  </property>
  <property fmtid="{D5CDD505-2E9C-101B-9397-08002B2CF9AE}" pid="8" name="MSIP_Label_ea60d57e-af5b-4752-ac57-3e4f28ca11dc_ContentBits">
    <vt:lpwstr>0</vt:lpwstr>
  </property>
</Properties>
</file>