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78" documentId="13_ncr:1_{95B8C057-F298-40C7-AFD0-1ECA6BF78C36}" xr6:coauthVersionLast="47" xr6:coauthVersionMax="47" xr10:uidLastSave="{D2FC5A5E-AAE0-4854-AA07-1C5832B909A7}"/>
  <bookViews>
    <workbookView xWindow="0" yWindow="1830" windowWidth="28800" windowHeight="14370" xr2:uid="{A41F7C7B-6B09-4814-BF57-AC2AC38DD49A}"/>
  </bookViews>
  <sheets>
    <sheet name="Main" sheetId="1" r:id="rId1"/>
    <sheet name="Module 11" sheetId="2" r:id="rId2"/>
    <sheet name="FIFO AVCO" sheetId="15" r:id="rId3"/>
    <sheet name="WSE11.1" sheetId="4" r:id="rId4"/>
    <sheet name="WSE11.2" sheetId="8" r:id="rId5"/>
    <sheet name="WSE11.3" sheetId="9" r:id="rId6"/>
    <sheet name="SWE11.4" sheetId="7" r:id="rId7"/>
    <sheet name="WSE11.5" sheetId="11" r:id="rId8"/>
    <sheet name="WSE11.6" sheetId="12" r:id="rId9"/>
    <sheet name="WSE11.7" sheetId="13" r:id="rId10"/>
    <sheet name="WSE11.8" sheetId="14" r:id="rId11"/>
    <sheet name="BlockMock2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6" l="1"/>
  <c r="C72" i="16" s="1"/>
  <c r="D30" i="16" s="1"/>
  <c r="C60" i="16"/>
  <c r="C52" i="16"/>
  <c r="C80" i="16" s="1"/>
  <c r="C81" i="16" s="1"/>
  <c r="D36" i="16" s="1"/>
  <c r="D37" i="16" s="1"/>
  <c r="E40" i="16" s="1"/>
  <c r="E41" i="16" s="1"/>
  <c r="E43" i="16" s="1"/>
  <c r="F44" i="16" s="1"/>
  <c r="E39" i="16"/>
  <c r="C14" i="16"/>
  <c r="C7" i="16"/>
  <c r="C16" i="16" s="1"/>
  <c r="C18" i="16" s="1"/>
  <c r="E20" i="16" s="1"/>
  <c r="F21" i="16" s="1"/>
  <c r="F32" i="15"/>
  <c r="E31" i="15"/>
  <c r="D29" i="15"/>
  <c r="D27" i="15"/>
  <c r="D25" i="15"/>
  <c r="D24" i="15"/>
  <c r="D23" i="15"/>
  <c r="D22" i="15"/>
  <c r="D21" i="15"/>
  <c r="E10" i="15"/>
  <c r="E11" i="15"/>
  <c r="E12" i="15"/>
  <c r="E13" i="15"/>
  <c r="E14" i="15"/>
  <c r="F7" i="15"/>
  <c r="G7" i="15" s="1"/>
  <c r="C15" i="15"/>
  <c r="E8" i="15"/>
  <c r="E9" i="15"/>
  <c r="E7" i="15"/>
  <c r="H105" i="14"/>
  <c r="D76" i="14"/>
  <c r="C45" i="14"/>
  <c r="C39" i="14"/>
  <c r="C38" i="14"/>
  <c r="E105" i="14"/>
  <c r="E106" i="14" s="1"/>
  <c r="D105" i="14"/>
  <c r="C105" i="14"/>
  <c r="H103" i="14"/>
  <c r="G101" i="14"/>
  <c r="F101" i="14"/>
  <c r="D99" i="14"/>
  <c r="C99" i="14"/>
  <c r="F87" i="14"/>
  <c r="G87" i="14" s="1"/>
  <c r="H87" i="14" s="1"/>
  <c r="F86" i="14"/>
  <c r="G86" i="14" s="1"/>
  <c r="H86" i="14" s="1"/>
  <c r="C68" i="14"/>
  <c r="E61" i="14"/>
  <c r="C65" i="14" s="1"/>
  <c r="C23" i="14"/>
  <c r="C40" i="14" s="1"/>
  <c r="C22" i="14"/>
  <c r="C44" i="14" s="1"/>
  <c r="C47" i="14" s="1"/>
  <c r="C51" i="14" s="1"/>
  <c r="C34" i="14"/>
  <c r="C33" i="14"/>
  <c r="C32" i="14"/>
  <c r="C31" i="14"/>
  <c r="C17" i="14"/>
  <c r="C75" i="13"/>
  <c r="C74" i="13"/>
  <c r="C76" i="13" s="1"/>
  <c r="C78" i="13" s="1"/>
  <c r="C73" i="13"/>
  <c r="E50" i="13"/>
  <c r="E47" i="13"/>
  <c r="C50" i="13"/>
  <c r="C83" i="13"/>
  <c r="C86" i="13" s="1"/>
  <c r="B84" i="13"/>
  <c r="B85" i="13"/>
  <c r="B86" i="13"/>
  <c r="B87" i="13"/>
  <c r="B88" i="13"/>
  <c r="B89" i="13"/>
  <c r="C72" i="13"/>
  <c r="E66" i="13"/>
  <c r="E65" i="13"/>
  <c r="D60" i="13"/>
  <c r="F60" i="13" s="1"/>
  <c r="C55" i="13" s="1"/>
  <c r="C56" i="13" s="1"/>
  <c r="E49" i="13"/>
  <c r="E48" i="13"/>
  <c r="C35" i="13"/>
  <c r="C36" i="13" s="1"/>
  <c r="C37" i="13" s="1"/>
  <c r="C25" i="13"/>
  <c r="C26" i="13" s="1"/>
  <c r="D17" i="13"/>
  <c r="C17" i="13"/>
  <c r="C18" i="13" s="1"/>
  <c r="E90" i="12"/>
  <c r="E87" i="12"/>
  <c r="E81" i="12"/>
  <c r="D76" i="12"/>
  <c r="E76" i="12" s="1"/>
  <c r="D75" i="12"/>
  <c r="E75" i="12" s="1"/>
  <c r="D74" i="12"/>
  <c r="E74" i="12" s="1"/>
  <c r="E56" i="12"/>
  <c r="C42" i="12"/>
  <c r="C38" i="12"/>
  <c r="C32" i="12"/>
  <c r="D52" i="12" s="1"/>
  <c r="E52" i="12" s="1"/>
  <c r="C29" i="12"/>
  <c r="D39" i="14"/>
  <c r="D73" i="13"/>
  <c r="D75" i="13"/>
  <c r="C66" i="16" l="1"/>
  <c r="C67" i="16" s="1"/>
  <c r="D29" i="16" s="1"/>
  <c r="C76" i="16"/>
  <c r="C77" i="16" s="1"/>
  <c r="D31" i="16" s="1"/>
  <c r="F8" i="15"/>
  <c r="F9" i="15" s="1"/>
  <c r="E15" i="15"/>
  <c r="I7" i="15"/>
  <c r="H7" i="15"/>
  <c r="H106" i="14"/>
  <c r="E76" i="14"/>
  <c r="H104" i="14"/>
  <c r="H101" i="14"/>
  <c r="C37" i="14"/>
  <c r="C41" i="14" s="1"/>
  <c r="C106" i="14"/>
  <c r="D106" i="14"/>
  <c r="H88" i="14"/>
  <c r="H89" i="14" s="1"/>
  <c r="C83" i="14" s="1"/>
  <c r="C91" i="14" s="1"/>
  <c r="C69" i="14"/>
  <c r="C29" i="14"/>
  <c r="C30" i="14" s="1"/>
  <c r="C35" i="14" s="1"/>
  <c r="C84" i="13"/>
  <c r="C42" i="13"/>
  <c r="C43" i="13" s="1"/>
  <c r="C27" i="13"/>
  <c r="E91" i="12"/>
  <c r="E92" i="12" s="1"/>
  <c r="E84" i="12"/>
  <c r="E82" i="12"/>
  <c r="E83" i="12"/>
  <c r="E58" i="12"/>
  <c r="E77" i="12"/>
  <c r="E88" i="12" s="1"/>
  <c r="D32" i="16" l="1"/>
  <c r="F10" i="15"/>
  <c r="G8" i="15"/>
  <c r="H8" i="15"/>
  <c r="C48" i="14"/>
  <c r="D77" i="14" s="1"/>
  <c r="E77" i="14" s="1"/>
  <c r="E78" i="14" s="1"/>
  <c r="C50" i="14"/>
  <c r="C52" i="14" s="1"/>
  <c r="C112" i="14"/>
  <c r="C87" i="13"/>
  <c r="C89" i="13" s="1"/>
  <c r="C85" i="13"/>
  <c r="E85" i="12"/>
  <c r="G10" i="15" l="1"/>
  <c r="I10" i="15" s="1"/>
  <c r="H10" i="15"/>
  <c r="F11" i="15"/>
  <c r="F12" i="15"/>
  <c r="I8" i="15"/>
  <c r="G9" i="15"/>
  <c r="I9" i="15" s="1"/>
  <c r="H9" i="15"/>
  <c r="C54" i="14"/>
  <c r="C61" i="14" s="1"/>
  <c r="C71" i="14" s="1"/>
  <c r="H11" i="15" l="1"/>
  <c r="F13" i="15"/>
  <c r="G11" i="15"/>
  <c r="I11" i="15" s="1"/>
  <c r="F14" i="15"/>
  <c r="G12" i="15"/>
  <c r="I12" i="15" s="1"/>
  <c r="H12" i="15"/>
  <c r="E63" i="12"/>
  <c r="E65" i="12" s="1"/>
  <c r="B96" i="12" a="1"/>
  <c r="B96" i="12" s="1"/>
  <c r="B26" i="12"/>
  <c r="C31" i="12" s="1"/>
  <c r="D51" i="12" s="1"/>
  <c r="E57" i="12" s="1"/>
  <c r="B24" i="12"/>
  <c r="C30" i="12" s="1"/>
  <c r="D50" i="12" s="1"/>
  <c r="E50" i="12" s="1"/>
  <c r="D18" i="12"/>
  <c r="C18" i="12"/>
  <c r="C28" i="12" s="1"/>
  <c r="H13" i="15" l="1"/>
  <c r="G13" i="15"/>
  <c r="I13" i="15" s="1"/>
  <c r="G14" i="15"/>
  <c r="I14" i="15" s="1"/>
  <c r="H14" i="15"/>
  <c r="E51" i="12"/>
  <c r="E53" i="12" s="1"/>
  <c r="E59" i="12"/>
  <c r="C33" i="12"/>
  <c r="C43" i="12" s="1"/>
  <c r="C44" i="12" s="1"/>
  <c r="G10" i="11" l="1"/>
  <c r="F11" i="11"/>
  <c r="F12" i="11"/>
  <c r="F13" i="11"/>
  <c r="F14" i="11"/>
  <c r="F10" i="11"/>
  <c r="G11" i="11"/>
  <c r="G12" i="11"/>
  <c r="G13" i="11"/>
  <c r="G14" i="11"/>
  <c r="F32" i="9"/>
  <c r="E31" i="9"/>
  <c r="F29" i="9"/>
  <c r="F27" i="9"/>
  <c r="F28" i="9"/>
  <c r="F26" i="9"/>
  <c r="C28" i="9"/>
  <c r="C27" i="9"/>
  <c r="C26" i="9"/>
  <c r="D28" i="9"/>
  <c r="D27" i="9"/>
  <c r="D26" i="9"/>
  <c r="E28" i="9"/>
  <c r="E27" i="9"/>
  <c r="E26" i="9"/>
  <c r="C25" i="9"/>
  <c r="H9" i="9"/>
  <c r="I9" i="9" s="1"/>
  <c r="G9" i="9"/>
  <c r="I8" i="9"/>
  <c r="H8" i="9"/>
  <c r="G8" i="9"/>
  <c r="F8" i="9"/>
  <c r="I7" i="9"/>
  <c r="I10" i="9"/>
  <c r="I11" i="9"/>
  <c r="I6" i="9"/>
  <c r="F9" i="9"/>
  <c r="C22" i="9"/>
  <c r="G10" i="9"/>
  <c r="F7" i="9"/>
  <c r="G7" i="9" s="1"/>
  <c r="F10" i="9"/>
  <c r="F11" i="9"/>
  <c r="G11" i="9" s="1"/>
  <c r="F6" i="9"/>
  <c r="G6" i="9" s="1"/>
  <c r="H23" i="8"/>
  <c r="H20" i="8"/>
  <c r="H19" i="8"/>
  <c r="H16" i="8"/>
  <c r="H13" i="8"/>
  <c r="H10" i="8"/>
  <c r="C25" i="8"/>
  <c r="L49" i="8"/>
  <c r="L50" i="8"/>
  <c r="L52" i="8"/>
  <c r="L56" i="8"/>
  <c r="L57" i="8"/>
  <c r="L60" i="8"/>
  <c r="L61" i="8"/>
  <c r="L64" i="8"/>
  <c r="L65" i="8"/>
  <c r="L66" i="8"/>
  <c r="L68" i="8"/>
  <c r="L72" i="8"/>
  <c r="L77" i="8"/>
  <c r="L80" i="8"/>
  <c r="L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29" i="8"/>
  <c r="C24" i="8"/>
  <c r="L30" i="8" s="1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F68" i="8"/>
  <c r="G68" i="8"/>
  <c r="F69" i="8"/>
  <c r="G69" i="8"/>
  <c r="F70" i="8"/>
  <c r="G70" i="8"/>
  <c r="F71" i="8"/>
  <c r="G71" i="8"/>
  <c r="F72" i="8"/>
  <c r="G72" i="8"/>
  <c r="F73" i="8"/>
  <c r="G73" i="8"/>
  <c r="F74" i="8"/>
  <c r="G74" i="8"/>
  <c r="F75" i="8"/>
  <c r="G75" i="8"/>
  <c r="F76" i="8"/>
  <c r="G76" i="8"/>
  <c r="F77" i="8"/>
  <c r="G77" i="8"/>
  <c r="F78" i="8"/>
  <c r="G78" i="8"/>
  <c r="F79" i="8"/>
  <c r="G79" i="8"/>
  <c r="F80" i="8"/>
  <c r="G80" i="8"/>
  <c r="G29" i="8"/>
  <c r="F29" i="8"/>
  <c r="B29" i="8" a="1"/>
  <c r="B29" i="8" s="1"/>
  <c r="E37" i="7"/>
  <c r="E35" i="7"/>
  <c r="E34" i="7"/>
  <c r="F21" i="7"/>
  <c r="F20" i="7"/>
  <c r="F19" i="7"/>
  <c r="C29" i="7"/>
  <c r="E33" i="7"/>
  <c r="C24" i="7"/>
  <c r="D23" i="7"/>
  <c r="D22" i="7"/>
  <c r="D21" i="7"/>
  <c r="G21" i="7" s="1"/>
  <c r="D20" i="7"/>
  <c r="G20" i="7" s="1"/>
  <c r="D19" i="7"/>
  <c r="G19" i="7" s="1"/>
  <c r="C16" i="7"/>
  <c r="D10" i="7" s="1"/>
  <c r="F10" i="7" s="1"/>
  <c r="C13" i="7"/>
  <c r="E32" i="7" s="1"/>
  <c r="H135" i="2"/>
  <c r="H133" i="2"/>
  <c r="F133" i="2"/>
  <c r="E133" i="2"/>
  <c r="C124" i="2"/>
  <c r="C122" i="2"/>
  <c r="E115" i="2"/>
  <c r="E113" i="2"/>
  <c r="E112" i="2"/>
  <c r="E111" i="2"/>
  <c r="E110" i="2"/>
  <c r="E109" i="2"/>
  <c r="D100" i="2"/>
  <c r="D115" i="2"/>
  <c r="D114" i="2"/>
  <c r="D113" i="2"/>
  <c r="D112" i="2"/>
  <c r="D111" i="2"/>
  <c r="D110" i="2"/>
  <c r="D109" i="2"/>
  <c r="F95" i="2"/>
  <c r="D96" i="2"/>
  <c r="F96" i="2" s="1"/>
  <c r="D97" i="2"/>
  <c r="F97" i="2" s="1"/>
  <c r="D98" i="2"/>
  <c r="D99" i="2"/>
  <c r="D95" i="2"/>
  <c r="C100" i="2"/>
  <c r="C75" i="4"/>
  <c r="C73" i="4"/>
  <c r="C45" i="4"/>
  <c r="C44" i="4"/>
  <c r="C43" i="4"/>
  <c r="C59" i="4"/>
  <c r="C31" i="4"/>
  <c r="C34" i="4" s="1"/>
  <c r="C91" i="4"/>
  <c r="G84" i="4"/>
  <c r="G86" i="4"/>
  <c r="G82" i="4"/>
  <c r="F86" i="4"/>
  <c r="F84" i="4"/>
  <c r="F82" i="4"/>
  <c r="E86" i="4"/>
  <c r="E84" i="4"/>
  <c r="E82" i="4"/>
  <c r="D83" i="4"/>
  <c r="E83" i="4" s="1"/>
  <c r="C53" i="4"/>
  <c r="C35" i="4"/>
  <c r="C30" i="4"/>
  <c r="C54" i="4" s="1"/>
  <c r="C21" i="4"/>
  <c r="C88" i="2"/>
  <c r="C74" i="2"/>
  <c r="C57" i="2"/>
  <c r="C67" i="2" s="1"/>
  <c r="C73" i="2" s="1"/>
  <c r="C75" i="2" s="1"/>
  <c r="C77" i="2" s="1"/>
  <c r="C66" i="2"/>
  <c r="C76" i="2" s="1"/>
  <c r="C56" i="2"/>
  <c r="C71" i="2"/>
  <c r="C82" i="2" s="1"/>
  <c r="C43" i="2"/>
  <c r="C28" i="2"/>
  <c r="C42" i="2" s="1"/>
  <c r="C34" i="2"/>
  <c r="C47" i="2" s="1"/>
  <c r="C29" i="2"/>
  <c r="C24" i="2"/>
  <c r="E10" i="2"/>
  <c r="E9" i="2"/>
  <c r="E8" i="2"/>
  <c r="E7" i="2"/>
  <c r="D11" i="2"/>
  <c r="C11" i="2"/>
  <c r="F32" i="7"/>
  <c r="F33" i="7"/>
  <c r="F35" i="7"/>
  <c r="F36" i="7"/>
  <c r="F37" i="7"/>
  <c r="F38" i="7"/>
  <c r="F34" i="7"/>
  <c r="F15" i="15" l="1"/>
  <c r="G15" i="11"/>
  <c r="G17" i="11" s="1"/>
  <c r="G16" i="11"/>
  <c r="C23" i="9"/>
  <c r="I12" i="9"/>
  <c r="H72" i="8"/>
  <c r="K72" i="8" s="1"/>
  <c r="H56" i="8"/>
  <c r="K56" i="8" s="1"/>
  <c r="H40" i="8"/>
  <c r="K40" i="8" s="1"/>
  <c r="H63" i="8"/>
  <c r="K63" i="8" s="1"/>
  <c r="L76" i="8"/>
  <c r="L45" i="8"/>
  <c r="L75" i="8"/>
  <c r="L44" i="8"/>
  <c r="H76" i="8"/>
  <c r="K76" i="8" s="1"/>
  <c r="H60" i="8"/>
  <c r="K60" i="8" s="1"/>
  <c r="H44" i="8"/>
  <c r="K44" i="8" s="1"/>
  <c r="L74" i="8"/>
  <c r="L41" i="8"/>
  <c r="L73" i="8"/>
  <c r="L40" i="8"/>
  <c r="H58" i="8"/>
  <c r="K58" i="8" s="1"/>
  <c r="H42" i="8"/>
  <c r="K42" i="8" s="1"/>
  <c r="L59" i="8"/>
  <c r="L43" i="8"/>
  <c r="L58" i="8"/>
  <c r="L42" i="8"/>
  <c r="L71" i="8"/>
  <c r="L55" i="8"/>
  <c r="L39" i="8"/>
  <c r="L70" i="8"/>
  <c r="L54" i="8"/>
  <c r="L38" i="8"/>
  <c r="L69" i="8"/>
  <c r="L53" i="8"/>
  <c r="L37" i="8"/>
  <c r="L36" i="8"/>
  <c r="L67" i="8"/>
  <c r="L51" i="8"/>
  <c r="L35" i="8"/>
  <c r="L34" i="8"/>
  <c r="L33" i="8"/>
  <c r="L48" i="8"/>
  <c r="L32" i="8"/>
  <c r="L79" i="8"/>
  <c r="L63" i="8"/>
  <c r="L47" i="8"/>
  <c r="L31" i="8"/>
  <c r="L78" i="8"/>
  <c r="L62" i="8"/>
  <c r="L46" i="8"/>
  <c r="H74" i="8"/>
  <c r="K74" i="8" s="1"/>
  <c r="H75" i="8"/>
  <c r="K75" i="8" s="1"/>
  <c r="H64" i="8"/>
  <c r="K64" i="8" s="1"/>
  <c r="H48" i="8"/>
  <c r="K48" i="8" s="1"/>
  <c r="H32" i="8"/>
  <c r="K32" i="8" s="1"/>
  <c r="H31" i="8"/>
  <c r="K31" i="8" s="1"/>
  <c r="H43" i="8"/>
  <c r="K43" i="8" s="1"/>
  <c r="H78" i="8"/>
  <c r="K78" i="8" s="1"/>
  <c r="H62" i="8"/>
  <c r="K62" i="8" s="1"/>
  <c r="H46" i="8"/>
  <c r="K46" i="8" s="1"/>
  <c r="H30" i="8"/>
  <c r="K30" i="8" s="1"/>
  <c r="H59" i="8"/>
  <c r="K59" i="8" s="1"/>
  <c r="H80" i="8"/>
  <c r="K80" i="8" s="1"/>
  <c r="H79" i="8"/>
  <c r="K79" i="8" s="1"/>
  <c r="H47" i="8"/>
  <c r="K47" i="8" s="1"/>
  <c r="H77" i="8"/>
  <c r="H61" i="8"/>
  <c r="K61" i="8" s="1"/>
  <c r="H73" i="8"/>
  <c r="K73" i="8" s="1"/>
  <c r="H57" i="8"/>
  <c r="K57" i="8" s="1"/>
  <c r="H41" i="8"/>
  <c r="K41" i="8" s="1"/>
  <c r="H29" i="8"/>
  <c r="K29" i="8" s="1"/>
  <c r="H71" i="8"/>
  <c r="K71" i="8" s="1"/>
  <c r="H55" i="8"/>
  <c r="K55" i="8" s="1"/>
  <c r="H39" i="8"/>
  <c r="K39" i="8" s="1"/>
  <c r="H45" i="8"/>
  <c r="K45" i="8" s="1"/>
  <c r="H70" i="8"/>
  <c r="K70" i="8" s="1"/>
  <c r="H54" i="8"/>
  <c r="K54" i="8" s="1"/>
  <c r="H38" i="8"/>
  <c r="K38" i="8" s="1"/>
  <c r="H33" i="8"/>
  <c r="K33" i="8" s="1"/>
  <c r="H69" i="8"/>
  <c r="K69" i="8" s="1"/>
  <c r="H53" i="8"/>
  <c r="K53" i="8" s="1"/>
  <c r="H37" i="8"/>
  <c r="K37" i="8" s="1"/>
  <c r="H68" i="8"/>
  <c r="K68" i="8" s="1"/>
  <c r="H52" i="8"/>
  <c r="K52" i="8" s="1"/>
  <c r="H36" i="8"/>
  <c r="K36" i="8" s="1"/>
  <c r="H65" i="8"/>
  <c r="K65" i="8" s="1"/>
  <c r="H67" i="8"/>
  <c r="K67" i="8" s="1"/>
  <c r="H51" i="8"/>
  <c r="K51" i="8" s="1"/>
  <c r="H35" i="8"/>
  <c r="K35" i="8" s="1"/>
  <c r="H66" i="8"/>
  <c r="K66" i="8" s="1"/>
  <c r="H49" i="8"/>
  <c r="K49" i="8" s="1"/>
  <c r="H50" i="8"/>
  <c r="K50" i="8" s="1"/>
  <c r="H34" i="8"/>
  <c r="K34" i="8" s="1"/>
  <c r="D24" i="7"/>
  <c r="D9" i="7"/>
  <c r="F9" i="7" s="1"/>
  <c r="D12" i="7"/>
  <c r="D11" i="7"/>
  <c r="F11" i="7" s="1"/>
  <c r="D8" i="7"/>
  <c r="F8" i="7" s="1"/>
  <c r="C84" i="2"/>
  <c r="C78" i="2"/>
  <c r="C83" i="2"/>
  <c r="C85" i="2" s="1"/>
  <c r="C87" i="2" s="1"/>
  <c r="C89" i="2" s="1"/>
  <c r="C46" i="4"/>
  <c r="H82" i="4"/>
  <c r="H84" i="4"/>
  <c r="F87" i="4"/>
  <c r="C93" i="4" s="1"/>
  <c r="C32" i="4"/>
  <c r="H86" i="4"/>
  <c r="D85" i="4"/>
  <c r="E85" i="4" s="1"/>
  <c r="C36" i="4"/>
  <c r="C38" i="4" s="1"/>
  <c r="C37" i="4"/>
  <c r="C55" i="4"/>
  <c r="C56" i="4" s="1"/>
  <c r="C58" i="4" s="1"/>
  <c r="C60" i="4" s="1"/>
  <c r="C44" i="2"/>
  <c r="C46" i="2" s="1"/>
  <c r="C48" i="2" s="1"/>
  <c r="C30" i="2"/>
  <c r="C33" i="2" s="1"/>
  <c r="C35" i="2" s="1"/>
  <c r="E11" i="2"/>
  <c r="H15" i="15" l="1"/>
  <c r="C14" i="8"/>
  <c r="K77" i="8"/>
  <c r="C12" i="8"/>
  <c r="C13" i="8" s="1"/>
  <c r="E38" i="7"/>
  <c r="C39" i="4"/>
  <c r="C41" i="4" s="1"/>
  <c r="H87" i="4"/>
  <c r="H88" i="4" s="1"/>
  <c r="C90" i="4" s="1"/>
  <c r="C92" i="4" s="1"/>
  <c r="C94" i="4" s="1"/>
  <c r="I15" i="15" l="1"/>
  <c r="G15" i="15"/>
  <c r="C71" i="4"/>
  <c r="C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<sst xmlns="http://schemas.openxmlformats.org/spreadsheetml/2006/main" count="709" uniqueCount="449">
  <si>
    <t>Module 11</t>
  </si>
  <si>
    <t>Main</t>
  </si>
  <si>
    <t>Module 11 Notes</t>
  </si>
  <si>
    <t>IAS 2</t>
  </si>
  <si>
    <t>Activity 1</t>
  </si>
  <si>
    <t>nuts</t>
  </si>
  <si>
    <t>bolts</t>
  </si>
  <si>
    <t>screws</t>
  </si>
  <si>
    <t>weidgers</t>
  </si>
  <si>
    <t>total cost is £1,000 this is lower than NRV but we need to look aon an item by item basis.</t>
  </si>
  <si>
    <t>Milton</t>
  </si>
  <si>
    <t>var cost</t>
  </si>
  <si>
    <t>£</t>
  </si>
  <si>
    <t>fixed o/h</t>
  </si>
  <si>
    <t>normal capacity</t>
  </si>
  <si>
    <t>£/litre</t>
  </si>
  <si>
    <t>£/pa</t>
  </si>
  <si>
    <t>YE</t>
  </si>
  <si>
    <t>actual prod</t>
  </si>
  <si>
    <t>litres</t>
  </si>
  <si>
    <t>closing invenories</t>
  </si>
  <si>
    <t>closing inventory</t>
  </si>
  <si>
    <t>capacity %</t>
  </si>
  <si>
    <t>R1</t>
  </si>
  <si>
    <t>Var prod. Cost</t>
  </si>
  <si>
    <t>fixed prod cost</t>
  </si>
  <si>
    <t>Cost of closing inventories</t>
  </si>
  <si>
    <t>total cost</t>
  </si>
  <si>
    <t>R2</t>
  </si>
  <si>
    <t>var prod. Cost</t>
  </si>
  <si>
    <t>fixed prod. Cost</t>
  </si>
  <si>
    <t>if actual productoin was 11,200 litres</t>
  </si>
  <si>
    <t>Activity 2</t>
  </si>
  <si>
    <t>selling and marketing</t>
  </si>
  <si>
    <t>gen admin</t>
  </si>
  <si>
    <t>direct wages</t>
  </si>
  <si>
    <t>raw mat. Used</t>
  </si>
  <si>
    <t>prod admin</t>
  </si>
  <si>
    <t>nope</t>
  </si>
  <si>
    <t>prod. Depr</t>
  </si>
  <si>
    <t>other depr</t>
  </si>
  <si>
    <t>prod. Power</t>
  </si>
  <si>
    <t>non prod power</t>
  </si>
  <si>
    <t>litres/year</t>
  </si>
  <si>
    <t>actual production</t>
  </si>
  <si>
    <t>Var indirect power</t>
  </si>
  <si>
    <t>Fixed indirect power</t>
  </si>
  <si>
    <t>capaity %</t>
  </si>
  <si>
    <t>V</t>
  </si>
  <si>
    <t>F</t>
  </si>
  <si>
    <t>total allowable variable costs</t>
  </si>
  <si>
    <t>total potential allowable fixed costs</t>
  </si>
  <si>
    <t>variable cost</t>
  </si>
  <si>
    <t>fixed cost</t>
  </si>
  <si>
    <t>fixed cost per litre</t>
  </si>
  <si>
    <t>select lower fixed cost</t>
  </si>
  <si>
    <t>&lt;&lt;&lt;choose larger denominator</t>
  </si>
  <si>
    <t>method 2:  restrict fixed cost based on percentage of normal capacity</t>
  </si>
  <si>
    <t>prod. Capacity</t>
  </si>
  <si>
    <t>variable</t>
  </si>
  <si>
    <t>fixed</t>
  </si>
  <si>
    <t>total cost per liter</t>
  </si>
  <si>
    <t>litres produced</t>
  </si>
  <si>
    <t>WSE11.1</t>
  </si>
  <si>
    <t>Pyball Ltd</t>
  </si>
  <si>
    <t>show value of FG, WIP and RM</t>
  </si>
  <si>
    <t>FG</t>
  </si>
  <si>
    <t>units</t>
  </si>
  <si>
    <t>costs prod. Admin. and sales</t>
  </si>
  <si>
    <t>D. lab</t>
  </si>
  <si>
    <t>D. mat</t>
  </si>
  <si>
    <t>Dist cost</t>
  </si>
  <si>
    <t>depr - prod.</t>
  </si>
  <si>
    <t>rent</t>
  </si>
  <si>
    <t>selling cost</t>
  </si>
  <si>
    <t>prod. Admin</t>
  </si>
  <si>
    <t>D. expense</t>
  </si>
  <si>
    <t>normal prod</t>
  </si>
  <si>
    <t>FG sale price</t>
  </si>
  <si>
    <t>£/unit</t>
  </si>
  <si>
    <t>reduced price</t>
  </si>
  <si>
    <t>from 01/09/22</t>
  </si>
  <si>
    <t>units sold</t>
  </si>
  <si>
    <t>units produced</t>
  </si>
  <si>
    <t>that is the value</t>
  </si>
  <si>
    <t>do an adjustment to the year end to rate down the NRV</t>
  </si>
  <si>
    <t>NRV</t>
  </si>
  <si>
    <t>WIP</t>
  </si>
  <si>
    <t>WIP valued at cost and POC</t>
  </si>
  <si>
    <t>total cost per units</t>
  </si>
  <si>
    <t>WIP value</t>
  </si>
  <si>
    <t>RM</t>
  </si>
  <si>
    <t>tonnes</t>
  </si>
  <si>
    <t>FIFO</t>
  </si>
  <si>
    <t>FIFO table</t>
  </si>
  <si>
    <t>£/tonne</t>
  </si>
  <si>
    <t>quant</t>
  </si>
  <si>
    <t>MV</t>
  </si>
  <si>
    <t>cost of tonne</t>
  </si>
  <si>
    <t>write down</t>
  </si>
  <si>
    <t>quntum in stock</t>
  </si>
  <si>
    <t>write dow to SPL</t>
  </si>
  <si>
    <t>&lt;&lt;&lt;rent is factored in</t>
  </si>
  <si>
    <t>Total potential allowable costs</t>
  </si>
  <si>
    <t>k units</t>
  </si>
  <si>
    <t>cost per unit</t>
  </si>
  <si>
    <t>closing inventories</t>
  </si>
  <si>
    <t>NRV per unit</t>
  </si>
  <si>
    <t>Closing inventories</t>
  </si>
  <si>
    <t>Activity 3: standard cost</t>
  </si>
  <si>
    <t>SGA</t>
  </si>
  <si>
    <t>Prod. O/h</t>
  </si>
  <si>
    <t>D. exp</t>
  </si>
  <si>
    <t>total prod.</t>
  </si>
  <si>
    <t>variance</t>
  </si>
  <si>
    <t>&lt;&lt;&lt;this inventory relates to Nov, Dec</t>
  </si>
  <si>
    <t>&lt;&lt;yes, normal variance</t>
  </si>
  <si>
    <t>&lt;&lt;&lt;no adjustment as abnormal</t>
  </si>
  <si>
    <t>&lt;&lt;&lt;yes, adjust.  Quite normal for subcontractors to change their prices.  This will effect closing inventory</t>
  </si>
  <si>
    <t>Standard cost at 1 January 20X4</t>
  </si>
  <si>
    <t>Selling and distribution costs</t>
  </si>
  <si>
    <t>Adjusted standard cost, prior to variances</t>
  </si>
  <si>
    <t>Direct labour variance</t>
  </si>
  <si>
    <t>Direct expenses variance</t>
  </si>
  <si>
    <t>Adjusted standard cost</t>
  </si>
  <si>
    <t>Unit cost</t>
  </si>
  <si>
    <t>Total cost</t>
  </si>
  <si>
    <t>can choose either of the above mehtods for anwserig the questions</t>
  </si>
  <si>
    <t>Example 2</t>
  </si>
  <si>
    <t>sales price</t>
  </si>
  <si>
    <t>less commissoin</t>
  </si>
  <si>
    <t>cost to complete</t>
  </si>
  <si>
    <t>Line</t>
  </si>
  <si>
    <t>item</t>
  </si>
  <si>
    <t>Net</t>
  </si>
  <si>
    <t>realisable</t>
  </si>
  <si>
    <t>value</t>
  </si>
  <si>
    <t>closing</t>
  </si>
  <si>
    <t>inventories</t>
  </si>
  <si>
    <t>A1</t>
  </si>
  <si>
    <t>B1</t>
  </si>
  <si>
    <t>C1</t>
  </si>
  <si>
    <t>D1</t>
  </si>
  <si>
    <t>E1</t>
  </si>
  <si>
    <t>Units</t>
  </si>
  <si>
    <t>Cost</t>
  </si>
  <si>
    <t>Sales price</t>
  </si>
  <si>
    <t>Value</t>
  </si>
  <si>
    <t>Value of</t>
  </si>
  <si>
    <t>£’000</t>
  </si>
  <si>
    <t>SWE11.4</t>
  </si>
  <si>
    <t>Hammer Ltd</t>
  </si>
  <si>
    <t>cost of inventories</t>
  </si>
  <si>
    <t>Prod. o/h</t>
  </si>
  <si>
    <t>production</t>
  </si>
  <si>
    <t>only effect last 6m</t>
  </si>
  <si>
    <t>only effect last 4m</t>
  </si>
  <si>
    <t>&lt;&lt;abnormal/errror.  Do not included</t>
  </si>
  <si>
    <t>for whole year</t>
  </si>
  <si>
    <t>D. mat var.</t>
  </si>
  <si>
    <t>Prod. o/h var.</t>
  </si>
  <si>
    <t>&lt;&lt;&lt;do the computation of a total cost approach.  Do not do  per unit.  To complicated and easier to spot errors on total cost as can sense check the numbers.</t>
  </si>
  <si>
    <t>Direct expense variance (abnormal)</t>
  </si>
  <si>
    <t>units impacted by variance</t>
  </si>
  <si>
    <t>WSE11.2</t>
  </si>
  <si>
    <t>Steelmen plc</t>
  </si>
  <si>
    <t>value of closing inventories for RM and FG</t>
  </si>
  <si>
    <t>prod. Time</t>
  </si>
  <si>
    <t>weeks</t>
  </si>
  <si>
    <t>1 tonne produces 1 tonne</t>
  </si>
  <si>
    <t>transport</t>
  </si>
  <si>
    <t>Customs</t>
  </si>
  <si>
    <t>discount</t>
  </si>
  <si>
    <t>RM cost</t>
  </si>
  <si>
    <t>open</t>
  </si>
  <si>
    <t>Purchases</t>
  </si>
  <si>
    <t>Close</t>
  </si>
  <si>
    <t>sales</t>
  </si>
  <si>
    <t>Finished goods</t>
  </si>
  <si>
    <t>1 tonnes requires a tonne of RM</t>
  </si>
  <si>
    <t>variable costs</t>
  </si>
  <si>
    <t>£per tonne</t>
  </si>
  <si>
    <t>Fixed o/h</t>
  </si>
  <si>
    <t>FG closing</t>
  </si>
  <si>
    <t>selling price</t>
  </si>
  <si>
    <t>£ per tonne</t>
  </si>
  <si>
    <t>FG cost</t>
  </si>
  <si>
    <t>What I did was very much the brute force method.  It worked though.  So in a pinch - that methodology is spot on</t>
  </si>
  <si>
    <t>here is the more elegant way to solve it</t>
  </si>
  <si>
    <t>price per tonne (last three months)</t>
  </si>
  <si>
    <t>transport cost to factory</t>
  </si>
  <si>
    <t>non-refundable customs duty</t>
  </si>
  <si>
    <t>Total unit cost</t>
  </si>
  <si>
    <t>Var. cost</t>
  </si>
  <si>
    <t>total unit cost</t>
  </si>
  <si>
    <t>WSE11.3</t>
  </si>
  <si>
    <t>Akram</t>
  </si>
  <si>
    <t>cost£</t>
  </si>
  <si>
    <t>A</t>
  </si>
  <si>
    <t>B</t>
  </si>
  <si>
    <t>C</t>
  </si>
  <si>
    <t>D</t>
  </si>
  <si>
    <t>E</t>
  </si>
  <si>
    <t xml:space="preserve">from </t>
  </si>
  <si>
    <t>price cut.  This discount applies across the whole year</t>
  </si>
  <si>
    <t>Discounts</t>
  </si>
  <si>
    <t>lower of c and nrv</t>
  </si>
  <si>
    <t>Factoring in the price adjustment and cost increase to sell itme C</t>
  </si>
  <si>
    <t>increase cost by 32</t>
  </si>
  <si>
    <t>increase NRV by (50-8)  =42</t>
  </si>
  <si>
    <t>then apply the 5% discount</t>
  </si>
  <si>
    <t>cost</t>
  </si>
  <si>
    <t>nrv</t>
  </si>
  <si>
    <t>Write down</t>
  </si>
  <si>
    <t>Dr - SPL cost of sales</t>
  </si>
  <si>
    <t>cr - inventories</t>
  </si>
  <si>
    <t>being write down of inventories</t>
  </si>
  <si>
    <t>WSE11.5</t>
  </si>
  <si>
    <t>House limited</t>
  </si>
  <si>
    <t>untis</t>
  </si>
  <si>
    <t>price</t>
  </si>
  <si>
    <t>GM%</t>
  </si>
  <si>
    <t>Household</t>
  </si>
  <si>
    <t>drinks</t>
  </si>
  <si>
    <t>dry</t>
  </si>
  <si>
    <t>tinned</t>
  </si>
  <si>
    <t>perish</t>
  </si>
  <si>
    <t>category</t>
  </si>
  <si>
    <t>Provision for inventories</t>
  </si>
  <si>
    <t>=+-0.5*504</t>
  </si>
  <si>
    <t>WSE11.6</t>
  </si>
  <si>
    <t>Kitchen Equipment plc</t>
  </si>
  <si>
    <t>AB2</t>
  </si>
  <si>
    <t>AB1</t>
  </si>
  <si>
    <t>Distribution cost</t>
  </si>
  <si>
    <t>CD2</t>
  </si>
  <si>
    <t>Standard  cost</t>
  </si>
  <si>
    <t>D lab</t>
  </si>
  <si>
    <t>prod o/h</t>
  </si>
  <si>
    <t>dist. Cost</t>
  </si>
  <si>
    <t>standard cost</t>
  </si>
  <si>
    <t>variances</t>
  </si>
  <si>
    <t>prod. Fault - unusual therefore non-normal variance</t>
  </si>
  <si>
    <t>AB1 being discountinued</t>
  </si>
  <si>
    <t xml:space="preserve">RM price rise for the last 2 months of the period AB1 </t>
  </si>
  <si>
    <t>D lab price rise for last three months of the year AB1</t>
  </si>
  <si>
    <t>variances (+ve for A, -ve for F)</t>
  </si>
  <si>
    <t>Inventories</t>
  </si>
  <si>
    <t>Accessory pack</t>
  </si>
  <si>
    <t>normal monthly production</t>
  </si>
  <si>
    <t>average weekly sales</t>
  </si>
  <si>
    <t>sales prive</t>
  </si>
  <si>
    <t>accessory packs</t>
  </si>
  <si>
    <t>impairment of inventory</t>
  </si>
  <si>
    <t>as the accessory pack only fit AB1 and cannot otherwise be sold.</t>
  </si>
  <si>
    <t>their NRV is now considered to be nil</t>
  </si>
  <si>
    <t>as such, an impairment loss of £5,000 should be recognised</t>
  </si>
  <si>
    <t>Standard cost must be adjusted to remove distribution costs and account for variances</t>
  </si>
  <si>
    <t>As only 2,000 units in closing inventories (equivalent to half of monthly production) and the FIFO method is used, only variances which affect October are relevant</t>
  </si>
  <si>
    <t>unadjusteed standard cost</t>
  </si>
  <si>
    <t>distribution</t>
  </si>
  <si>
    <t>D. Lab</t>
  </si>
  <si>
    <t>adjusted standarf cost</t>
  </si>
  <si>
    <t>less SGA</t>
  </si>
  <si>
    <t>As cost is &lt; NRV, FG inventories will be measured at standard cost</t>
  </si>
  <si>
    <t>quant.</t>
  </si>
  <si>
    <t>WIP is calculated based on stage of complettion applied to the cost of the finished goods</t>
  </si>
  <si>
    <t>stage of completion %</t>
  </si>
  <si>
    <t>prod o/h CTC</t>
  </si>
  <si>
    <t>D. lab cost to complete CTC</t>
  </si>
  <si>
    <t>RM CTC</t>
  </si>
  <si>
    <t>Closing inventories - WIP</t>
  </si>
  <si>
    <t>stuggled on computing the RM, WIP and FG inventory values.  Need to get some more intuition and a sense for the ordre of operations</t>
  </si>
  <si>
    <t>WSE11.7</t>
  </si>
  <si>
    <t>Bridges plc</t>
  </si>
  <si>
    <t>value the inventories at year end</t>
  </si>
  <si>
    <t>Warehouse</t>
  </si>
  <si>
    <t xml:space="preserve">Sand and cement  </t>
  </si>
  <si>
    <t>recoverable value</t>
  </si>
  <si>
    <t>Plasterboard</t>
  </si>
  <si>
    <t>metres</t>
  </si>
  <si>
    <t>£/metre</t>
  </si>
  <si>
    <t>cost paid</t>
  </si>
  <si>
    <t>recoverable amount</t>
  </si>
  <si>
    <t>Decking timber</t>
  </si>
  <si>
    <t>m2</t>
  </si>
  <si>
    <t>£/m2</t>
  </si>
  <si>
    <t>selling discount</t>
  </si>
  <si>
    <t>NRVLCTS</t>
  </si>
  <si>
    <t>Nails</t>
  </si>
  <si>
    <t>bags</t>
  </si>
  <si>
    <t>FIFO cost</t>
  </si>
  <si>
    <t>purch. Q</t>
  </si>
  <si>
    <t>1400/2500</t>
  </si>
  <si>
    <t>.56*2500</t>
  </si>
  <si>
    <t>Tiles</t>
  </si>
  <si>
    <t>retail</t>
  </si>
  <si>
    <t>£/box</t>
  </si>
  <si>
    <t>Q</t>
  </si>
  <si>
    <t>92500/10000</t>
  </si>
  <si>
    <t>9.25*500</t>
  </si>
  <si>
    <t>Factory</t>
  </si>
  <si>
    <t>toolboxes</t>
  </si>
  <si>
    <t>ladders</t>
  </si>
  <si>
    <t>Last order</t>
  </si>
  <si>
    <t>consumed of last order</t>
  </si>
  <si>
    <t>stadard cost for each of these final batches</t>
  </si>
  <si>
    <t>Toolboxes</t>
  </si>
  <si>
    <t>Materials</t>
  </si>
  <si>
    <t>units in batch</t>
  </si>
  <si>
    <t>labour</t>
  </si>
  <si>
    <t>Prod.o/h</t>
  </si>
  <si>
    <t xml:space="preserve">do not include general admin </t>
  </si>
  <si>
    <t>curring faults on the toolboxes.  These changes are not abnormal so include them</t>
  </si>
  <si>
    <t>I don’t think this requires adjustment</t>
  </si>
  <si>
    <t>Ladders</t>
  </si>
  <si>
    <t xml:space="preserve">&lt;&lt;&lt;The cost has to be restricted to the level of the normal materials and labour cost.  </t>
  </si>
  <si>
    <t>The error had already been included in the numbers - but cannot be. To leave it in is inflating the cost.  And therefore increasing inventories.</t>
  </si>
  <si>
    <t>restirct to normal level</t>
  </si>
  <si>
    <t>good job on this question.  Need to restrict cost to the normal level to avoid overstating inventories.</t>
  </si>
  <si>
    <t>WSE11.8</t>
  </si>
  <si>
    <t>Bakerloo Gifts plc</t>
  </si>
  <si>
    <t>Picadilly</t>
  </si>
  <si>
    <t>Finished Goods</t>
  </si>
  <si>
    <t>Mugs</t>
  </si>
  <si>
    <t>average normal production</t>
  </si>
  <si>
    <t>mugs/month</t>
  </si>
  <si>
    <t>actual</t>
  </si>
  <si>
    <t>actual costs</t>
  </si>
  <si>
    <t>Total RM</t>
  </si>
  <si>
    <t>import duties</t>
  </si>
  <si>
    <t>Shipping costs</t>
  </si>
  <si>
    <t>Other Costs</t>
  </si>
  <si>
    <t>Total other cost</t>
  </si>
  <si>
    <t>dist</t>
  </si>
  <si>
    <t>power cost</t>
  </si>
  <si>
    <t>direct wage</t>
  </si>
  <si>
    <t>Less SGA</t>
  </si>
  <si>
    <t>less gen. admin</t>
  </si>
  <si>
    <t>less distribution cost</t>
  </si>
  <si>
    <t>10% power</t>
  </si>
  <si>
    <t>Fixed depr</t>
  </si>
  <si>
    <t>Fixed rent</t>
  </si>
  <si>
    <t>disallowed</t>
  </si>
  <si>
    <t>Fixed prod. Admin</t>
  </si>
  <si>
    <t>Var. prod. Admin</t>
  </si>
  <si>
    <t>use the average.  Cannot increase the inventory cost due to less being produced as this would inflate the inventory and overstate the assets</t>
  </si>
  <si>
    <t xml:space="preserve">cost for </t>
  </si>
  <si>
    <t>mugs</t>
  </si>
  <si>
    <t xml:space="preserve">boxes </t>
  </si>
  <si>
    <t>mugs per box</t>
  </si>
  <si>
    <t>£/per box</t>
  </si>
  <si>
    <t>trans. Price</t>
  </si>
  <si>
    <t>continue to be held at the lower of cost and NRV</t>
  </si>
  <si>
    <t>boxes</t>
  </si>
  <si>
    <t>Other</t>
  </si>
  <si>
    <t>POC</t>
  </si>
  <si>
    <t>Stage of completion</t>
  </si>
  <si>
    <t>RM clay</t>
  </si>
  <si>
    <t>non-refundable tax</t>
  </si>
  <si>
    <t>Shipping cost</t>
  </si>
  <si>
    <t>recoverable cost</t>
  </si>
  <si>
    <t>NRV is assumed higher than cost as this clay will be used in a later process as WIP</t>
  </si>
  <si>
    <t>Victoria</t>
  </si>
  <si>
    <t>Lion</t>
  </si>
  <si>
    <t>Unicorn</t>
  </si>
  <si>
    <t>Dragon</t>
  </si>
  <si>
    <t>Cost£/unit</t>
  </si>
  <si>
    <t>NRV£/unit</t>
  </si>
  <si>
    <t>Budled deal</t>
  </si>
  <si>
    <t>combos of lion and Unicorn</t>
  </si>
  <si>
    <t>total price</t>
  </si>
  <si>
    <t>cost to rework</t>
  </si>
  <si>
    <t>per package</t>
  </si>
  <si>
    <t>Package</t>
  </si>
  <si>
    <t>recoverable price</t>
  </si>
  <si>
    <t>FG value</t>
  </si>
  <si>
    <t>Victoria inventory cost</t>
  </si>
  <si>
    <t>Variable cost</t>
  </si>
  <si>
    <t>Direct wages</t>
  </si>
  <si>
    <t>Power cost</t>
  </si>
  <si>
    <t>Prod. Admin</t>
  </si>
  <si>
    <t>Total variable cost</t>
  </si>
  <si>
    <t>Fixed cost</t>
  </si>
  <si>
    <t>Prod admin</t>
  </si>
  <si>
    <t>rent of factory</t>
  </si>
  <si>
    <t>Depr of production machinery</t>
  </si>
  <si>
    <t>restrict the allowable fixed cost as a percentage of the total capacity used</t>
  </si>
  <si>
    <t>&lt;&lt;&lt;&lt;only bit here is that the rework cost goes in a SGA not inventory cost</t>
  </si>
  <si>
    <t># of Units Sold</t>
  </si>
  <si>
    <t>Purchase Date</t>
  </si>
  <si>
    <t>Units Purchased</t>
  </si>
  <si>
    <t>Price per Unit</t>
  </si>
  <si>
    <t>Cost of Goods Purchased</t>
  </si>
  <si>
    <t>Units Sold</t>
  </si>
  <si>
    <t>Units Remaining</t>
  </si>
  <si>
    <t>Cost of Goods Sold</t>
  </si>
  <si>
    <t>Inventory Value</t>
  </si>
  <si>
    <t>Total</t>
  </si>
  <si>
    <t>Average cost</t>
  </si>
  <si>
    <t>Cost of goods purchase</t>
  </si>
  <si>
    <t>units purchased</t>
  </si>
  <si>
    <t>Closing inventoru</t>
  </si>
  <si>
    <t>Decrease in inventories and profit</t>
  </si>
  <si>
    <t>&lt;&lt;&lt;if this is a negative number then there is an increase in inventories and profit</t>
  </si>
  <si>
    <t>dr - COGS</t>
  </si>
  <si>
    <t>cr - RM</t>
  </si>
  <si>
    <t>&lt;&lt;&lt;Watch out for cut off dates</t>
  </si>
  <si>
    <t>transport cost</t>
  </si>
  <si>
    <t>cost of bringing to current locatoin and conditio</t>
  </si>
  <si>
    <t>less: removal of leaflet</t>
  </si>
  <si>
    <t>printing new leaflet</t>
  </si>
  <si>
    <t>repackagin</t>
  </si>
  <si>
    <t>lower of cost and nrv</t>
  </si>
  <si>
    <t>current carry value</t>
  </si>
  <si>
    <t xml:space="preserve">increase </t>
  </si>
  <si>
    <t>dr - inventories</t>
  </si>
  <si>
    <t>cr - SPL cost of sales</t>
  </si>
  <si>
    <t>being adjustment to inventories</t>
  </si>
  <si>
    <t>Cough medicine</t>
  </si>
  <si>
    <t>Standard cost per unti</t>
  </si>
  <si>
    <t>adv</t>
  </si>
  <si>
    <t>material</t>
  </si>
  <si>
    <t>fav</t>
  </si>
  <si>
    <t>Estimated actual cost</t>
  </si>
  <si>
    <t>Selling prive</t>
  </si>
  <si>
    <t>less: Sales and marketing</t>
  </si>
  <si>
    <t>Inventories at standard cost</t>
  </si>
  <si>
    <t>Inventoirs at NRV (lower than cost)</t>
  </si>
  <si>
    <t>Reduction required</t>
  </si>
  <si>
    <t>dr - Spl COS</t>
  </si>
  <si>
    <t>cr - invenotry</t>
  </si>
  <si>
    <t>being adjustments ot inventories</t>
  </si>
  <si>
    <t>units per month</t>
  </si>
  <si>
    <t>standard cost per unti</t>
  </si>
  <si>
    <t>closing stock</t>
  </si>
  <si>
    <t>Standard cost</t>
  </si>
  <si>
    <t>Labour</t>
  </si>
  <si>
    <t>Prod o/h</t>
  </si>
  <si>
    <t>Variances</t>
  </si>
  <si>
    <t>units affected</t>
  </si>
  <si>
    <t>normal adverse</t>
  </si>
  <si>
    <t>June 2021 - totallly irrelevant</t>
  </si>
  <si>
    <t>cheaper</t>
  </si>
  <si>
    <t>favourable per unit</t>
  </si>
  <si>
    <t>normal expense</t>
  </si>
  <si>
    <t>P o/h</t>
  </si>
  <si>
    <t>Pain Relief</t>
  </si>
  <si>
    <t>BlockMock2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</si>
</sst>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,##0.0000"/>
    <numFmt numFmtId="166" formatCode="&quot;£&quot;#,##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14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1" fillId="0" borderId="1" xfId="0" applyNumberFormat="1" applyFont="1" applyBorder="1"/>
    <xf numFmtId="0" fontId="4" fillId="0" borderId="0" xfId="0" applyFont="1"/>
    <xf numFmtId="4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3" fontId="3" fillId="0" borderId="0" xfId="0" applyNumberFormat="1" applyFont="1"/>
    <xf numFmtId="3" fontId="1" fillId="2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9" fontId="1" fillId="0" borderId="0" xfId="0" applyNumberFormat="1" applyFont="1" applyFill="1"/>
    <xf numFmtId="164" fontId="1" fillId="0" borderId="1" xfId="0" applyNumberFormat="1" applyFont="1" applyFill="1" applyBorder="1"/>
    <xf numFmtId="164" fontId="1" fillId="0" borderId="0" xfId="0" applyNumberFormat="1" applyFont="1" applyFill="1" applyBorder="1"/>
    <xf numFmtId="3" fontId="3" fillId="0" borderId="1" xfId="0" applyNumberFormat="1" applyFont="1" applyBorder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3" fontId="1" fillId="0" borderId="0" xfId="0" applyNumberFormat="1" applyFont="1" applyFill="1"/>
    <xf numFmtId="0" fontId="1" fillId="0" borderId="0" xfId="0" quotePrefix="1" applyFont="1"/>
    <xf numFmtId="0" fontId="1" fillId="0" borderId="0" xfId="0" applyFont="1" applyBorder="1"/>
    <xf numFmtId="14" fontId="1" fillId="0" borderId="0" xfId="0" applyNumberFormat="1" applyFont="1" applyBorder="1"/>
    <xf numFmtId="3" fontId="1" fillId="0" borderId="0" xfId="0" applyNumberFormat="1" applyFont="1" applyBorder="1"/>
    <xf numFmtId="9" fontId="1" fillId="0" borderId="0" xfId="0" applyNumberFormat="1" applyFont="1" applyBorder="1"/>
    <xf numFmtId="4" fontId="1" fillId="0" borderId="0" xfId="0" applyNumberFormat="1" applyFont="1" applyBorder="1"/>
    <xf numFmtId="4" fontId="1" fillId="0" borderId="1" xfId="0" applyNumberFormat="1" applyFont="1" applyBorder="1"/>
    <xf numFmtId="3" fontId="3" fillId="0" borderId="0" xfId="0" applyNumberFormat="1" applyFont="1" applyBorder="1"/>
    <xf numFmtId="0" fontId="5" fillId="0" borderId="0" xfId="0" applyFont="1"/>
    <xf numFmtId="17" fontId="1" fillId="0" borderId="0" xfId="0" applyNumberFormat="1" applyFont="1"/>
    <xf numFmtId="3" fontId="3" fillId="2" borderId="0" xfId="0" applyNumberFormat="1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1" fillId="3" borderId="0" xfId="0" applyFont="1" applyFill="1"/>
    <xf numFmtId="4" fontId="1" fillId="2" borderId="0" xfId="0" applyNumberFormat="1" applyFont="1" applyFill="1"/>
    <xf numFmtId="0" fontId="1" fillId="0" borderId="0" xfId="0" applyFont="1" applyBorder="1" applyAlignment="1">
      <alignment horizontal="centerContinuous"/>
    </xf>
    <xf numFmtId="3" fontId="1" fillId="0" borderId="2" xfId="0" applyNumberFormat="1" applyFont="1" applyBorder="1"/>
    <xf numFmtId="3" fontId="1" fillId="0" borderId="3" xfId="0" applyNumberFormat="1" applyFont="1" applyBorder="1"/>
    <xf numFmtId="165" fontId="1" fillId="0" borderId="0" xfId="0" applyNumberFormat="1" applyFont="1"/>
    <xf numFmtId="3" fontId="1" fillId="2" borderId="1" xfId="0" applyNumberFormat="1" applyFont="1" applyFill="1" applyBorder="1"/>
    <xf numFmtId="166" fontId="1" fillId="0" borderId="0" xfId="0" applyNumberFormat="1" applyFont="1"/>
    <xf numFmtId="14" fontId="1" fillId="3" borderId="0" xfId="0" applyNumberFormat="1" applyFont="1" applyFill="1"/>
    <xf numFmtId="3" fontId="1" fillId="3" borderId="0" xfId="0" applyNumberFormat="1" applyFont="1" applyFill="1"/>
    <xf numFmtId="166" fontId="1" fillId="2" borderId="0" xfId="0" applyNumberFormat="1" applyFont="1" applyFill="1"/>
    <xf numFmtId="166" fontId="1" fillId="2" borderId="0" xfId="0" applyNumberFormat="1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F35-DCE9-4E08-B1FC-0D5B407EFFCB}">
  <dimension ref="B2:D9"/>
  <sheetViews>
    <sheetView tabSelected="1" zoomScale="160" zoomScaleNormal="160" workbookViewId="0">
      <selection activeCell="H9" sqref="H9"/>
    </sheetView>
  </sheetViews>
  <sheetFormatPr defaultRowHeight="15" x14ac:dyDescent="0.25"/>
  <cols>
    <col min="2" max="2" width="10.28515625" bestFit="1" customWidth="1"/>
    <col min="4" max="4" width="11.42578125" bestFit="1" customWidth="1"/>
  </cols>
  <sheetData>
    <row r="2" spans="2:4" x14ac:dyDescent="0.25">
      <c r="B2" s="2" t="s">
        <v>0</v>
      </c>
      <c r="C2" s="2" t="s">
        <v>63</v>
      </c>
      <c r="D2" s="2" t="s">
        <v>448</v>
      </c>
    </row>
    <row r="3" spans="2:4" x14ac:dyDescent="0.25">
      <c r="B3" s="2"/>
      <c r="C3" s="2" t="s">
        <v>164</v>
      </c>
    </row>
    <row r="4" spans="2:4" x14ac:dyDescent="0.25">
      <c r="B4" s="2"/>
      <c r="C4" s="2" t="s">
        <v>195</v>
      </c>
    </row>
    <row r="5" spans="2:4" x14ac:dyDescent="0.25">
      <c r="C5" s="2" t="s">
        <v>150</v>
      </c>
    </row>
    <row r="6" spans="2:4" x14ac:dyDescent="0.25">
      <c r="C6" s="2" t="s">
        <v>217</v>
      </c>
    </row>
    <row r="7" spans="2:4" x14ac:dyDescent="0.25">
      <c r="C7" s="2" t="s">
        <v>230</v>
      </c>
    </row>
    <row r="8" spans="2:4" x14ac:dyDescent="0.25">
      <c r="C8" s="2" t="s">
        <v>273</v>
      </c>
    </row>
    <row r="9" spans="2:4" x14ac:dyDescent="0.25">
      <c r="C9" s="2" t="s">
        <v>320</v>
      </c>
    </row>
  </sheetData>
  <hyperlinks>
    <hyperlink ref="B2" location="'Module 11'!A1" display="Module 11" xr:uid="{55A747FF-64F8-464C-B217-9087D2A71570}"/>
    <hyperlink ref="C2" location="WSE11.1!A1" display="WSE11.1" xr:uid="{CBFDBFF0-CC14-4E03-9DB0-312C4C1F33D7}"/>
    <hyperlink ref="C5" location="SWE11.14!A1" display="SWE11.4" xr:uid="{AD361DFD-A3B3-4B04-982E-8C22A85FDB66}"/>
    <hyperlink ref="C3" location="WSE11.2!A1" display="WSE11.2" xr:uid="{F6EB007E-9A89-4ADB-B270-9A02137F5879}"/>
    <hyperlink ref="C4" location="WSE11.3!A1" display="WSE11.3" xr:uid="{95D9E5A6-C9C3-4061-A58F-647104D9EFBB}"/>
    <hyperlink ref="C6" location="WSE11.5!A1" display="WSE11.5" xr:uid="{BD21E020-2A4A-4763-A113-76B9B9BDAF28}"/>
    <hyperlink ref="C7" location="WSE11.6!A1" display="WSE11.6" xr:uid="{C91759EF-5189-4D83-B0AD-1760C87E665A}"/>
    <hyperlink ref="C8" location="WSE11.7!A1" display="WSE11.7" xr:uid="{0FBD72AD-FF1F-471A-B125-7A50717A993A}"/>
    <hyperlink ref="C9" location="WSE11.8!A1" display="WSE11.8" xr:uid="{012E54B9-0539-43D6-8062-7A0D04F12DC3}"/>
    <hyperlink ref="D2" location="BlockMock2!A1" display="BlockMock2" xr:uid="{FA050EA6-712B-4F86-9D17-52FD4CA6C9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F1FA-A156-444F-9C7A-CF37AA469AA2}">
  <dimension ref="A1:H136"/>
  <sheetViews>
    <sheetView zoomScale="145" zoomScaleNormal="145" workbookViewId="0"/>
  </sheetViews>
  <sheetFormatPr defaultRowHeight="12" x14ac:dyDescent="0.2"/>
  <cols>
    <col min="1" max="1" width="9.140625" style="1"/>
    <col min="2" max="2" width="15.28515625" style="1" customWidth="1"/>
    <col min="3" max="3" width="10.7109375" style="1" bestFit="1" customWidth="1"/>
    <col min="4" max="4" width="9.140625" style="1"/>
    <col min="5" max="5" width="11" style="1" bestFit="1" customWidth="1"/>
    <col min="6" max="16384" width="9.140625" style="1"/>
  </cols>
  <sheetData>
    <row r="1" spans="1:5" ht="15" x14ac:dyDescent="0.25">
      <c r="A1" s="2" t="s">
        <v>1</v>
      </c>
    </row>
    <row r="3" spans="1:5" x14ac:dyDescent="0.2">
      <c r="B3" s="1" t="s">
        <v>2</v>
      </c>
    </row>
    <row r="4" spans="1:5" x14ac:dyDescent="0.2">
      <c r="B4" s="1" t="s">
        <v>3</v>
      </c>
    </row>
    <row r="6" spans="1:5" x14ac:dyDescent="0.2">
      <c r="B6" s="1" t="s">
        <v>4</v>
      </c>
    </row>
    <row r="7" spans="1:5" x14ac:dyDescent="0.2">
      <c r="B7" s="1" t="s">
        <v>5</v>
      </c>
      <c r="C7" s="1">
        <v>100</v>
      </c>
      <c r="D7" s="1">
        <v>140</v>
      </c>
      <c r="E7" s="1">
        <f>+C7</f>
        <v>100</v>
      </c>
    </row>
    <row r="8" spans="1:5" x14ac:dyDescent="0.2">
      <c r="B8" s="1" t="s">
        <v>6</v>
      </c>
      <c r="C8" s="1">
        <v>200</v>
      </c>
      <c r="D8" s="1">
        <v>250</v>
      </c>
      <c r="E8" s="1">
        <f>+C8</f>
        <v>200</v>
      </c>
    </row>
    <row r="9" spans="1:5" x14ac:dyDescent="0.2">
      <c r="B9" s="1" t="s">
        <v>7</v>
      </c>
      <c r="C9" s="1">
        <v>300</v>
      </c>
      <c r="D9" s="1">
        <v>210</v>
      </c>
      <c r="E9" s="1">
        <f>+D9</f>
        <v>210</v>
      </c>
    </row>
    <row r="10" spans="1:5" x14ac:dyDescent="0.2">
      <c r="B10" s="1" t="s">
        <v>8</v>
      </c>
      <c r="C10" s="1">
        <v>400</v>
      </c>
      <c r="D10" s="1">
        <v>600</v>
      </c>
      <c r="E10" s="1">
        <f>+C10</f>
        <v>400</v>
      </c>
    </row>
    <row r="11" spans="1:5" ht="12.75" thickBot="1" x14ac:dyDescent="0.25">
      <c r="C11" s="3">
        <f>SUM(C7:C10)</f>
        <v>1000</v>
      </c>
      <c r="D11" s="3">
        <f>SUM(D7:D10)</f>
        <v>1200</v>
      </c>
      <c r="E11" s="3">
        <f>SUM(E7:E10)</f>
        <v>910</v>
      </c>
    </row>
    <row r="12" spans="1:5" ht="12.75" thickTop="1" x14ac:dyDescent="0.2"/>
    <row r="13" spans="1:5" x14ac:dyDescent="0.2">
      <c r="B13" s="1" t="s">
        <v>9</v>
      </c>
    </row>
    <row r="16" spans="1:5" x14ac:dyDescent="0.2">
      <c r="B16" s="1" t="s">
        <v>4</v>
      </c>
    </row>
    <row r="17" spans="2:4" x14ac:dyDescent="0.2">
      <c r="B17" s="1" t="s">
        <v>10</v>
      </c>
    </row>
    <row r="18" spans="2:4" x14ac:dyDescent="0.2">
      <c r="B18" s="1" t="s">
        <v>17</v>
      </c>
      <c r="C18" s="4">
        <v>43830</v>
      </c>
    </row>
    <row r="19" spans="2:4" x14ac:dyDescent="0.2">
      <c r="B19" s="1" t="s">
        <v>11</v>
      </c>
      <c r="C19" s="6">
        <v>200</v>
      </c>
      <c r="D19" s="1" t="s">
        <v>15</v>
      </c>
    </row>
    <row r="20" spans="2:4" x14ac:dyDescent="0.2">
      <c r="B20" s="1" t="s">
        <v>13</v>
      </c>
      <c r="C20" s="6">
        <v>800000</v>
      </c>
      <c r="D20" s="1" t="s">
        <v>16</v>
      </c>
    </row>
    <row r="21" spans="2:4" x14ac:dyDescent="0.2">
      <c r="B21" s="1" t="s">
        <v>14</v>
      </c>
      <c r="C21" s="6">
        <v>10000</v>
      </c>
      <c r="D21" s="1" t="s">
        <v>19</v>
      </c>
    </row>
    <row r="22" spans="2:4" x14ac:dyDescent="0.2">
      <c r="B22" s="1" t="s">
        <v>18</v>
      </c>
      <c r="C22" s="6">
        <v>8000</v>
      </c>
      <c r="D22" s="1" t="s">
        <v>19</v>
      </c>
    </row>
    <row r="23" spans="2:4" x14ac:dyDescent="0.2">
      <c r="B23" s="1" t="s">
        <v>20</v>
      </c>
      <c r="C23" s="6">
        <v>550</v>
      </c>
      <c r="D23" s="1" t="s">
        <v>21</v>
      </c>
    </row>
    <row r="24" spans="2:4" x14ac:dyDescent="0.2">
      <c r="B24" s="1" t="s">
        <v>22</v>
      </c>
      <c r="C24" s="5">
        <f>+C22/C21</f>
        <v>0.8</v>
      </c>
    </row>
    <row r="26" spans="2:4" x14ac:dyDescent="0.2">
      <c r="B26" s="7" t="s">
        <v>23</v>
      </c>
    </row>
    <row r="28" spans="2:4" x14ac:dyDescent="0.2">
      <c r="B28" s="1" t="s">
        <v>24</v>
      </c>
      <c r="C28" s="6">
        <f>+C19</f>
        <v>200</v>
      </c>
      <c r="D28" s="1" t="s">
        <v>12</v>
      </c>
    </row>
    <row r="29" spans="2:4" x14ac:dyDescent="0.2">
      <c r="B29" s="1" t="s">
        <v>25</v>
      </c>
      <c r="C29" s="6">
        <f>+C20/C21</f>
        <v>80</v>
      </c>
    </row>
    <row r="30" spans="2:4" x14ac:dyDescent="0.2">
      <c r="B30" s="1" t="s">
        <v>27</v>
      </c>
      <c r="C30" s="6">
        <f>SUM(C28:C29)</f>
        <v>280</v>
      </c>
    </row>
    <row r="31" spans="2:4" x14ac:dyDescent="0.2">
      <c r="C31" s="6"/>
    </row>
    <row r="32" spans="2:4" x14ac:dyDescent="0.2">
      <c r="B32" s="1" t="s">
        <v>26</v>
      </c>
      <c r="C32" s="6"/>
    </row>
    <row r="33" spans="2:3" x14ac:dyDescent="0.2">
      <c r="B33" s="1" t="s">
        <v>27</v>
      </c>
      <c r="C33" s="6">
        <f>+C30</f>
        <v>280</v>
      </c>
    </row>
    <row r="34" spans="2:3" x14ac:dyDescent="0.2">
      <c r="B34" s="1" t="s">
        <v>21</v>
      </c>
      <c r="C34" s="6">
        <f>+C23</f>
        <v>550</v>
      </c>
    </row>
    <row r="35" spans="2:3" x14ac:dyDescent="0.2">
      <c r="B35" s="1" t="s">
        <v>26</v>
      </c>
      <c r="C35" s="6">
        <f>+C33*C34</f>
        <v>154000</v>
      </c>
    </row>
    <row r="37" spans="2:3" x14ac:dyDescent="0.2">
      <c r="B37" s="7" t="s">
        <v>28</v>
      </c>
    </row>
    <row r="38" spans="2:3" x14ac:dyDescent="0.2">
      <c r="B38" s="7"/>
    </row>
    <row r="39" spans="2:3" x14ac:dyDescent="0.2">
      <c r="B39" s="7" t="s">
        <v>31</v>
      </c>
    </row>
    <row r="40" spans="2:3" x14ac:dyDescent="0.2">
      <c r="B40" s="7"/>
    </row>
    <row r="42" spans="2:3" x14ac:dyDescent="0.2">
      <c r="B42" s="1" t="s">
        <v>29</v>
      </c>
      <c r="C42" s="6">
        <f>+C28</f>
        <v>200</v>
      </c>
    </row>
    <row r="43" spans="2:3" x14ac:dyDescent="0.2">
      <c r="B43" s="1" t="s">
        <v>30</v>
      </c>
      <c r="C43" s="1">
        <f>+C20/11200</f>
        <v>71.428571428571431</v>
      </c>
    </row>
    <row r="44" spans="2:3" x14ac:dyDescent="0.2">
      <c r="C44" s="6">
        <f>SUM(C42:C43)</f>
        <v>271.42857142857144</v>
      </c>
    </row>
    <row r="45" spans="2:3" x14ac:dyDescent="0.2">
      <c r="B45" s="1" t="s">
        <v>26</v>
      </c>
    </row>
    <row r="46" spans="2:3" x14ac:dyDescent="0.2">
      <c r="B46" s="1" t="s">
        <v>27</v>
      </c>
      <c r="C46" s="6">
        <f>+C44</f>
        <v>271.42857142857144</v>
      </c>
    </row>
    <row r="47" spans="2:3" x14ac:dyDescent="0.2">
      <c r="B47" s="1" t="s">
        <v>21</v>
      </c>
      <c r="C47" s="6">
        <f>+C34</f>
        <v>550</v>
      </c>
    </row>
    <row r="48" spans="2:3" x14ac:dyDescent="0.2">
      <c r="B48" s="1" t="s">
        <v>26</v>
      </c>
      <c r="C48" s="6">
        <f>+C46*C47</f>
        <v>149285.71428571429</v>
      </c>
    </row>
    <row r="51" spans="2:4" x14ac:dyDescent="0.2">
      <c r="B51" s="1" t="s">
        <v>32</v>
      </c>
    </row>
    <row r="52" spans="2:4" x14ac:dyDescent="0.2">
      <c r="B52" s="1" t="s">
        <v>17</v>
      </c>
      <c r="C52" s="4">
        <v>46599</v>
      </c>
    </row>
    <row r="54" spans="2:4" x14ac:dyDescent="0.2">
      <c r="B54" s="1" t="s">
        <v>36</v>
      </c>
      <c r="C54" s="6">
        <v>103000</v>
      </c>
      <c r="D54" s="1" t="s">
        <v>48</v>
      </c>
    </row>
    <row r="55" spans="2:4" x14ac:dyDescent="0.2">
      <c r="B55" s="1" t="s">
        <v>35</v>
      </c>
      <c r="C55" s="6">
        <v>4000</v>
      </c>
      <c r="D55" s="1" t="s">
        <v>48</v>
      </c>
    </row>
    <row r="56" spans="2:4" x14ac:dyDescent="0.2">
      <c r="B56" s="1" t="s">
        <v>45</v>
      </c>
      <c r="C56" s="6">
        <f>0.6*36000</f>
        <v>21600</v>
      </c>
      <c r="D56" s="1" t="s">
        <v>48</v>
      </c>
    </row>
    <row r="57" spans="2:4" x14ac:dyDescent="0.2">
      <c r="B57" s="1" t="s">
        <v>46</v>
      </c>
      <c r="C57" s="6">
        <f>0.4*36000</f>
        <v>14400</v>
      </c>
      <c r="D57" s="1" t="s">
        <v>49</v>
      </c>
    </row>
    <row r="58" spans="2:4" x14ac:dyDescent="0.2">
      <c r="B58" s="1" t="s">
        <v>41</v>
      </c>
      <c r="C58" s="6">
        <v>950</v>
      </c>
      <c r="D58" s="1" t="s">
        <v>48</v>
      </c>
    </row>
    <row r="59" spans="2:4" x14ac:dyDescent="0.2">
      <c r="B59" s="1" t="s">
        <v>37</v>
      </c>
      <c r="C59" s="6">
        <v>1200</v>
      </c>
      <c r="D59" s="1" t="s">
        <v>49</v>
      </c>
    </row>
    <row r="60" spans="2:4" x14ac:dyDescent="0.2">
      <c r="B60" s="1" t="s">
        <v>39</v>
      </c>
      <c r="C60" s="6">
        <v>1850</v>
      </c>
      <c r="D60" s="1" t="s">
        <v>48</v>
      </c>
    </row>
    <row r="61" spans="2:4" x14ac:dyDescent="0.2">
      <c r="B61" s="1" t="s">
        <v>42</v>
      </c>
      <c r="C61" s="8">
        <v>50</v>
      </c>
      <c r="D61" s="1" t="s">
        <v>38</v>
      </c>
    </row>
    <row r="62" spans="2:4" x14ac:dyDescent="0.2">
      <c r="B62" s="1" t="s">
        <v>34</v>
      </c>
      <c r="C62" s="8">
        <v>1100</v>
      </c>
      <c r="D62" s="1" t="s">
        <v>38</v>
      </c>
    </row>
    <row r="63" spans="2:4" x14ac:dyDescent="0.2">
      <c r="B63" s="1" t="s">
        <v>33</v>
      </c>
      <c r="C63" s="8">
        <v>2300</v>
      </c>
      <c r="D63" s="1" t="s">
        <v>38</v>
      </c>
    </row>
    <row r="64" spans="2:4" x14ac:dyDescent="0.2">
      <c r="B64" s="1" t="s">
        <v>40</v>
      </c>
      <c r="C64" s="8">
        <v>1650</v>
      </c>
      <c r="D64" s="1" t="s">
        <v>38</v>
      </c>
    </row>
    <row r="65" spans="2:4" x14ac:dyDescent="0.2">
      <c r="C65" s="6"/>
    </row>
    <row r="66" spans="2:4" x14ac:dyDescent="0.2">
      <c r="B66" s="1" t="s">
        <v>50</v>
      </c>
      <c r="C66" s="6">
        <f>SUM(C54:C56,C58,C60,)</f>
        <v>131400</v>
      </c>
    </row>
    <row r="67" spans="2:4" x14ac:dyDescent="0.2">
      <c r="B67" s="1" t="s">
        <v>51</v>
      </c>
      <c r="C67" s="6">
        <f>+C57+C59</f>
        <v>15600</v>
      </c>
    </row>
    <row r="69" spans="2:4" x14ac:dyDescent="0.2">
      <c r="B69" s="1" t="s">
        <v>14</v>
      </c>
      <c r="C69" s="6">
        <v>300000</v>
      </c>
      <c r="D69" s="1" t="s">
        <v>43</v>
      </c>
    </row>
    <row r="70" spans="2:4" x14ac:dyDescent="0.2">
      <c r="B70" s="1" t="s">
        <v>44</v>
      </c>
      <c r="C70" s="6">
        <v>240000</v>
      </c>
      <c r="D70" s="1" t="s">
        <v>43</v>
      </c>
    </row>
    <row r="71" spans="2:4" x14ac:dyDescent="0.2">
      <c r="B71" s="1" t="s">
        <v>47</v>
      </c>
      <c r="C71" s="5">
        <f>+C70/C69</f>
        <v>0.8</v>
      </c>
    </row>
    <row r="73" spans="2:4" x14ac:dyDescent="0.2">
      <c r="C73" s="6">
        <f>+C67</f>
        <v>15600</v>
      </c>
    </row>
    <row r="74" spans="2:4" x14ac:dyDescent="0.2">
      <c r="B74" s="1" t="s">
        <v>55</v>
      </c>
      <c r="C74" s="6">
        <f>+C69</f>
        <v>300000</v>
      </c>
      <c r="D74" s="1" t="s">
        <v>56</v>
      </c>
    </row>
    <row r="75" spans="2:4" x14ac:dyDescent="0.2">
      <c r="B75" s="1" t="s">
        <v>54</v>
      </c>
      <c r="C75" s="12">
        <f>+C73/C74</f>
        <v>5.1999999999999998E-2</v>
      </c>
    </row>
    <row r="76" spans="2:4" x14ac:dyDescent="0.2">
      <c r="B76" s="1" t="s">
        <v>52</v>
      </c>
      <c r="C76" s="6">
        <f>+C66</f>
        <v>131400</v>
      </c>
    </row>
    <row r="77" spans="2:4" x14ac:dyDescent="0.2">
      <c r="B77" s="1" t="s">
        <v>53</v>
      </c>
      <c r="C77" s="6">
        <f>+C70*C75</f>
        <v>12480</v>
      </c>
    </row>
    <row r="78" spans="2:4" ht="12.75" thickBot="1" x14ac:dyDescent="0.25">
      <c r="B78" s="1" t="s">
        <v>27</v>
      </c>
      <c r="C78" s="9">
        <f>SUM(C76:C77)</f>
        <v>143880</v>
      </c>
    </row>
    <row r="79" spans="2:4" ht="12.75" thickTop="1" x14ac:dyDescent="0.2"/>
    <row r="80" spans="2:4" x14ac:dyDescent="0.2">
      <c r="B80" s="1" t="s">
        <v>57</v>
      </c>
    </row>
    <row r="81" spans="2:7" x14ac:dyDescent="0.2">
      <c r="B81" s="1" t="s">
        <v>58</v>
      </c>
    </row>
    <row r="82" spans="2:7" x14ac:dyDescent="0.2">
      <c r="C82" s="5">
        <f>+C71</f>
        <v>0.8</v>
      </c>
    </row>
    <row r="83" spans="2:7" x14ac:dyDescent="0.2">
      <c r="B83" s="1" t="s">
        <v>59</v>
      </c>
      <c r="C83" s="6">
        <f>+C76</f>
        <v>131400</v>
      </c>
    </row>
    <row r="84" spans="2:7" x14ac:dyDescent="0.2">
      <c r="B84" s="1" t="s">
        <v>60</v>
      </c>
      <c r="C84" s="1">
        <f>+C82*C67</f>
        <v>12480</v>
      </c>
    </row>
    <row r="85" spans="2:7" ht="12.75" thickBot="1" x14ac:dyDescent="0.25">
      <c r="C85" s="9">
        <f>SUM(C83:C84)</f>
        <v>143880</v>
      </c>
    </row>
    <row r="86" spans="2:7" ht="12.75" thickTop="1" x14ac:dyDescent="0.2"/>
    <row r="87" spans="2:7" x14ac:dyDescent="0.2">
      <c r="B87" s="1" t="s">
        <v>27</v>
      </c>
      <c r="C87" s="6">
        <f>+C85</f>
        <v>143880</v>
      </c>
    </row>
    <row r="88" spans="2:7" x14ac:dyDescent="0.2">
      <c r="B88" s="1" t="s">
        <v>62</v>
      </c>
      <c r="C88" s="6">
        <f>+C70</f>
        <v>240000</v>
      </c>
    </row>
    <row r="89" spans="2:7" ht="12.75" thickBot="1" x14ac:dyDescent="0.25">
      <c r="B89" s="1" t="s">
        <v>61</v>
      </c>
      <c r="C89" s="13">
        <f>+C87/C88</f>
        <v>0.59950000000000003</v>
      </c>
    </row>
    <row r="90" spans="2:7" ht="12.75" thickTop="1" x14ac:dyDescent="0.2"/>
    <row r="92" spans="2:7" x14ac:dyDescent="0.2">
      <c r="B92" s="1" t="s">
        <v>109</v>
      </c>
    </row>
    <row r="93" spans="2:7" x14ac:dyDescent="0.2">
      <c r="B93" s="4">
        <v>45292</v>
      </c>
    </row>
    <row r="94" spans="2:7" x14ac:dyDescent="0.2">
      <c r="E94" s="1" t="s">
        <v>114</v>
      </c>
    </row>
    <row r="95" spans="2:7" x14ac:dyDescent="0.2">
      <c r="B95" s="1" t="s">
        <v>69</v>
      </c>
      <c r="C95" s="1">
        <v>50</v>
      </c>
      <c r="D95" s="6">
        <f>+C95*$C$106</f>
        <v>600000</v>
      </c>
      <c r="E95" s="1">
        <v>-120000</v>
      </c>
      <c r="F95" s="6">
        <f>SUM(D95:E95)</f>
        <v>480000</v>
      </c>
      <c r="G95" s="1" t="s">
        <v>116</v>
      </c>
    </row>
    <row r="96" spans="2:7" x14ac:dyDescent="0.2">
      <c r="B96" s="1" t="s">
        <v>70</v>
      </c>
      <c r="C96" s="1">
        <v>200</v>
      </c>
      <c r="D96" s="6">
        <f t="shared" ref="D96:D99" si="0">+C96*$C$106</f>
        <v>2400000</v>
      </c>
      <c r="E96" s="1">
        <v>0</v>
      </c>
      <c r="F96" s="6">
        <f t="shared" ref="F96:F97" si="1">SUM(D96:E96)</f>
        <v>2400000</v>
      </c>
      <c r="G96" s="1" t="s">
        <v>117</v>
      </c>
    </row>
    <row r="97" spans="2:7" x14ac:dyDescent="0.2">
      <c r="B97" s="1" t="s">
        <v>112</v>
      </c>
      <c r="C97" s="1">
        <v>40</v>
      </c>
      <c r="D97" s="6">
        <f t="shared" si="0"/>
        <v>480000</v>
      </c>
      <c r="E97" s="1">
        <v>60000</v>
      </c>
      <c r="F97" s="6">
        <f t="shared" si="1"/>
        <v>540000</v>
      </c>
      <c r="G97" s="1" t="s">
        <v>118</v>
      </c>
    </row>
    <row r="98" spans="2:7" x14ac:dyDescent="0.2">
      <c r="B98" s="1" t="s">
        <v>111</v>
      </c>
      <c r="C98" s="1">
        <v>60</v>
      </c>
      <c r="D98" s="6">
        <f t="shared" si="0"/>
        <v>720000</v>
      </c>
    </row>
    <row r="99" spans="2:7" s="10" customFormat="1" x14ac:dyDescent="0.2">
      <c r="B99" s="10" t="s">
        <v>110</v>
      </c>
      <c r="C99" s="10">
        <v>20</v>
      </c>
      <c r="D99" s="8">
        <f t="shared" si="0"/>
        <v>240000</v>
      </c>
    </row>
    <row r="100" spans="2:7" x14ac:dyDescent="0.2">
      <c r="C100" s="1">
        <f>SUM(C95:C99)</f>
        <v>370</v>
      </c>
      <c r="D100" s="6">
        <f>SUM(D95:D99)</f>
        <v>4440000</v>
      </c>
    </row>
    <row r="103" spans="2:7" x14ac:dyDescent="0.2">
      <c r="B103" s="4">
        <v>45657</v>
      </c>
    </row>
    <row r="104" spans="2:7" x14ac:dyDescent="0.2">
      <c r="B104" s="4" t="s">
        <v>93</v>
      </c>
    </row>
    <row r="105" spans="2:7" x14ac:dyDescent="0.2">
      <c r="B105" s="1" t="s">
        <v>21</v>
      </c>
      <c r="C105" s="1">
        <v>2000</v>
      </c>
      <c r="D105" s="1" t="s">
        <v>67</v>
      </c>
      <c r="E105" s="1" t="s">
        <v>115</v>
      </c>
    </row>
    <row r="106" spans="2:7" x14ac:dyDescent="0.2">
      <c r="B106" s="1" t="s">
        <v>113</v>
      </c>
      <c r="C106" s="1">
        <v>12000</v>
      </c>
      <c r="D106" s="1" t="s">
        <v>67</v>
      </c>
    </row>
    <row r="108" spans="2:7" x14ac:dyDescent="0.2">
      <c r="D108" s="1" t="s">
        <v>125</v>
      </c>
      <c r="E108" s="1" t="s">
        <v>126</v>
      </c>
    </row>
    <row r="109" spans="2:7" x14ac:dyDescent="0.2">
      <c r="B109" s="1" t="s">
        <v>119</v>
      </c>
      <c r="D109" s="6">
        <f>+C100</f>
        <v>370</v>
      </c>
      <c r="E109" s="6">
        <f>+D109*C105</f>
        <v>740000</v>
      </c>
    </row>
    <row r="110" spans="2:7" x14ac:dyDescent="0.2">
      <c r="B110" s="1" t="s">
        <v>120</v>
      </c>
      <c r="D110" s="6">
        <f>-C99</f>
        <v>-20</v>
      </c>
      <c r="E110" s="6">
        <f>+D110*C105</f>
        <v>-40000</v>
      </c>
    </row>
    <row r="111" spans="2:7" x14ac:dyDescent="0.2">
      <c r="B111" s="1" t="s">
        <v>121</v>
      </c>
      <c r="D111" s="6">
        <f>SUM(D109:D110)</f>
        <v>350</v>
      </c>
      <c r="E111" s="6">
        <f>SUM(E109:E110)</f>
        <v>700000</v>
      </c>
    </row>
    <row r="112" spans="2:7" x14ac:dyDescent="0.2">
      <c r="B112" s="1" t="s">
        <v>122</v>
      </c>
      <c r="D112" s="6">
        <f>+E95/C106</f>
        <v>-10</v>
      </c>
      <c r="E112" s="6">
        <f>+D112*C105</f>
        <v>-20000</v>
      </c>
    </row>
    <row r="113" spans="2:8" x14ac:dyDescent="0.2">
      <c r="B113" s="1" t="s">
        <v>123</v>
      </c>
      <c r="D113" s="6">
        <f>+E97/(C106*4/12)</f>
        <v>15</v>
      </c>
      <c r="E113" s="6">
        <f>+E97*(C105/4000)</f>
        <v>30000</v>
      </c>
    </row>
    <row r="114" spans="2:8" x14ac:dyDescent="0.2">
      <c r="B114" s="1" t="s">
        <v>124</v>
      </c>
      <c r="D114" s="6">
        <f>SUM(D111:D113)</f>
        <v>355</v>
      </c>
      <c r="E114" s="6"/>
    </row>
    <row r="115" spans="2:8" ht="12.75" thickBot="1" x14ac:dyDescent="0.25">
      <c r="B115" s="1" t="s">
        <v>26</v>
      </c>
      <c r="D115" s="22">
        <f>+D114*C105</f>
        <v>710000</v>
      </c>
      <c r="E115" s="22">
        <f>SUM(E109:E114)</f>
        <v>1410000</v>
      </c>
    </row>
    <row r="116" spans="2:8" ht="12.75" thickTop="1" x14ac:dyDescent="0.2"/>
    <row r="117" spans="2:8" x14ac:dyDescent="0.2">
      <c r="D117" s="23" t="s">
        <v>127</v>
      </c>
      <c r="E117" s="23"/>
    </row>
    <row r="119" spans="2:8" x14ac:dyDescent="0.2">
      <c r="B119" s="1" t="s">
        <v>128</v>
      </c>
    </row>
    <row r="121" spans="2:8" x14ac:dyDescent="0.2">
      <c r="B121" s="1" t="s">
        <v>129</v>
      </c>
      <c r="C121" s="6">
        <v>820</v>
      </c>
    </row>
    <row r="122" spans="2:8" x14ac:dyDescent="0.2">
      <c r="B122" s="1" t="s">
        <v>130</v>
      </c>
      <c r="C122" s="6">
        <f>-0.06*C121</f>
        <v>-49.199999999999996</v>
      </c>
    </row>
    <row r="123" spans="2:8" x14ac:dyDescent="0.2">
      <c r="B123" s="1" t="s">
        <v>131</v>
      </c>
      <c r="C123" s="6">
        <v>-215</v>
      </c>
    </row>
    <row r="124" spans="2:8" ht="12.75" thickBot="1" x14ac:dyDescent="0.25">
      <c r="B124" s="1" t="s">
        <v>86</v>
      </c>
      <c r="C124" s="9">
        <f>SUM(C121:C123)</f>
        <v>555.79999999999995</v>
      </c>
    </row>
    <row r="125" spans="2:8" ht="12.75" thickTop="1" x14ac:dyDescent="0.2">
      <c r="F125" s="1" t="s">
        <v>134</v>
      </c>
    </row>
    <row r="126" spans="2:8" x14ac:dyDescent="0.2">
      <c r="F126" s="1" t="s">
        <v>135</v>
      </c>
      <c r="H126" s="1" t="s">
        <v>148</v>
      </c>
    </row>
    <row r="127" spans="2:8" x14ac:dyDescent="0.2">
      <c r="E127" s="1" t="s">
        <v>146</v>
      </c>
      <c r="F127" s="1" t="s">
        <v>136</v>
      </c>
      <c r="H127" s="1" t="s">
        <v>137</v>
      </c>
    </row>
    <row r="128" spans="2:8" x14ac:dyDescent="0.2">
      <c r="B128" s="1" t="s">
        <v>132</v>
      </c>
      <c r="D128" s="1" t="s">
        <v>145</v>
      </c>
      <c r="E128" s="5">
        <v>-1</v>
      </c>
      <c r="F128" s="5">
        <v>-0.94</v>
      </c>
      <c r="G128" s="1" t="s">
        <v>147</v>
      </c>
      <c r="H128" s="1" t="s">
        <v>138</v>
      </c>
    </row>
    <row r="129" spans="2:8" x14ac:dyDescent="0.2">
      <c r="B129" s="1" t="s">
        <v>133</v>
      </c>
      <c r="C129" s="1" t="s">
        <v>144</v>
      </c>
      <c r="D129" s="1" t="s">
        <v>79</v>
      </c>
      <c r="E129" s="1" t="s">
        <v>79</v>
      </c>
      <c r="F129" s="1" t="s">
        <v>79</v>
      </c>
      <c r="G129" s="1" t="s">
        <v>79</v>
      </c>
      <c r="H129" s="1" t="s">
        <v>149</v>
      </c>
    </row>
    <row r="130" spans="2:8" x14ac:dyDescent="0.2">
      <c r="B130" s="1" t="s">
        <v>139</v>
      </c>
      <c r="C130" s="6">
        <v>1200</v>
      </c>
      <c r="D130" s="6">
        <v>415</v>
      </c>
      <c r="E130" s="6">
        <v>580</v>
      </c>
      <c r="F130" s="6">
        <v>545</v>
      </c>
      <c r="G130" s="6">
        <v>415</v>
      </c>
      <c r="H130" s="6">
        <v>498</v>
      </c>
    </row>
    <row r="131" spans="2:8" x14ac:dyDescent="0.2">
      <c r="B131" s="1" t="s">
        <v>140</v>
      </c>
      <c r="C131" s="6">
        <v>610</v>
      </c>
      <c r="D131" s="6">
        <v>148</v>
      </c>
      <c r="E131" s="6">
        <v>150</v>
      </c>
      <c r="F131" s="6">
        <v>141</v>
      </c>
      <c r="G131" s="6">
        <v>141</v>
      </c>
      <c r="H131" s="6">
        <v>86</v>
      </c>
    </row>
    <row r="132" spans="2:8" x14ac:dyDescent="0.2">
      <c r="B132" s="1" t="s">
        <v>141</v>
      </c>
      <c r="C132" s="6">
        <v>200</v>
      </c>
      <c r="D132" s="6">
        <v>720</v>
      </c>
      <c r="E132" s="6">
        <v>810</v>
      </c>
      <c r="F132" s="6">
        <v>761</v>
      </c>
      <c r="G132" s="6">
        <v>720</v>
      </c>
      <c r="H132" s="6">
        <v>144</v>
      </c>
    </row>
    <row r="133" spans="2:8" x14ac:dyDescent="0.2">
      <c r="B133" s="1" t="s">
        <v>142</v>
      </c>
      <c r="C133" s="6">
        <v>416</v>
      </c>
      <c r="D133" s="6">
        <v>500</v>
      </c>
      <c r="E133" s="6">
        <f>+C121</f>
        <v>820</v>
      </c>
      <c r="F133" s="6">
        <f>+C124</f>
        <v>555.79999999999995</v>
      </c>
      <c r="G133" s="6">
        <v>500</v>
      </c>
      <c r="H133" s="6">
        <f>+C133*D133/1000</f>
        <v>208</v>
      </c>
    </row>
    <row r="134" spans="2:8" x14ac:dyDescent="0.2">
      <c r="B134" s="1" t="s">
        <v>143</v>
      </c>
      <c r="C134" s="6">
        <v>508</v>
      </c>
      <c r="D134" s="6">
        <v>930</v>
      </c>
      <c r="E134" s="6">
        <v>1400</v>
      </c>
      <c r="F134" s="6">
        <v>1316</v>
      </c>
      <c r="G134" s="6">
        <v>930</v>
      </c>
      <c r="H134" s="6">
        <v>472</v>
      </c>
    </row>
    <row r="135" spans="2:8" ht="12.75" thickBot="1" x14ac:dyDescent="0.25">
      <c r="C135" s="6"/>
      <c r="D135" s="6"/>
      <c r="E135" s="6"/>
      <c r="F135" s="6"/>
      <c r="G135" s="6"/>
      <c r="H135" s="9">
        <f>SUM(H130:H134)</f>
        <v>1408</v>
      </c>
    </row>
    <row r="136" spans="2:8" ht="12.75" thickTop="1" x14ac:dyDescent="0.2"/>
  </sheetData>
  <hyperlinks>
    <hyperlink ref="A1" location="Main!A1" display="Main" xr:uid="{316B2F69-1117-4AE1-988A-6A1051710F4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4F50-7407-4CEA-ACDF-E18E31F2F24E}">
  <dimension ref="B2:I1048576"/>
  <sheetViews>
    <sheetView workbookViewId="0">
      <selection activeCell="B2" sqref="B2:I33"/>
    </sheetView>
  </sheetViews>
  <sheetFormatPr defaultRowHeight="12" x14ac:dyDescent="0.2"/>
  <cols>
    <col min="1" max="1" width="9.140625" style="1"/>
    <col min="2" max="2" width="12.140625" style="1" bestFit="1" customWidth="1"/>
    <col min="3" max="3" width="13.7109375" style="1" bestFit="1" customWidth="1"/>
    <col min="4" max="4" width="11.42578125" style="1" bestFit="1" customWidth="1"/>
    <col min="5" max="5" width="20.42578125" style="1" bestFit="1" customWidth="1"/>
    <col min="6" max="6" width="12" style="1" bestFit="1" customWidth="1"/>
    <col min="7" max="7" width="14.140625" style="1" bestFit="1" customWidth="1"/>
    <col min="8" max="8" width="15.7109375" style="1" bestFit="1" customWidth="1"/>
    <col min="9" max="9" width="13.28515625" style="1" bestFit="1" customWidth="1"/>
    <col min="10" max="16384" width="9.140625" style="1"/>
  </cols>
  <sheetData>
    <row r="2" spans="2:9" x14ac:dyDescent="0.2">
      <c r="B2" s="7" t="s">
        <v>93</v>
      </c>
    </row>
    <row r="4" spans="2:9" x14ac:dyDescent="0.2">
      <c r="B4" s="1" t="s">
        <v>389</v>
      </c>
      <c r="C4" s="39">
        <v>3200</v>
      </c>
      <c r="D4" s="1" t="s">
        <v>407</v>
      </c>
    </row>
    <row r="6" spans="2:9" x14ac:dyDescent="0.2">
      <c r="B6" s="1" t="s">
        <v>390</v>
      </c>
      <c r="C6" s="1" t="s">
        <v>391</v>
      </c>
      <c r="D6" s="1" t="s">
        <v>392</v>
      </c>
      <c r="E6" s="1" t="s">
        <v>393</v>
      </c>
      <c r="F6" s="1" t="s">
        <v>394</v>
      </c>
      <c r="G6" s="1" t="s">
        <v>395</v>
      </c>
      <c r="H6" s="1" t="s">
        <v>396</v>
      </c>
      <c r="I6" s="1" t="s">
        <v>397</v>
      </c>
    </row>
    <row r="7" spans="2:9" x14ac:dyDescent="0.2">
      <c r="B7" s="47">
        <v>44777</v>
      </c>
      <c r="C7" s="48">
        <v>4500</v>
      </c>
      <c r="D7" s="39">
        <v>170</v>
      </c>
      <c r="E7" s="49">
        <f>+C7*D7</f>
        <v>765000</v>
      </c>
      <c r="F7" s="15">
        <f>+MIN(C7,$C$4-SUM($F$6:F6))</f>
        <v>3200</v>
      </c>
      <c r="G7" s="15">
        <f>+C7-F7</f>
        <v>1300</v>
      </c>
      <c r="H7" s="49">
        <f>+F7*D7</f>
        <v>544000</v>
      </c>
      <c r="I7" s="49">
        <f>+G7*D7</f>
        <v>221000</v>
      </c>
    </row>
    <row r="8" spans="2:9" x14ac:dyDescent="0.2">
      <c r="B8" s="47">
        <v>44807</v>
      </c>
      <c r="C8" s="48">
        <v>5000</v>
      </c>
      <c r="D8" s="39">
        <v>174</v>
      </c>
      <c r="E8" s="49">
        <f t="shared" ref="E8:E9" si="0">+C8*D8</f>
        <v>870000</v>
      </c>
      <c r="F8" s="15">
        <f>+MIN(C8,$C$4-SUM($F$6:F7))</f>
        <v>0</v>
      </c>
      <c r="G8" s="15">
        <f t="shared" ref="G8:G9" si="1">+C8-F8</f>
        <v>5000</v>
      </c>
      <c r="H8" s="49">
        <f t="shared" ref="H8:H9" si="2">+F8*D8</f>
        <v>0</v>
      </c>
      <c r="I8" s="49">
        <f t="shared" ref="I8:I9" si="3">+G8*D8</f>
        <v>870000</v>
      </c>
    </row>
    <row r="9" spans="2:9" x14ac:dyDescent="0.2">
      <c r="B9" s="47">
        <v>44819</v>
      </c>
      <c r="C9" s="48">
        <v>6000</v>
      </c>
      <c r="D9" s="39">
        <v>175</v>
      </c>
      <c r="E9" s="49">
        <f t="shared" si="0"/>
        <v>1050000</v>
      </c>
      <c r="F9" s="15">
        <f>+MIN(C9,$C$4-SUM($F$6:F8))</f>
        <v>0</v>
      </c>
      <c r="G9" s="15">
        <f t="shared" si="1"/>
        <v>6000</v>
      </c>
      <c r="H9" s="49">
        <f t="shared" si="2"/>
        <v>0</v>
      </c>
      <c r="I9" s="49">
        <f t="shared" si="3"/>
        <v>1050000</v>
      </c>
    </row>
    <row r="10" spans="2:9" x14ac:dyDescent="0.2">
      <c r="B10" s="47"/>
      <c r="C10" s="48"/>
      <c r="D10" s="39"/>
      <c r="E10" s="49">
        <f t="shared" ref="E10:E14" si="4">+C10*D10</f>
        <v>0</v>
      </c>
      <c r="F10" s="15">
        <f>+MIN(C10,$C$4-SUM($F$6:F9))</f>
        <v>0</v>
      </c>
      <c r="G10" s="15">
        <f t="shared" ref="G10:G14" si="5">+C10-F10</f>
        <v>0</v>
      </c>
      <c r="H10" s="49">
        <f t="shared" ref="H10:H14" si="6">+F10*D10</f>
        <v>0</v>
      </c>
      <c r="I10" s="49">
        <f t="shared" ref="I10:I14" si="7">+G10*D10</f>
        <v>0</v>
      </c>
    </row>
    <row r="11" spans="2:9" x14ac:dyDescent="0.2">
      <c r="B11" s="47"/>
      <c r="C11" s="48"/>
      <c r="D11" s="39"/>
      <c r="E11" s="49">
        <f t="shared" si="4"/>
        <v>0</v>
      </c>
      <c r="F11" s="15">
        <f>+MIN(C11,$C$4-SUM($F$6:F10))</f>
        <v>0</v>
      </c>
      <c r="G11" s="15">
        <f t="shared" si="5"/>
        <v>0</v>
      </c>
      <c r="H11" s="49">
        <f t="shared" si="6"/>
        <v>0</v>
      </c>
      <c r="I11" s="49">
        <f t="shared" si="7"/>
        <v>0</v>
      </c>
    </row>
    <row r="12" spans="2:9" x14ac:dyDescent="0.2">
      <c r="B12" s="47"/>
      <c r="C12" s="48"/>
      <c r="D12" s="39"/>
      <c r="E12" s="49">
        <f t="shared" si="4"/>
        <v>0</v>
      </c>
      <c r="F12" s="15">
        <f>+MIN(C12,$C$4-SUM($F$6:F11))</f>
        <v>0</v>
      </c>
      <c r="G12" s="15">
        <f t="shared" si="5"/>
        <v>0</v>
      </c>
      <c r="H12" s="49">
        <f t="shared" si="6"/>
        <v>0</v>
      </c>
      <c r="I12" s="49">
        <f t="shared" si="7"/>
        <v>0</v>
      </c>
    </row>
    <row r="13" spans="2:9" x14ac:dyDescent="0.2">
      <c r="B13" s="47"/>
      <c r="C13" s="48"/>
      <c r="D13" s="39"/>
      <c r="E13" s="49">
        <f t="shared" si="4"/>
        <v>0</v>
      </c>
      <c r="F13" s="15">
        <f>+MIN(C13,$C$4-SUM($F$6:F12))</f>
        <v>0</v>
      </c>
      <c r="G13" s="15">
        <f t="shared" si="5"/>
        <v>0</v>
      </c>
      <c r="H13" s="49">
        <f t="shared" si="6"/>
        <v>0</v>
      </c>
      <c r="I13" s="49">
        <f t="shared" si="7"/>
        <v>0</v>
      </c>
    </row>
    <row r="14" spans="2:9" x14ac:dyDescent="0.2">
      <c r="B14" s="47"/>
      <c r="C14" s="48"/>
      <c r="D14" s="39"/>
      <c r="E14" s="49">
        <f t="shared" si="4"/>
        <v>0</v>
      </c>
      <c r="F14" s="15">
        <f>+MIN(C14,$C$4-SUM($F$6:F13))</f>
        <v>0</v>
      </c>
      <c r="G14" s="15">
        <f t="shared" si="5"/>
        <v>0</v>
      </c>
      <c r="H14" s="49">
        <f t="shared" si="6"/>
        <v>0</v>
      </c>
      <c r="I14" s="49">
        <f t="shared" si="7"/>
        <v>0</v>
      </c>
    </row>
    <row r="15" spans="2:9" x14ac:dyDescent="0.2">
      <c r="B15" s="1" t="s">
        <v>398</v>
      </c>
      <c r="C15" s="15">
        <f>SUM(C7:C14)</f>
        <v>15500</v>
      </c>
      <c r="D15" s="24"/>
      <c r="E15" s="49">
        <f>SUM(E7:E14)</f>
        <v>2685000</v>
      </c>
      <c r="F15" s="15">
        <f>SUM(F7:F14)</f>
        <v>3200</v>
      </c>
      <c r="G15" s="15">
        <f t="shared" ref="G15:I15" si="8">SUM(G7:G14)</f>
        <v>12300</v>
      </c>
      <c r="H15" s="49">
        <f t="shared" si="8"/>
        <v>544000</v>
      </c>
      <c r="I15" s="49">
        <f t="shared" si="8"/>
        <v>2141000</v>
      </c>
    </row>
    <row r="17" spans="2:9" x14ac:dyDescent="0.2">
      <c r="I17" s="12"/>
    </row>
    <row r="20" spans="2:9" x14ac:dyDescent="0.2">
      <c r="B20" s="7" t="s">
        <v>399</v>
      </c>
    </row>
    <row r="21" spans="2:9" x14ac:dyDescent="0.2">
      <c r="B21" s="1" t="s">
        <v>400</v>
      </c>
      <c r="D21" s="49">
        <f>+E15</f>
        <v>2685000</v>
      </c>
    </row>
    <row r="22" spans="2:9" x14ac:dyDescent="0.2">
      <c r="B22" s="1" t="s">
        <v>401</v>
      </c>
      <c r="D22" s="15">
        <f>+C15</f>
        <v>15500</v>
      </c>
    </row>
    <row r="23" spans="2:9" x14ac:dyDescent="0.2">
      <c r="B23" s="1" t="s">
        <v>399</v>
      </c>
      <c r="D23" s="50">
        <f>+D21/D22</f>
        <v>173.2258064516129</v>
      </c>
    </row>
    <row r="24" spans="2:9" x14ac:dyDescent="0.2">
      <c r="B24" s="1" t="s">
        <v>402</v>
      </c>
      <c r="D24" s="15">
        <f>+C15-C4</f>
        <v>12300</v>
      </c>
    </row>
    <row r="25" spans="2:9" x14ac:dyDescent="0.2">
      <c r="B25" s="1" t="s">
        <v>399</v>
      </c>
      <c r="D25" s="49">
        <f>+D24*D23</f>
        <v>2130677.4193548388</v>
      </c>
    </row>
    <row r="27" spans="2:9" x14ac:dyDescent="0.2">
      <c r="B27" s="1" t="s">
        <v>93</v>
      </c>
      <c r="D27" s="15">
        <f>+I15/D24</f>
        <v>174.0650406504065</v>
      </c>
    </row>
    <row r="29" spans="2:9" x14ac:dyDescent="0.2">
      <c r="B29" s="1" t="s">
        <v>403</v>
      </c>
      <c r="D29" s="49">
        <f>+D27*D24</f>
        <v>2141000</v>
      </c>
      <c r="E29" s="1" t="s">
        <v>404</v>
      </c>
    </row>
    <row r="31" spans="2:9" x14ac:dyDescent="0.2">
      <c r="B31" s="1" t="s">
        <v>405</v>
      </c>
      <c r="E31" s="46">
        <f>+D29</f>
        <v>2141000</v>
      </c>
    </row>
    <row r="32" spans="2:9" x14ac:dyDescent="0.2">
      <c r="C32" s="1" t="s">
        <v>406</v>
      </c>
      <c r="F32" s="46">
        <f>+E31</f>
        <v>2141000</v>
      </c>
    </row>
    <row r="1048576" spans="4:4" x14ac:dyDescent="0.2">
      <c r="D1048576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D375-C2FD-4B8D-8062-1440A39F084D}">
  <dimension ref="A1:H95"/>
  <sheetViews>
    <sheetView topLeftCell="A73" zoomScale="160" zoomScaleNormal="160" workbookViewId="0">
      <selection activeCell="C87" sqref="C87"/>
    </sheetView>
  </sheetViews>
  <sheetFormatPr defaultRowHeight="12" x14ac:dyDescent="0.2"/>
  <cols>
    <col min="1" max="1" width="9.140625" style="1"/>
    <col min="2" max="2" width="24.85546875" style="1" bestFit="1" customWidth="1"/>
    <col min="3" max="3" width="9.85546875" style="1" bestFit="1" customWidth="1"/>
    <col min="4" max="16384" width="9.140625" style="1"/>
  </cols>
  <sheetData>
    <row r="1" spans="1:4" ht="15" x14ac:dyDescent="0.25">
      <c r="A1" s="2" t="s">
        <v>1</v>
      </c>
    </row>
    <row r="3" spans="1:4" x14ac:dyDescent="0.2">
      <c r="B3" s="1" t="s">
        <v>64</v>
      </c>
    </row>
    <row r="4" spans="1:4" x14ac:dyDescent="0.2">
      <c r="B4" s="1" t="s">
        <v>17</v>
      </c>
      <c r="C4" s="4">
        <v>44804</v>
      </c>
    </row>
    <row r="6" spans="1:4" x14ac:dyDescent="0.2">
      <c r="B6" s="1" t="s">
        <v>65</v>
      </c>
    </row>
    <row r="8" spans="1:4" x14ac:dyDescent="0.2">
      <c r="B8" s="1" t="s">
        <v>66</v>
      </c>
      <c r="C8" s="1">
        <v>4100</v>
      </c>
      <c r="D8" s="1" t="s">
        <v>67</v>
      </c>
    </row>
    <row r="10" spans="1:4" x14ac:dyDescent="0.2">
      <c r="B10" s="1" t="s">
        <v>68</v>
      </c>
    </row>
    <row r="12" spans="1:4" x14ac:dyDescent="0.2">
      <c r="B12" s="1" t="s">
        <v>69</v>
      </c>
      <c r="C12" s="6">
        <v>2400</v>
      </c>
      <c r="D12" s="1" t="s">
        <v>48</v>
      </c>
    </row>
    <row r="13" spans="1:4" x14ac:dyDescent="0.2">
      <c r="B13" s="1" t="s">
        <v>70</v>
      </c>
      <c r="C13" s="6">
        <v>6900</v>
      </c>
      <c r="D13" s="1" t="s">
        <v>48</v>
      </c>
    </row>
    <row r="14" spans="1:4" x14ac:dyDescent="0.2">
      <c r="B14" s="1" t="s">
        <v>76</v>
      </c>
      <c r="C14" s="6">
        <v>1350</v>
      </c>
      <c r="D14" s="1" t="s">
        <v>48</v>
      </c>
    </row>
    <row r="15" spans="1:4" x14ac:dyDescent="0.2">
      <c r="B15" s="1" t="s">
        <v>75</v>
      </c>
      <c r="C15" s="6">
        <v>330</v>
      </c>
      <c r="D15" s="1" t="s">
        <v>49</v>
      </c>
    </row>
    <row r="16" spans="1:4" x14ac:dyDescent="0.2">
      <c r="B16" s="10" t="s">
        <v>74</v>
      </c>
      <c r="C16" s="8">
        <v>280</v>
      </c>
      <c r="D16" s="10" t="s">
        <v>48</v>
      </c>
    </row>
    <row r="17" spans="2:5" x14ac:dyDescent="0.2">
      <c r="B17" s="10" t="s">
        <v>34</v>
      </c>
      <c r="C17" s="8">
        <v>425</v>
      </c>
      <c r="D17" s="10" t="s">
        <v>49</v>
      </c>
    </row>
    <row r="18" spans="2:5" x14ac:dyDescent="0.2">
      <c r="B18" s="1" t="s">
        <v>73</v>
      </c>
      <c r="C18" s="6">
        <v>390</v>
      </c>
      <c r="D18" s="1" t="s">
        <v>49</v>
      </c>
      <c r="E18" s="1" t="s">
        <v>102</v>
      </c>
    </row>
    <row r="19" spans="2:5" x14ac:dyDescent="0.2">
      <c r="B19" s="1" t="s">
        <v>72</v>
      </c>
      <c r="C19" s="6">
        <v>528</v>
      </c>
      <c r="D19" s="1" t="s">
        <v>49</v>
      </c>
    </row>
    <row r="20" spans="2:5" x14ac:dyDescent="0.2">
      <c r="B20" s="10" t="s">
        <v>71</v>
      </c>
      <c r="C20" s="8">
        <v>168</v>
      </c>
      <c r="D20" s="10" t="s">
        <v>48</v>
      </c>
    </row>
    <row r="21" spans="2:5" x14ac:dyDescent="0.2">
      <c r="C21" s="6">
        <f>SUM(C12:C20)</f>
        <v>12771</v>
      </c>
    </row>
    <row r="22" spans="2:5" x14ac:dyDescent="0.2">
      <c r="C22" s="6"/>
    </row>
    <row r="23" spans="2:5" x14ac:dyDescent="0.2">
      <c r="B23" s="1" t="s">
        <v>44</v>
      </c>
      <c r="C23" s="6">
        <v>32</v>
      </c>
      <c r="D23" s="1" t="s">
        <v>104</v>
      </c>
    </row>
    <row r="24" spans="2:5" x14ac:dyDescent="0.2">
      <c r="B24" s="1" t="s">
        <v>77</v>
      </c>
      <c r="C24" s="6">
        <v>40</v>
      </c>
      <c r="D24" s="1" t="s">
        <v>104</v>
      </c>
    </row>
    <row r="25" spans="2:5" x14ac:dyDescent="0.2">
      <c r="C25" s="6"/>
    </row>
    <row r="26" spans="2:5" x14ac:dyDescent="0.2">
      <c r="B26" s="1" t="s">
        <v>78</v>
      </c>
      <c r="C26" s="6">
        <v>412</v>
      </c>
      <c r="D26" s="1" t="s">
        <v>79</v>
      </c>
    </row>
    <row r="27" spans="2:5" x14ac:dyDescent="0.2">
      <c r="B27" s="1" t="s">
        <v>80</v>
      </c>
      <c r="C27" s="6">
        <v>390</v>
      </c>
      <c r="D27" s="1" t="s">
        <v>81</v>
      </c>
    </row>
    <row r="28" spans="2:5" x14ac:dyDescent="0.2">
      <c r="B28" s="1" t="s">
        <v>82</v>
      </c>
      <c r="C28" s="6">
        <v>30.5</v>
      </c>
      <c r="D28" s="1" t="s">
        <v>67</v>
      </c>
    </row>
    <row r="30" spans="2:5" x14ac:dyDescent="0.2">
      <c r="B30" s="1" t="s">
        <v>50</v>
      </c>
      <c r="C30" s="6">
        <f>+C12+C13+C14</f>
        <v>10650</v>
      </c>
    </row>
    <row r="31" spans="2:5" x14ac:dyDescent="0.2">
      <c r="B31" s="1" t="s">
        <v>51</v>
      </c>
      <c r="C31" s="6">
        <f>+C15+C19+C18</f>
        <v>1248</v>
      </c>
    </row>
    <row r="32" spans="2:5" ht="12.75" thickBot="1" x14ac:dyDescent="0.25">
      <c r="B32" s="1" t="s">
        <v>103</v>
      </c>
      <c r="C32" s="9">
        <f>SUM(C30:C31)</f>
        <v>11898</v>
      </c>
    </row>
    <row r="33" spans="2:4" ht="12.75" thickTop="1" x14ac:dyDescent="0.2"/>
    <row r="34" spans="2:4" x14ac:dyDescent="0.2">
      <c r="C34" s="6">
        <f>+C31</f>
        <v>1248</v>
      </c>
    </row>
    <row r="35" spans="2:4" x14ac:dyDescent="0.2">
      <c r="B35" s="1" t="s">
        <v>55</v>
      </c>
      <c r="C35" s="6">
        <f>+C24</f>
        <v>40</v>
      </c>
      <c r="D35" s="1" t="s">
        <v>56</v>
      </c>
    </row>
    <row r="36" spans="2:4" x14ac:dyDescent="0.2">
      <c r="B36" s="1" t="s">
        <v>54</v>
      </c>
      <c r="C36" s="12">
        <f>+C34/C35</f>
        <v>31.2</v>
      </c>
    </row>
    <row r="37" spans="2:4" x14ac:dyDescent="0.2">
      <c r="B37" s="1" t="s">
        <v>52</v>
      </c>
      <c r="C37" s="11">
        <f>+C30</f>
        <v>10650</v>
      </c>
    </row>
    <row r="38" spans="2:4" x14ac:dyDescent="0.2">
      <c r="B38" s="1" t="s">
        <v>53</v>
      </c>
      <c r="C38" s="6">
        <f>+C36*C23</f>
        <v>998.4</v>
      </c>
    </row>
    <row r="39" spans="2:4" ht="12.75" thickBot="1" x14ac:dyDescent="0.25">
      <c r="B39" s="1" t="s">
        <v>27</v>
      </c>
      <c r="C39" s="9">
        <f>SUM(C37:C38)</f>
        <v>11648.4</v>
      </c>
    </row>
    <row r="40" spans="2:4" ht="12.75" thickTop="1" x14ac:dyDescent="0.2"/>
    <row r="41" spans="2:4" x14ac:dyDescent="0.2">
      <c r="B41" s="1" t="s">
        <v>105</v>
      </c>
      <c r="C41" s="7">
        <f>+C39/C23</f>
        <v>364.01249999999999</v>
      </c>
    </row>
    <row r="43" spans="2:4" x14ac:dyDescent="0.2">
      <c r="B43" s="1" t="s">
        <v>86</v>
      </c>
      <c r="C43" s="6">
        <f>+C27</f>
        <v>390</v>
      </c>
    </row>
    <row r="44" spans="2:4" x14ac:dyDescent="0.2">
      <c r="C44" s="6">
        <f>+C16+C20</f>
        <v>448</v>
      </c>
    </row>
    <row r="45" spans="2:4" x14ac:dyDescent="0.2">
      <c r="C45" s="6">
        <f>+C28</f>
        <v>30.5</v>
      </c>
    </row>
    <row r="46" spans="2:4" x14ac:dyDescent="0.2">
      <c r="B46" s="1" t="s">
        <v>107</v>
      </c>
      <c r="C46" s="14">
        <f>+(C43-(C44/C45))</f>
        <v>375.31147540983608</v>
      </c>
    </row>
    <row r="47" spans="2:4" x14ac:dyDescent="0.2">
      <c r="C47" s="6"/>
    </row>
    <row r="48" spans="2:4" x14ac:dyDescent="0.2">
      <c r="B48" s="1" t="s">
        <v>106</v>
      </c>
      <c r="C48" s="6">
        <f>+C8*C41</f>
        <v>1492451.25</v>
      </c>
    </row>
    <row r="51" spans="2:3" x14ac:dyDescent="0.2">
      <c r="B51" s="1" t="s">
        <v>57</v>
      </c>
    </row>
    <row r="52" spans="2:3" x14ac:dyDescent="0.2">
      <c r="B52" s="1" t="s">
        <v>58</v>
      </c>
    </row>
    <row r="53" spans="2:3" x14ac:dyDescent="0.2">
      <c r="C53" s="5">
        <f>+C23/C24</f>
        <v>0.8</v>
      </c>
    </row>
    <row r="54" spans="2:3" x14ac:dyDescent="0.2">
      <c r="B54" s="1" t="s">
        <v>59</v>
      </c>
      <c r="C54" s="6">
        <f>+C30</f>
        <v>10650</v>
      </c>
    </row>
    <row r="55" spans="2:3" x14ac:dyDescent="0.2">
      <c r="B55" s="1" t="s">
        <v>60</v>
      </c>
      <c r="C55" s="6">
        <f>+C31</f>
        <v>1248</v>
      </c>
    </row>
    <row r="56" spans="2:3" ht="12.75" thickBot="1" x14ac:dyDescent="0.25">
      <c r="C56" s="9">
        <f>SUM(C54:C55)</f>
        <v>11898</v>
      </c>
    </row>
    <row r="57" spans="2:3" ht="12.75" thickTop="1" x14ac:dyDescent="0.2"/>
    <row r="58" spans="2:3" x14ac:dyDescent="0.2">
      <c r="B58" s="1" t="s">
        <v>27</v>
      </c>
      <c r="C58" s="6">
        <f>+C56</f>
        <v>11898</v>
      </c>
    </row>
    <row r="59" spans="2:3" x14ac:dyDescent="0.2">
      <c r="B59" s="1" t="s">
        <v>83</v>
      </c>
      <c r="C59" s="6">
        <f>+C23</f>
        <v>32</v>
      </c>
    </row>
    <row r="60" spans="2:3" ht="12.75" thickBot="1" x14ac:dyDescent="0.25">
      <c r="B60" s="1" t="s">
        <v>89</v>
      </c>
      <c r="C60" s="13">
        <f>+C58/C59</f>
        <v>371.8125</v>
      </c>
    </row>
    <row r="61" spans="2:3" ht="12.75" thickTop="1" x14ac:dyDescent="0.2"/>
    <row r="63" spans="2:3" x14ac:dyDescent="0.2">
      <c r="B63" s="1" t="s">
        <v>84</v>
      </c>
    </row>
    <row r="64" spans="2:3" x14ac:dyDescent="0.2">
      <c r="B64" s="1" t="s">
        <v>85</v>
      </c>
    </row>
    <row r="67" spans="2:4" x14ac:dyDescent="0.2">
      <c r="B67" s="16" t="s">
        <v>87</v>
      </c>
      <c r="C67" s="17"/>
      <c r="D67" s="17"/>
    </row>
    <row r="68" spans="2:4" x14ac:dyDescent="0.2">
      <c r="B68" s="18">
        <v>44804</v>
      </c>
      <c r="C68" s="17"/>
      <c r="D68" s="17"/>
    </row>
    <row r="69" spans="2:4" x14ac:dyDescent="0.2">
      <c r="B69" s="17" t="s">
        <v>87</v>
      </c>
      <c r="C69" s="17">
        <v>1400</v>
      </c>
      <c r="D69" s="17" t="s">
        <v>67</v>
      </c>
    </row>
    <row r="70" spans="2:4" x14ac:dyDescent="0.2">
      <c r="B70" s="17" t="s">
        <v>88</v>
      </c>
      <c r="C70" s="19">
        <v>0.7</v>
      </c>
      <c r="D70" s="17"/>
    </row>
    <row r="71" spans="2:4" ht="12.75" thickBot="1" x14ac:dyDescent="0.25">
      <c r="B71" s="17" t="s">
        <v>90</v>
      </c>
      <c r="C71" s="20">
        <f>+C70*C41</f>
        <v>254.80874999999997</v>
      </c>
      <c r="D71" s="17"/>
    </row>
    <row r="72" spans="2:4" ht="12.75" thickTop="1" x14ac:dyDescent="0.2">
      <c r="B72" s="17"/>
      <c r="C72" s="21"/>
      <c r="D72" s="17"/>
    </row>
    <row r="73" spans="2:4" x14ac:dyDescent="0.2">
      <c r="B73" s="17" t="s">
        <v>86</v>
      </c>
      <c r="C73" s="21">
        <f>+C46-0.3*C41</f>
        <v>266.10772540983606</v>
      </c>
      <c r="D73" s="17"/>
    </row>
    <row r="74" spans="2:4" x14ac:dyDescent="0.2">
      <c r="B74" s="17"/>
      <c r="C74" s="21"/>
      <c r="D74" s="17"/>
    </row>
    <row r="75" spans="2:4" x14ac:dyDescent="0.2">
      <c r="B75" s="17" t="s">
        <v>108</v>
      </c>
      <c r="C75" s="21">
        <f>+C69*C71</f>
        <v>356732.24999999994</v>
      </c>
      <c r="D75" s="17"/>
    </row>
    <row r="77" spans="2:4" x14ac:dyDescent="0.2">
      <c r="B77" s="7" t="s">
        <v>91</v>
      </c>
    </row>
    <row r="78" spans="2:4" x14ac:dyDescent="0.2">
      <c r="B78" s="1" t="s">
        <v>91</v>
      </c>
      <c r="C78" s="1">
        <v>1450</v>
      </c>
      <c r="D78" s="1" t="s">
        <v>92</v>
      </c>
    </row>
    <row r="81" spans="2:8" x14ac:dyDescent="0.2">
      <c r="B81" s="1" t="s">
        <v>94</v>
      </c>
      <c r="C81" s="1" t="s">
        <v>96</v>
      </c>
      <c r="D81" s="1" t="s">
        <v>95</v>
      </c>
    </row>
    <row r="82" spans="2:8" x14ac:dyDescent="0.2">
      <c r="B82" s="4">
        <v>44727</v>
      </c>
      <c r="C82" s="6">
        <v>1100</v>
      </c>
      <c r="D82" s="6">
        <v>310</v>
      </c>
      <c r="E82" s="6">
        <f>+C82*D82</f>
        <v>341000</v>
      </c>
      <c r="F82" s="6">
        <f>+C82+C83+C85</f>
        <v>350</v>
      </c>
      <c r="G82" s="6">
        <f>+D82</f>
        <v>310</v>
      </c>
      <c r="H82" s="6">
        <f>+F82*G82</f>
        <v>108500</v>
      </c>
    </row>
    <row r="83" spans="2:8" x14ac:dyDescent="0.2">
      <c r="B83" s="4">
        <v>44773</v>
      </c>
      <c r="C83" s="6">
        <v>-400</v>
      </c>
      <c r="D83" s="6">
        <f>+D82</f>
        <v>310</v>
      </c>
      <c r="E83" s="6">
        <f t="shared" ref="E83:E86" si="0">+C83*D83</f>
        <v>-124000</v>
      </c>
      <c r="F83" s="6"/>
      <c r="G83" s="6"/>
      <c r="H83" s="6"/>
    </row>
    <row r="84" spans="2:8" x14ac:dyDescent="0.2">
      <c r="B84" s="4">
        <v>44779</v>
      </c>
      <c r="C84" s="6">
        <v>600</v>
      </c>
      <c r="D84" s="6">
        <v>300</v>
      </c>
      <c r="E84" s="6">
        <f t="shared" si="0"/>
        <v>180000</v>
      </c>
      <c r="F84" s="6">
        <f>+C84</f>
        <v>600</v>
      </c>
      <c r="G84" s="6">
        <f t="shared" ref="G84:G86" si="1">+D84</f>
        <v>300</v>
      </c>
      <c r="H84" s="6">
        <f t="shared" ref="H84:H86" si="2">+F84*G84</f>
        <v>180000</v>
      </c>
    </row>
    <row r="85" spans="2:8" x14ac:dyDescent="0.2">
      <c r="B85" s="4">
        <v>44804</v>
      </c>
      <c r="C85" s="6">
        <v>-350</v>
      </c>
      <c r="D85" s="6">
        <f>+D83</f>
        <v>310</v>
      </c>
      <c r="E85" s="6">
        <f t="shared" si="0"/>
        <v>-108500</v>
      </c>
      <c r="F85" s="6"/>
      <c r="G85" s="6"/>
      <c r="H85" s="6"/>
    </row>
    <row r="86" spans="2:8" x14ac:dyDescent="0.2">
      <c r="B86" s="4">
        <v>44804</v>
      </c>
      <c r="C86" s="6">
        <v>500</v>
      </c>
      <c r="D86" s="6">
        <v>295</v>
      </c>
      <c r="E86" s="6">
        <f t="shared" si="0"/>
        <v>147500</v>
      </c>
      <c r="F86" s="6">
        <f>+C86</f>
        <v>500</v>
      </c>
      <c r="G86" s="6">
        <f t="shared" si="1"/>
        <v>295</v>
      </c>
      <c r="H86" s="6">
        <f t="shared" si="2"/>
        <v>147500</v>
      </c>
    </row>
    <row r="87" spans="2:8" x14ac:dyDescent="0.2">
      <c r="C87" s="6"/>
      <c r="D87" s="6"/>
      <c r="E87" s="6"/>
      <c r="F87" s="6">
        <f>SUM(F82:F86)</f>
        <v>1450</v>
      </c>
      <c r="G87" s="6"/>
      <c r="H87" s="15">
        <f>SUM(H82:H86)</f>
        <v>436000</v>
      </c>
    </row>
    <row r="88" spans="2:8" ht="12.75" thickBot="1" x14ac:dyDescent="0.25">
      <c r="B88" s="1" t="s">
        <v>97</v>
      </c>
      <c r="D88" s="1">
        <v>275</v>
      </c>
      <c r="G88" s="1" t="s">
        <v>98</v>
      </c>
      <c r="H88" s="9">
        <f>+H87/F87</f>
        <v>300.68965517241378</v>
      </c>
    </row>
    <row r="89" spans="2:8" ht="12.75" thickTop="1" x14ac:dyDescent="0.2"/>
    <row r="90" spans="2:8" x14ac:dyDescent="0.2">
      <c r="B90" s="1" t="s">
        <v>98</v>
      </c>
      <c r="C90" s="6">
        <f>+H88</f>
        <v>300.68965517241378</v>
      </c>
    </row>
    <row r="91" spans="2:8" x14ac:dyDescent="0.2">
      <c r="B91" s="1" t="s">
        <v>86</v>
      </c>
      <c r="C91" s="1">
        <f>+D88</f>
        <v>275</v>
      </c>
    </row>
    <row r="92" spans="2:8" x14ac:dyDescent="0.2">
      <c r="B92" s="1" t="s">
        <v>99</v>
      </c>
      <c r="C92" s="6">
        <f>+C90-C91</f>
        <v>25.689655172413779</v>
      </c>
    </row>
    <row r="93" spans="2:8" x14ac:dyDescent="0.2">
      <c r="B93" s="1" t="s">
        <v>100</v>
      </c>
      <c r="C93" s="6">
        <f>+F87</f>
        <v>1450</v>
      </c>
    </row>
    <row r="94" spans="2:8" ht="12.75" thickBot="1" x14ac:dyDescent="0.25">
      <c r="B94" s="1" t="s">
        <v>101</v>
      </c>
      <c r="C94" s="13">
        <f>+C92*C93</f>
        <v>37249.999999999978</v>
      </c>
    </row>
    <row r="95" spans="2:8" ht="12.75" thickTop="1" x14ac:dyDescent="0.2"/>
  </sheetData>
  <hyperlinks>
    <hyperlink ref="A1" location="Main!A1" display="Main" xr:uid="{BD6CE0CF-7DF1-4303-BAE5-C84BB0DD9457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300D-97E0-4900-8BAE-64B3D18BD483}">
  <dimension ref="A1:L81"/>
  <sheetViews>
    <sheetView topLeftCell="A2" zoomScale="160" zoomScaleNormal="160" workbookViewId="0">
      <selection activeCell="H23" sqref="H23"/>
    </sheetView>
  </sheetViews>
  <sheetFormatPr defaultRowHeight="12" x14ac:dyDescent="0.2"/>
  <cols>
    <col min="1" max="2" width="9.140625" style="1"/>
    <col min="3" max="3" width="9.85546875" style="1" bestFit="1" customWidth="1"/>
    <col min="4" max="7" width="9.140625" style="1"/>
    <col min="8" max="8" width="9.85546875" style="1" bestFit="1" customWidth="1"/>
    <col min="9" max="16384" width="9.140625" style="1"/>
  </cols>
  <sheetData>
    <row r="1" spans="1:9" ht="15" x14ac:dyDescent="0.25">
      <c r="A1" s="2" t="s">
        <v>1</v>
      </c>
    </row>
    <row r="3" spans="1:9" x14ac:dyDescent="0.2">
      <c r="B3" s="1" t="s">
        <v>165</v>
      </c>
      <c r="C3" s="24" t="s">
        <v>187</v>
      </c>
    </row>
    <row r="4" spans="1:9" x14ac:dyDescent="0.2">
      <c r="B4" s="1" t="s">
        <v>17</v>
      </c>
      <c r="C4" s="4">
        <v>43190</v>
      </c>
      <c r="G4" s="23" t="s">
        <v>188</v>
      </c>
      <c r="H4" s="23"/>
      <c r="I4" s="23"/>
    </row>
    <row r="5" spans="1:9" x14ac:dyDescent="0.2">
      <c r="B5" s="1" t="s">
        <v>166</v>
      </c>
      <c r="G5" s="7" t="s">
        <v>91</v>
      </c>
    </row>
    <row r="6" spans="1:9" x14ac:dyDescent="0.2">
      <c r="G6" s="1" t="s">
        <v>189</v>
      </c>
      <c r="H6" s="6">
        <v>130</v>
      </c>
    </row>
    <row r="7" spans="1:9" x14ac:dyDescent="0.2">
      <c r="B7" s="1" t="s">
        <v>93</v>
      </c>
      <c r="G7" s="1" t="s">
        <v>190</v>
      </c>
      <c r="H7" s="6">
        <v>20</v>
      </c>
    </row>
    <row r="8" spans="1:9" x14ac:dyDescent="0.2">
      <c r="B8" s="1" t="s">
        <v>167</v>
      </c>
      <c r="C8" s="1">
        <v>4</v>
      </c>
      <c r="D8" s="1" t="s">
        <v>168</v>
      </c>
      <c r="G8" s="1" t="s">
        <v>191</v>
      </c>
      <c r="H8" s="6">
        <v>4</v>
      </c>
    </row>
    <row r="9" spans="1:9" x14ac:dyDescent="0.2">
      <c r="B9" s="1" t="s">
        <v>169</v>
      </c>
      <c r="G9" s="1" t="s">
        <v>172</v>
      </c>
      <c r="H9" s="6">
        <v>-8</v>
      </c>
    </row>
    <row r="10" spans="1:9" ht="12.75" thickBot="1" x14ac:dyDescent="0.25">
      <c r="G10" s="1" t="s">
        <v>192</v>
      </c>
      <c r="H10" s="9">
        <f>SUM(H6:H9)</f>
        <v>146</v>
      </c>
    </row>
    <row r="11" spans="1:9" ht="12.75" thickTop="1" x14ac:dyDescent="0.2">
      <c r="B11" s="1" t="s">
        <v>174</v>
      </c>
      <c r="C11" s="1">
        <v>0</v>
      </c>
      <c r="H11" s="6"/>
    </row>
    <row r="12" spans="1:9" x14ac:dyDescent="0.2">
      <c r="B12" s="1" t="s">
        <v>175</v>
      </c>
      <c r="C12" s="6">
        <f>SUM(H29:H80)</f>
        <v>6630000</v>
      </c>
      <c r="G12" s="1" t="s">
        <v>106</v>
      </c>
      <c r="H12" s="6">
        <v>4000</v>
      </c>
    </row>
    <row r="13" spans="1:9" ht="12.75" thickBot="1" x14ac:dyDescent="0.25">
      <c r="B13" s="1" t="s">
        <v>177</v>
      </c>
      <c r="C13" s="6">
        <f>+C12-C14</f>
        <v>6046000</v>
      </c>
      <c r="H13" s="9">
        <f>+H10*H12</f>
        <v>584000</v>
      </c>
    </row>
    <row r="14" spans="1:9" ht="13.5" thickTop="1" thickBot="1" x14ac:dyDescent="0.25">
      <c r="B14" s="1" t="s">
        <v>176</v>
      </c>
      <c r="C14" s="9">
        <f>+SUM(H77:H80)</f>
        <v>584000</v>
      </c>
      <c r="H14" s="6"/>
    </row>
    <row r="15" spans="1:9" ht="12.75" thickTop="1" x14ac:dyDescent="0.2">
      <c r="G15" s="7" t="s">
        <v>66</v>
      </c>
      <c r="H15" s="6"/>
    </row>
    <row r="16" spans="1:9" x14ac:dyDescent="0.2">
      <c r="G16" s="1" t="s">
        <v>91</v>
      </c>
      <c r="H16" s="6">
        <f>+H10</f>
        <v>146</v>
      </c>
    </row>
    <row r="17" spans="2:12" x14ac:dyDescent="0.2">
      <c r="B17" s="1" t="s">
        <v>178</v>
      </c>
      <c r="G17" s="1" t="s">
        <v>193</v>
      </c>
      <c r="H17" s="6">
        <v>30</v>
      </c>
    </row>
    <row r="18" spans="2:12" x14ac:dyDescent="0.2">
      <c r="B18" s="1" t="s">
        <v>179</v>
      </c>
      <c r="G18" s="1" t="s">
        <v>53</v>
      </c>
      <c r="H18" s="6">
        <v>27</v>
      </c>
    </row>
    <row r="19" spans="2:12" x14ac:dyDescent="0.2">
      <c r="B19" s="1" t="s">
        <v>180</v>
      </c>
      <c r="C19" s="1">
        <v>30</v>
      </c>
      <c r="D19" s="1" t="s">
        <v>181</v>
      </c>
      <c r="G19" s="1" t="s">
        <v>194</v>
      </c>
      <c r="H19" s="6">
        <f>SUM(H16:H18)</f>
        <v>203</v>
      </c>
    </row>
    <row r="20" spans="2:12" x14ac:dyDescent="0.2">
      <c r="B20" s="1" t="s">
        <v>182</v>
      </c>
      <c r="C20" s="1">
        <v>27</v>
      </c>
      <c r="D20" s="1" t="s">
        <v>181</v>
      </c>
      <c r="G20" s="1" t="s">
        <v>86</v>
      </c>
      <c r="H20" s="6">
        <f>+C24</f>
        <v>282</v>
      </c>
    </row>
    <row r="21" spans="2:12" x14ac:dyDescent="0.2">
      <c r="B21" s="1" t="s">
        <v>183</v>
      </c>
      <c r="C21" s="1">
        <v>1500</v>
      </c>
      <c r="D21" s="1" t="s">
        <v>92</v>
      </c>
      <c r="H21" s="6"/>
    </row>
    <row r="22" spans="2:12" x14ac:dyDescent="0.2">
      <c r="B22" s="1" t="s">
        <v>184</v>
      </c>
      <c r="C22" s="1">
        <v>300</v>
      </c>
      <c r="D22" s="1" t="s">
        <v>185</v>
      </c>
      <c r="G22" s="1" t="s">
        <v>21</v>
      </c>
      <c r="H22" s="6">
        <v>1500</v>
      </c>
    </row>
    <row r="23" spans="2:12" ht="12.75" thickBot="1" x14ac:dyDescent="0.25">
      <c r="B23" s="1" t="s">
        <v>74</v>
      </c>
      <c r="C23" s="1">
        <v>-18</v>
      </c>
      <c r="D23" s="1" t="s">
        <v>185</v>
      </c>
      <c r="H23" s="9">
        <f>+H19*H22</f>
        <v>304500</v>
      </c>
    </row>
    <row r="24" spans="2:12" ht="12.75" thickTop="1" x14ac:dyDescent="0.2">
      <c r="B24" s="1" t="s">
        <v>86</v>
      </c>
      <c r="C24" s="1">
        <f>SUM(C22:C23)</f>
        <v>282</v>
      </c>
      <c r="D24" s="1" t="s">
        <v>185</v>
      </c>
    </row>
    <row r="25" spans="2:12" ht="12.75" thickBot="1" x14ac:dyDescent="0.25">
      <c r="B25" s="1" t="s">
        <v>183</v>
      </c>
      <c r="C25" s="9">
        <f>+K80/D80*C21</f>
        <v>304500</v>
      </c>
    </row>
    <row r="26" spans="2:12" ht="12.75" thickTop="1" x14ac:dyDescent="0.2"/>
    <row r="28" spans="2:12" x14ac:dyDescent="0.2">
      <c r="C28" s="1" t="s">
        <v>12</v>
      </c>
      <c r="D28" s="1" t="s">
        <v>92</v>
      </c>
      <c r="E28" s="1" t="s">
        <v>173</v>
      </c>
      <c r="F28" s="1" t="s">
        <v>170</v>
      </c>
      <c r="G28" s="1" t="s">
        <v>171</v>
      </c>
      <c r="H28" s="1" t="s">
        <v>27</v>
      </c>
      <c r="I28" s="1" t="s">
        <v>11</v>
      </c>
      <c r="J28" s="1" t="s">
        <v>53</v>
      </c>
      <c r="K28" s="1" t="s">
        <v>186</v>
      </c>
      <c r="L28" s="1" t="s">
        <v>86</v>
      </c>
    </row>
    <row r="29" spans="2:12" x14ac:dyDescent="0.2">
      <c r="B29" s="1" cm="1">
        <f t="array" ref="B29:B80">+_xlfn.SEQUENCE(52)</f>
        <v>1</v>
      </c>
      <c r="C29" s="6">
        <v>100</v>
      </c>
      <c r="D29" s="6">
        <v>1000</v>
      </c>
      <c r="E29" s="6">
        <f>+C29*D29</f>
        <v>100000</v>
      </c>
      <c r="F29" s="6">
        <f>+D29*20</f>
        <v>20000</v>
      </c>
      <c r="G29" s="6">
        <f>+D29*4</f>
        <v>4000</v>
      </c>
      <c r="H29" s="6">
        <f>SUM(E29:G29)</f>
        <v>124000</v>
      </c>
      <c r="I29" s="6">
        <f>+$C$19*D29</f>
        <v>30000</v>
      </c>
      <c r="J29" s="1">
        <f>+$C$20*D29</f>
        <v>27000</v>
      </c>
      <c r="K29" s="6">
        <f>SUM(H29:J29)</f>
        <v>181000</v>
      </c>
      <c r="L29" s="1">
        <f>+$C$24*D29</f>
        <v>282000</v>
      </c>
    </row>
    <row r="30" spans="2:12" x14ac:dyDescent="0.2">
      <c r="B30" s="1">
        <v>2</v>
      </c>
      <c r="C30" s="6">
        <v>100</v>
      </c>
      <c r="D30" s="6">
        <v>1000</v>
      </c>
      <c r="E30" s="6">
        <f t="shared" ref="E30:E80" si="0">+C30*D30</f>
        <v>100000</v>
      </c>
      <c r="F30" s="6">
        <f t="shared" ref="F30:F80" si="1">+D30*20</f>
        <v>20000</v>
      </c>
      <c r="G30" s="6">
        <f t="shared" ref="G30:G80" si="2">+D30*4</f>
        <v>4000</v>
      </c>
      <c r="H30" s="6">
        <f t="shared" ref="H30:H80" si="3">SUM(E30:G30)</f>
        <v>124000</v>
      </c>
      <c r="I30" s="6">
        <f t="shared" ref="I30:I80" si="4">+$C$19*D30</f>
        <v>30000</v>
      </c>
      <c r="J30" s="1">
        <f t="shared" ref="J30:J80" si="5">+$C$20*D30</f>
        <v>27000</v>
      </c>
      <c r="K30" s="6">
        <f t="shared" ref="K30:K80" si="6">SUM(H30:J30)</f>
        <v>181000</v>
      </c>
      <c r="L30" s="1">
        <f t="shared" ref="L30:L80" si="7">+$C$24*D30</f>
        <v>282000</v>
      </c>
    </row>
    <row r="31" spans="2:12" x14ac:dyDescent="0.2">
      <c r="B31" s="1">
        <v>3</v>
      </c>
      <c r="C31" s="6">
        <v>100</v>
      </c>
      <c r="D31" s="6">
        <v>1000</v>
      </c>
      <c r="E31" s="6">
        <f t="shared" si="0"/>
        <v>100000</v>
      </c>
      <c r="F31" s="6">
        <f t="shared" si="1"/>
        <v>20000</v>
      </c>
      <c r="G31" s="6">
        <f t="shared" si="2"/>
        <v>4000</v>
      </c>
      <c r="H31" s="6">
        <f t="shared" si="3"/>
        <v>124000</v>
      </c>
      <c r="I31" s="6">
        <f t="shared" si="4"/>
        <v>30000</v>
      </c>
      <c r="J31" s="1">
        <f t="shared" si="5"/>
        <v>27000</v>
      </c>
      <c r="K31" s="6">
        <f t="shared" si="6"/>
        <v>181000</v>
      </c>
      <c r="L31" s="1">
        <f t="shared" si="7"/>
        <v>282000</v>
      </c>
    </row>
    <row r="32" spans="2:12" x14ac:dyDescent="0.2">
      <c r="B32" s="1">
        <v>4</v>
      </c>
      <c r="C32" s="6">
        <v>100</v>
      </c>
      <c r="D32" s="6">
        <v>1000</v>
      </c>
      <c r="E32" s="6">
        <f t="shared" si="0"/>
        <v>100000</v>
      </c>
      <c r="F32" s="6">
        <f t="shared" si="1"/>
        <v>20000</v>
      </c>
      <c r="G32" s="6">
        <f t="shared" si="2"/>
        <v>4000</v>
      </c>
      <c r="H32" s="6">
        <f t="shared" si="3"/>
        <v>124000</v>
      </c>
      <c r="I32" s="6">
        <f t="shared" si="4"/>
        <v>30000</v>
      </c>
      <c r="J32" s="1">
        <f t="shared" si="5"/>
        <v>27000</v>
      </c>
      <c r="K32" s="6">
        <f t="shared" si="6"/>
        <v>181000</v>
      </c>
      <c r="L32" s="1">
        <f t="shared" si="7"/>
        <v>282000</v>
      </c>
    </row>
    <row r="33" spans="2:12" x14ac:dyDescent="0.2">
      <c r="B33" s="1">
        <v>5</v>
      </c>
      <c r="C33" s="6">
        <v>100</v>
      </c>
      <c r="D33" s="6">
        <v>1000</v>
      </c>
      <c r="E33" s="6">
        <f t="shared" si="0"/>
        <v>100000</v>
      </c>
      <c r="F33" s="6">
        <f t="shared" si="1"/>
        <v>20000</v>
      </c>
      <c r="G33" s="6">
        <f t="shared" si="2"/>
        <v>4000</v>
      </c>
      <c r="H33" s="6">
        <f t="shared" si="3"/>
        <v>124000</v>
      </c>
      <c r="I33" s="6">
        <f t="shared" si="4"/>
        <v>30000</v>
      </c>
      <c r="J33" s="1">
        <f t="shared" si="5"/>
        <v>27000</v>
      </c>
      <c r="K33" s="6">
        <f t="shared" si="6"/>
        <v>181000</v>
      </c>
      <c r="L33" s="1">
        <f t="shared" si="7"/>
        <v>282000</v>
      </c>
    </row>
    <row r="34" spans="2:12" x14ac:dyDescent="0.2">
      <c r="B34" s="1">
        <v>6</v>
      </c>
      <c r="C34" s="6">
        <v>100</v>
      </c>
      <c r="D34" s="6">
        <v>1000</v>
      </c>
      <c r="E34" s="6">
        <f t="shared" si="0"/>
        <v>100000</v>
      </c>
      <c r="F34" s="6">
        <f t="shared" si="1"/>
        <v>20000</v>
      </c>
      <c r="G34" s="6">
        <f t="shared" si="2"/>
        <v>4000</v>
      </c>
      <c r="H34" s="6">
        <f t="shared" si="3"/>
        <v>124000</v>
      </c>
      <c r="I34" s="6">
        <f t="shared" si="4"/>
        <v>30000</v>
      </c>
      <c r="J34" s="1">
        <f t="shared" si="5"/>
        <v>27000</v>
      </c>
      <c r="K34" s="6">
        <f t="shared" si="6"/>
        <v>181000</v>
      </c>
      <c r="L34" s="1">
        <f t="shared" si="7"/>
        <v>282000</v>
      </c>
    </row>
    <row r="35" spans="2:12" x14ac:dyDescent="0.2">
      <c r="B35" s="1">
        <v>7</v>
      </c>
      <c r="C35" s="6">
        <v>100</v>
      </c>
      <c r="D35" s="6">
        <v>1000</v>
      </c>
      <c r="E35" s="6">
        <f t="shared" si="0"/>
        <v>100000</v>
      </c>
      <c r="F35" s="6">
        <f t="shared" si="1"/>
        <v>20000</v>
      </c>
      <c r="G35" s="6">
        <f t="shared" si="2"/>
        <v>4000</v>
      </c>
      <c r="H35" s="6">
        <f t="shared" si="3"/>
        <v>124000</v>
      </c>
      <c r="I35" s="6">
        <f t="shared" si="4"/>
        <v>30000</v>
      </c>
      <c r="J35" s="1">
        <f t="shared" si="5"/>
        <v>27000</v>
      </c>
      <c r="K35" s="6">
        <f t="shared" si="6"/>
        <v>181000</v>
      </c>
      <c r="L35" s="1">
        <f t="shared" si="7"/>
        <v>282000</v>
      </c>
    </row>
    <row r="36" spans="2:12" x14ac:dyDescent="0.2">
      <c r="B36" s="1">
        <v>8</v>
      </c>
      <c r="C36" s="6">
        <v>100</v>
      </c>
      <c r="D36" s="6">
        <v>1000</v>
      </c>
      <c r="E36" s="6">
        <f t="shared" si="0"/>
        <v>100000</v>
      </c>
      <c r="F36" s="6">
        <f t="shared" si="1"/>
        <v>20000</v>
      </c>
      <c r="G36" s="6">
        <f t="shared" si="2"/>
        <v>4000</v>
      </c>
      <c r="H36" s="6">
        <f t="shared" si="3"/>
        <v>124000</v>
      </c>
      <c r="I36" s="6">
        <f t="shared" si="4"/>
        <v>30000</v>
      </c>
      <c r="J36" s="1">
        <f t="shared" si="5"/>
        <v>27000</v>
      </c>
      <c r="K36" s="6">
        <f t="shared" si="6"/>
        <v>181000</v>
      </c>
      <c r="L36" s="1">
        <f t="shared" si="7"/>
        <v>282000</v>
      </c>
    </row>
    <row r="37" spans="2:12" x14ac:dyDescent="0.2">
      <c r="B37" s="1">
        <v>9</v>
      </c>
      <c r="C37" s="6">
        <v>100</v>
      </c>
      <c r="D37" s="6">
        <v>1000</v>
      </c>
      <c r="E37" s="6">
        <f t="shared" si="0"/>
        <v>100000</v>
      </c>
      <c r="F37" s="6">
        <f t="shared" si="1"/>
        <v>20000</v>
      </c>
      <c r="G37" s="6">
        <f t="shared" si="2"/>
        <v>4000</v>
      </c>
      <c r="H37" s="6">
        <f t="shared" si="3"/>
        <v>124000</v>
      </c>
      <c r="I37" s="6">
        <f t="shared" si="4"/>
        <v>30000</v>
      </c>
      <c r="J37" s="1">
        <f t="shared" si="5"/>
        <v>27000</v>
      </c>
      <c r="K37" s="6">
        <f t="shared" si="6"/>
        <v>181000</v>
      </c>
      <c r="L37" s="1">
        <f t="shared" si="7"/>
        <v>282000</v>
      </c>
    </row>
    <row r="38" spans="2:12" x14ac:dyDescent="0.2">
      <c r="B38" s="1">
        <v>10</v>
      </c>
      <c r="C38" s="6">
        <v>100</v>
      </c>
      <c r="D38" s="6">
        <v>1000</v>
      </c>
      <c r="E38" s="6">
        <f t="shared" si="0"/>
        <v>100000</v>
      </c>
      <c r="F38" s="6">
        <f t="shared" si="1"/>
        <v>20000</v>
      </c>
      <c r="G38" s="6">
        <f t="shared" si="2"/>
        <v>4000</v>
      </c>
      <c r="H38" s="6">
        <f t="shared" si="3"/>
        <v>124000</v>
      </c>
      <c r="I38" s="6">
        <f t="shared" si="4"/>
        <v>30000</v>
      </c>
      <c r="J38" s="1">
        <f t="shared" si="5"/>
        <v>27000</v>
      </c>
      <c r="K38" s="6">
        <f t="shared" si="6"/>
        <v>181000</v>
      </c>
      <c r="L38" s="1">
        <f t="shared" si="7"/>
        <v>282000</v>
      </c>
    </row>
    <row r="39" spans="2:12" x14ac:dyDescent="0.2">
      <c r="B39" s="1">
        <v>11</v>
      </c>
      <c r="C39" s="6">
        <v>100</v>
      </c>
      <c r="D39" s="6">
        <v>1000</v>
      </c>
      <c r="E39" s="6">
        <f t="shared" si="0"/>
        <v>100000</v>
      </c>
      <c r="F39" s="6">
        <f t="shared" si="1"/>
        <v>20000</v>
      </c>
      <c r="G39" s="6">
        <f t="shared" si="2"/>
        <v>4000</v>
      </c>
      <c r="H39" s="6">
        <f t="shared" si="3"/>
        <v>124000</v>
      </c>
      <c r="I39" s="6">
        <f t="shared" si="4"/>
        <v>30000</v>
      </c>
      <c r="J39" s="1">
        <f t="shared" si="5"/>
        <v>27000</v>
      </c>
      <c r="K39" s="6">
        <f t="shared" si="6"/>
        <v>181000</v>
      </c>
      <c r="L39" s="1">
        <f t="shared" si="7"/>
        <v>282000</v>
      </c>
    </row>
    <row r="40" spans="2:12" x14ac:dyDescent="0.2">
      <c r="B40" s="1">
        <v>12</v>
      </c>
      <c r="C40" s="6">
        <v>100</v>
      </c>
      <c r="D40" s="6">
        <v>1000</v>
      </c>
      <c r="E40" s="6">
        <f t="shared" si="0"/>
        <v>100000</v>
      </c>
      <c r="F40" s="6">
        <f t="shared" si="1"/>
        <v>20000</v>
      </c>
      <c r="G40" s="6">
        <f t="shared" si="2"/>
        <v>4000</v>
      </c>
      <c r="H40" s="6">
        <f t="shared" si="3"/>
        <v>124000</v>
      </c>
      <c r="I40" s="6">
        <f t="shared" si="4"/>
        <v>30000</v>
      </c>
      <c r="J40" s="1">
        <f t="shared" si="5"/>
        <v>27000</v>
      </c>
      <c r="K40" s="6">
        <f t="shared" si="6"/>
        <v>181000</v>
      </c>
      <c r="L40" s="1">
        <f t="shared" si="7"/>
        <v>282000</v>
      </c>
    </row>
    <row r="41" spans="2:12" x14ac:dyDescent="0.2">
      <c r="B41" s="1">
        <v>13</v>
      </c>
      <c r="C41" s="6">
        <v>100</v>
      </c>
      <c r="D41" s="6">
        <v>1000</v>
      </c>
      <c r="E41" s="6">
        <f t="shared" si="0"/>
        <v>100000</v>
      </c>
      <c r="F41" s="6">
        <f t="shared" si="1"/>
        <v>20000</v>
      </c>
      <c r="G41" s="6">
        <f t="shared" si="2"/>
        <v>4000</v>
      </c>
      <c r="H41" s="6">
        <f t="shared" si="3"/>
        <v>124000</v>
      </c>
      <c r="I41" s="6">
        <f t="shared" si="4"/>
        <v>30000</v>
      </c>
      <c r="J41" s="1">
        <f t="shared" si="5"/>
        <v>27000</v>
      </c>
      <c r="K41" s="6">
        <f t="shared" si="6"/>
        <v>181000</v>
      </c>
      <c r="L41" s="1">
        <f t="shared" si="7"/>
        <v>282000</v>
      </c>
    </row>
    <row r="42" spans="2:12" x14ac:dyDescent="0.2">
      <c r="B42" s="1">
        <v>14</v>
      </c>
      <c r="C42" s="6">
        <v>100</v>
      </c>
      <c r="D42" s="6">
        <v>1000</v>
      </c>
      <c r="E42" s="6">
        <f t="shared" si="0"/>
        <v>100000</v>
      </c>
      <c r="F42" s="6">
        <f t="shared" si="1"/>
        <v>20000</v>
      </c>
      <c r="G42" s="6">
        <f t="shared" si="2"/>
        <v>4000</v>
      </c>
      <c r="H42" s="6">
        <f t="shared" si="3"/>
        <v>124000</v>
      </c>
      <c r="I42" s="6">
        <f t="shared" si="4"/>
        <v>30000</v>
      </c>
      <c r="J42" s="1">
        <f t="shared" si="5"/>
        <v>27000</v>
      </c>
      <c r="K42" s="6">
        <f t="shared" si="6"/>
        <v>181000</v>
      </c>
      <c r="L42" s="1">
        <f t="shared" si="7"/>
        <v>282000</v>
      </c>
    </row>
    <row r="43" spans="2:12" x14ac:dyDescent="0.2">
      <c r="B43" s="1">
        <v>15</v>
      </c>
      <c r="C43" s="6">
        <v>100</v>
      </c>
      <c r="D43" s="6">
        <v>1000</v>
      </c>
      <c r="E43" s="6">
        <f t="shared" si="0"/>
        <v>100000</v>
      </c>
      <c r="F43" s="6">
        <f t="shared" si="1"/>
        <v>20000</v>
      </c>
      <c r="G43" s="6">
        <f t="shared" si="2"/>
        <v>4000</v>
      </c>
      <c r="H43" s="6">
        <f t="shared" si="3"/>
        <v>124000</v>
      </c>
      <c r="I43" s="6">
        <f t="shared" si="4"/>
        <v>30000</v>
      </c>
      <c r="J43" s="1">
        <f t="shared" si="5"/>
        <v>27000</v>
      </c>
      <c r="K43" s="6">
        <f t="shared" si="6"/>
        <v>181000</v>
      </c>
      <c r="L43" s="1">
        <f t="shared" si="7"/>
        <v>282000</v>
      </c>
    </row>
    <row r="44" spans="2:12" x14ac:dyDescent="0.2">
      <c r="B44" s="1">
        <v>16</v>
      </c>
      <c r="C44" s="6">
        <v>100</v>
      </c>
      <c r="D44" s="6">
        <v>1000</v>
      </c>
      <c r="E44" s="6">
        <f t="shared" si="0"/>
        <v>100000</v>
      </c>
      <c r="F44" s="6">
        <f t="shared" si="1"/>
        <v>20000</v>
      </c>
      <c r="G44" s="6">
        <f t="shared" si="2"/>
        <v>4000</v>
      </c>
      <c r="H44" s="6">
        <f t="shared" si="3"/>
        <v>124000</v>
      </c>
      <c r="I44" s="6">
        <f t="shared" si="4"/>
        <v>30000</v>
      </c>
      <c r="J44" s="1">
        <f t="shared" si="5"/>
        <v>27000</v>
      </c>
      <c r="K44" s="6">
        <f t="shared" si="6"/>
        <v>181000</v>
      </c>
      <c r="L44" s="1">
        <f t="shared" si="7"/>
        <v>282000</v>
      </c>
    </row>
    <row r="45" spans="2:12" x14ac:dyDescent="0.2">
      <c r="B45" s="1">
        <v>17</v>
      </c>
      <c r="C45" s="6">
        <v>100</v>
      </c>
      <c r="D45" s="6">
        <v>1000</v>
      </c>
      <c r="E45" s="6">
        <f t="shared" si="0"/>
        <v>100000</v>
      </c>
      <c r="F45" s="6">
        <f t="shared" si="1"/>
        <v>20000</v>
      </c>
      <c r="G45" s="6">
        <f t="shared" si="2"/>
        <v>4000</v>
      </c>
      <c r="H45" s="6">
        <f t="shared" si="3"/>
        <v>124000</v>
      </c>
      <c r="I45" s="6">
        <f t="shared" si="4"/>
        <v>30000</v>
      </c>
      <c r="J45" s="1">
        <f t="shared" si="5"/>
        <v>27000</v>
      </c>
      <c r="K45" s="6">
        <f t="shared" si="6"/>
        <v>181000</v>
      </c>
      <c r="L45" s="1">
        <f t="shared" si="7"/>
        <v>282000</v>
      </c>
    </row>
    <row r="46" spans="2:12" x14ac:dyDescent="0.2">
      <c r="B46" s="1">
        <v>18</v>
      </c>
      <c r="C46" s="6">
        <v>100</v>
      </c>
      <c r="D46" s="6">
        <v>1000</v>
      </c>
      <c r="E46" s="6">
        <f t="shared" si="0"/>
        <v>100000</v>
      </c>
      <c r="F46" s="6">
        <f t="shared" si="1"/>
        <v>20000</v>
      </c>
      <c r="G46" s="6">
        <f t="shared" si="2"/>
        <v>4000</v>
      </c>
      <c r="H46" s="6">
        <f t="shared" si="3"/>
        <v>124000</v>
      </c>
      <c r="I46" s="6">
        <f t="shared" si="4"/>
        <v>30000</v>
      </c>
      <c r="J46" s="1">
        <f t="shared" si="5"/>
        <v>27000</v>
      </c>
      <c r="K46" s="6">
        <f t="shared" si="6"/>
        <v>181000</v>
      </c>
      <c r="L46" s="1">
        <f t="shared" si="7"/>
        <v>282000</v>
      </c>
    </row>
    <row r="47" spans="2:12" x14ac:dyDescent="0.2">
      <c r="B47" s="1">
        <v>19</v>
      </c>
      <c r="C47" s="6">
        <v>100</v>
      </c>
      <c r="D47" s="6">
        <v>1000</v>
      </c>
      <c r="E47" s="6">
        <f t="shared" si="0"/>
        <v>100000</v>
      </c>
      <c r="F47" s="6">
        <f t="shared" si="1"/>
        <v>20000</v>
      </c>
      <c r="G47" s="6">
        <f t="shared" si="2"/>
        <v>4000</v>
      </c>
      <c r="H47" s="6">
        <f t="shared" si="3"/>
        <v>124000</v>
      </c>
      <c r="I47" s="6">
        <f t="shared" si="4"/>
        <v>30000</v>
      </c>
      <c r="J47" s="1">
        <f t="shared" si="5"/>
        <v>27000</v>
      </c>
      <c r="K47" s="6">
        <f t="shared" si="6"/>
        <v>181000</v>
      </c>
      <c r="L47" s="1">
        <f t="shared" si="7"/>
        <v>282000</v>
      </c>
    </row>
    <row r="48" spans="2:12" x14ac:dyDescent="0.2">
      <c r="B48" s="1">
        <v>20</v>
      </c>
      <c r="C48" s="6">
        <v>100</v>
      </c>
      <c r="D48" s="6">
        <v>1000</v>
      </c>
      <c r="E48" s="6">
        <f t="shared" si="0"/>
        <v>100000</v>
      </c>
      <c r="F48" s="6">
        <f t="shared" si="1"/>
        <v>20000</v>
      </c>
      <c r="G48" s="6">
        <f t="shared" si="2"/>
        <v>4000</v>
      </c>
      <c r="H48" s="6">
        <f t="shared" si="3"/>
        <v>124000</v>
      </c>
      <c r="I48" s="6">
        <f t="shared" si="4"/>
        <v>30000</v>
      </c>
      <c r="J48" s="1">
        <f t="shared" si="5"/>
        <v>27000</v>
      </c>
      <c r="K48" s="6">
        <f t="shared" si="6"/>
        <v>181000</v>
      </c>
      <c r="L48" s="1">
        <f t="shared" si="7"/>
        <v>282000</v>
      </c>
    </row>
    <row r="49" spans="2:12" x14ac:dyDescent="0.2">
      <c r="B49" s="1">
        <v>21</v>
      </c>
      <c r="C49" s="6">
        <v>100</v>
      </c>
      <c r="D49" s="6">
        <v>1000</v>
      </c>
      <c r="E49" s="6">
        <f t="shared" si="0"/>
        <v>100000</v>
      </c>
      <c r="F49" s="6">
        <f t="shared" si="1"/>
        <v>20000</v>
      </c>
      <c r="G49" s="6">
        <f t="shared" si="2"/>
        <v>4000</v>
      </c>
      <c r="H49" s="6">
        <f t="shared" si="3"/>
        <v>124000</v>
      </c>
      <c r="I49" s="6">
        <f t="shared" si="4"/>
        <v>30000</v>
      </c>
      <c r="J49" s="1">
        <f t="shared" si="5"/>
        <v>27000</v>
      </c>
      <c r="K49" s="6">
        <f t="shared" si="6"/>
        <v>181000</v>
      </c>
      <c r="L49" s="1">
        <f t="shared" si="7"/>
        <v>282000</v>
      </c>
    </row>
    <row r="50" spans="2:12" x14ac:dyDescent="0.2">
      <c r="B50" s="1">
        <v>22</v>
      </c>
      <c r="C50" s="6">
        <v>100</v>
      </c>
      <c r="D50" s="6">
        <v>1000</v>
      </c>
      <c r="E50" s="6">
        <f t="shared" si="0"/>
        <v>100000</v>
      </c>
      <c r="F50" s="6">
        <f t="shared" si="1"/>
        <v>20000</v>
      </c>
      <c r="G50" s="6">
        <f t="shared" si="2"/>
        <v>4000</v>
      </c>
      <c r="H50" s="6">
        <f t="shared" si="3"/>
        <v>124000</v>
      </c>
      <c r="I50" s="6">
        <f t="shared" si="4"/>
        <v>30000</v>
      </c>
      <c r="J50" s="1">
        <f t="shared" si="5"/>
        <v>27000</v>
      </c>
      <c r="K50" s="6">
        <f t="shared" si="6"/>
        <v>181000</v>
      </c>
      <c r="L50" s="1">
        <f t="shared" si="7"/>
        <v>282000</v>
      </c>
    </row>
    <row r="51" spans="2:12" x14ac:dyDescent="0.2">
      <c r="B51" s="1">
        <v>23</v>
      </c>
      <c r="C51" s="6">
        <v>100</v>
      </c>
      <c r="D51" s="6">
        <v>1000</v>
      </c>
      <c r="E51" s="6">
        <f t="shared" si="0"/>
        <v>100000</v>
      </c>
      <c r="F51" s="6">
        <f t="shared" si="1"/>
        <v>20000</v>
      </c>
      <c r="G51" s="6">
        <f t="shared" si="2"/>
        <v>4000</v>
      </c>
      <c r="H51" s="6">
        <f t="shared" si="3"/>
        <v>124000</v>
      </c>
      <c r="I51" s="6">
        <f t="shared" si="4"/>
        <v>30000</v>
      </c>
      <c r="J51" s="1">
        <f t="shared" si="5"/>
        <v>27000</v>
      </c>
      <c r="K51" s="6">
        <f t="shared" si="6"/>
        <v>181000</v>
      </c>
      <c r="L51" s="1">
        <f t="shared" si="7"/>
        <v>282000</v>
      </c>
    </row>
    <row r="52" spans="2:12" x14ac:dyDescent="0.2">
      <c r="B52" s="1">
        <v>24</v>
      </c>
      <c r="C52" s="6">
        <v>100</v>
      </c>
      <c r="D52" s="6">
        <v>1000</v>
      </c>
      <c r="E52" s="6">
        <f t="shared" si="0"/>
        <v>100000</v>
      </c>
      <c r="F52" s="6">
        <f t="shared" si="1"/>
        <v>20000</v>
      </c>
      <c r="G52" s="6">
        <f t="shared" si="2"/>
        <v>4000</v>
      </c>
      <c r="H52" s="6">
        <f t="shared" si="3"/>
        <v>124000</v>
      </c>
      <c r="I52" s="6">
        <f t="shared" si="4"/>
        <v>30000</v>
      </c>
      <c r="J52" s="1">
        <f t="shared" si="5"/>
        <v>27000</v>
      </c>
      <c r="K52" s="6">
        <f t="shared" si="6"/>
        <v>181000</v>
      </c>
      <c r="L52" s="1">
        <f t="shared" si="7"/>
        <v>282000</v>
      </c>
    </row>
    <row r="53" spans="2:12" x14ac:dyDescent="0.2">
      <c r="B53" s="1">
        <v>25</v>
      </c>
      <c r="C53" s="6">
        <v>100</v>
      </c>
      <c r="D53" s="6">
        <v>1000</v>
      </c>
      <c r="E53" s="6">
        <f t="shared" si="0"/>
        <v>100000</v>
      </c>
      <c r="F53" s="6">
        <f t="shared" si="1"/>
        <v>20000</v>
      </c>
      <c r="G53" s="6">
        <f t="shared" si="2"/>
        <v>4000</v>
      </c>
      <c r="H53" s="6">
        <f t="shared" si="3"/>
        <v>124000</v>
      </c>
      <c r="I53" s="6">
        <f t="shared" si="4"/>
        <v>30000</v>
      </c>
      <c r="J53" s="1">
        <f t="shared" si="5"/>
        <v>27000</v>
      </c>
      <c r="K53" s="6">
        <f t="shared" si="6"/>
        <v>181000</v>
      </c>
      <c r="L53" s="1">
        <f t="shared" si="7"/>
        <v>282000</v>
      </c>
    </row>
    <row r="54" spans="2:12" x14ac:dyDescent="0.2">
      <c r="B54" s="1">
        <v>26</v>
      </c>
      <c r="C54" s="6">
        <v>100</v>
      </c>
      <c r="D54" s="6">
        <v>1000</v>
      </c>
      <c r="E54" s="6">
        <f t="shared" si="0"/>
        <v>100000</v>
      </c>
      <c r="F54" s="6">
        <f t="shared" si="1"/>
        <v>20000</v>
      </c>
      <c r="G54" s="6">
        <f t="shared" si="2"/>
        <v>4000</v>
      </c>
      <c r="H54" s="6">
        <f t="shared" si="3"/>
        <v>124000</v>
      </c>
      <c r="I54" s="6">
        <f t="shared" si="4"/>
        <v>30000</v>
      </c>
      <c r="J54" s="1">
        <f t="shared" si="5"/>
        <v>27000</v>
      </c>
      <c r="K54" s="6">
        <f t="shared" si="6"/>
        <v>181000</v>
      </c>
      <c r="L54" s="1">
        <f t="shared" si="7"/>
        <v>282000</v>
      </c>
    </row>
    <row r="55" spans="2:12" x14ac:dyDescent="0.2">
      <c r="B55" s="1">
        <v>27</v>
      </c>
      <c r="C55" s="6">
        <v>92</v>
      </c>
      <c r="D55" s="6">
        <v>1000</v>
      </c>
      <c r="E55" s="6">
        <f t="shared" si="0"/>
        <v>92000</v>
      </c>
      <c r="F55" s="6">
        <f t="shared" si="1"/>
        <v>20000</v>
      </c>
      <c r="G55" s="6">
        <f t="shared" si="2"/>
        <v>4000</v>
      </c>
      <c r="H55" s="6">
        <f t="shared" si="3"/>
        <v>116000</v>
      </c>
      <c r="I55" s="6">
        <f t="shared" si="4"/>
        <v>30000</v>
      </c>
      <c r="J55" s="1">
        <f t="shared" si="5"/>
        <v>27000</v>
      </c>
      <c r="K55" s="6">
        <f t="shared" si="6"/>
        <v>173000</v>
      </c>
      <c r="L55" s="1">
        <f t="shared" si="7"/>
        <v>282000</v>
      </c>
    </row>
    <row r="56" spans="2:12" x14ac:dyDescent="0.2">
      <c r="B56" s="1">
        <v>28</v>
      </c>
      <c r="C56" s="6">
        <v>92</v>
      </c>
      <c r="D56" s="6">
        <v>1000</v>
      </c>
      <c r="E56" s="6">
        <f t="shared" si="0"/>
        <v>92000</v>
      </c>
      <c r="F56" s="6">
        <f t="shared" si="1"/>
        <v>20000</v>
      </c>
      <c r="G56" s="6">
        <f t="shared" si="2"/>
        <v>4000</v>
      </c>
      <c r="H56" s="6">
        <f t="shared" si="3"/>
        <v>116000</v>
      </c>
      <c r="I56" s="6">
        <f t="shared" si="4"/>
        <v>30000</v>
      </c>
      <c r="J56" s="1">
        <f t="shared" si="5"/>
        <v>27000</v>
      </c>
      <c r="K56" s="6">
        <f t="shared" si="6"/>
        <v>173000</v>
      </c>
      <c r="L56" s="1">
        <f t="shared" si="7"/>
        <v>282000</v>
      </c>
    </row>
    <row r="57" spans="2:12" x14ac:dyDescent="0.2">
      <c r="B57" s="1">
        <v>29</v>
      </c>
      <c r="C57" s="6">
        <v>92</v>
      </c>
      <c r="D57" s="6">
        <v>1000</v>
      </c>
      <c r="E57" s="6">
        <f t="shared" si="0"/>
        <v>92000</v>
      </c>
      <c r="F57" s="6">
        <f t="shared" si="1"/>
        <v>20000</v>
      </c>
      <c r="G57" s="6">
        <f t="shared" si="2"/>
        <v>4000</v>
      </c>
      <c r="H57" s="6">
        <f t="shared" si="3"/>
        <v>116000</v>
      </c>
      <c r="I57" s="6">
        <f t="shared" si="4"/>
        <v>30000</v>
      </c>
      <c r="J57" s="1">
        <f t="shared" si="5"/>
        <v>27000</v>
      </c>
      <c r="K57" s="6">
        <f t="shared" si="6"/>
        <v>173000</v>
      </c>
      <c r="L57" s="1">
        <f t="shared" si="7"/>
        <v>282000</v>
      </c>
    </row>
    <row r="58" spans="2:12" x14ac:dyDescent="0.2">
      <c r="B58" s="1">
        <v>30</v>
      </c>
      <c r="C58" s="6">
        <v>92</v>
      </c>
      <c r="D58" s="6">
        <v>1000</v>
      </c>
      <c r="E58" s="6">
        <f t="shared" si="0"/>
        <v>92000</v>
      </c>
      <c r="F58" s="6">
        <f t="shared" si="1"/>
        <v>20000</v>
      </c>
      <c r="G58" s="6">
        <f t="shared" si="2"/>
        <v>4000</v>
      </c>
      <c r="H58" s="6">
        <f t="shared" si="3"/>
        <v>116000</v>
      </c>
      <c r="I58" s="6">
        <f t="shared" si="4"/>
        <v>30000</v>
      </c>
      <c r="J58" s="1">
        <f t="shared" si="5"/>
        <v>27000</v>
      </c>
      <c r="K58" s="6">
        <f t="shared" si="6"/>
        <v>173000</v>
      </c>
      <c r="L58" s="1">
        <f t="shared" si="7"/>
        <v>282000</v>
      </c>
    </row>
    <row r="59" spans="2:12" x14ac:dyDescent="0.2">
      <c r="B59" s="1">
        <v>31</v>
      </c>
      <c r="C59" s="6">
        <v>92</v>
      </c>
      <c r="D59" s="6">
        <v>1000</v>
      </c>
      <c r="E59" s="6">
        <f t="shared" si="0"/>
        <v>92000</v>
      </c>
      <c r="F59" s="6">
        <f t="shared" si="1"/>
        <v>20000</v>
      </c>
      <c r="G59" s="6">
        <f t="shared" si="2"/>
        <v>4000</v>
      </c>
      <c r="H59" s="6">
        <f t="shared" si="3"/>
        <v>116000</v>
      </c>
      <c r="I59" s="6">
        <f t="shared" si="4"/>
        <v>30000</v>
      </c>
      <c r="J59" s="1">
        <f t="shared" si="5"/>
        <v>27000</v>
      </c>
      <c r="K59" s="6">
        <f t="shared" si="6"/>
        <v>173000</v>
      </c>
      <c r="L59" s="1">
        <f t="shared" si="7"/>
        <v>282000</v>
      </c>
    </row>
    <row r="60" spans="2:12" x14ac:dyDescent="0.2">
      <c r="B60" s="1">
        <v>32</v>
      </c>
      <c r="C60" s="6">
        <v>92</v>
      </c>
      <c r="D60" s="6">
        <v>1000</v>
      </c>
      <c r="E60" s="6">
        <f t="shared" si="0"/>
        <v>92000</v>
      </c>
      <c r="F60" s="6">
        <f t="shared" si="1"/>
        <v>20000</v>
      </c>
      <c r="G60" s="6">
        <f t="shared" si="2"/>
        <v>4000</v>
      </c>
      <c r="H60" s="6">
        <f t="shared" si="3"/>
        <v>116000</v>
      </c>
      <c r="I60" s="6">
        <f t="shared" si="4"/>
        <v>30000</v>
      </c>
      <c r="J60" s="1">
        <f t="shared" si="5"/>
        <v>27000</v>
      </c>
      <c r="K60" s="6">
        <f t="shared" si="6"/>
        <v>173000</v>
      </c>
      <c r="L60" s="1">
        <f t="shared" si="7"/>
        <v>282000</v>
      </c>
    </row>
    <row r="61" spans="2:12" x14ac:dyDescent="0.2">
      <c r="B61" s="1">
        <v>33</v>
      </c>
      <c r="C61" s="6">
        <v>92</v>
      </c>
      <c r="D61" s="6">
        <v>1000</v>
      </c>
      <c r="E61" s="6">
        <f t="shared" si="0"/>
        <v>92000</v>
      </c>
      <c r="F61" s="6">
        <f t="shared" si="1"/>
        <v>20000</v>
      </c>
      <c r="G61" s="6">
        <f t="shared" si="2"/>
        <v>4000</v>
      </c>
      <c r="H61" s="6">
        <f t="shared" si="3"/>
        <v>116000</v>
      </c>
      <c r="I61" s="6">
        <f t="shared" si="4"/>
        <v>30000</v>
      </c>
      <c r="J61" s="1">
        <f t="shared" si="5"/>
        <v>27000</v>
      </c>
      <c r="K61" s="6">
        <f t="shared" si="6"/>
        <v>173000</v>
      </c>
      <c r="L61" s="1">
        <f t="shared" si="7"/>
        <v>282000</v>
      </c>
    </row>
    <row r="62" spans="2:12" x14ac:dyDescent="0.2">
      <c r="B62" s="1">
        <v>34</v>
      </c>
      <c r="C62" s="6">
        <v>92</v>
      </c>
      <c r="D62" s="6">
        <v>1000</v>
      </c>
      <c r="E62" s="6">
        <f t="shared" si="0"/>
        <v>92000</v>
      </c>
      <c r="F62" s="6">
        <f t="shared" si="1"/>
        <v>20000</v>
      </c>
      <c r="G62" s="6">
        <f t="shared" si="2"/>
        <v>4000</v>
      </c>
      <c r="H62" s="6">
        <f t="shared" si="3"/>
        <v>116000</v>
      </c>
      <c r="I62" s="6">
        <f t="shared" si="4"/>
        <v>30000</v>
      </c>
      <c r="J62" s="1">
        <f t="shared" si="5"/>
        <v>27000</v>
      </c>
      <c r="K62" s="6">
        <f t="shared" si="6"/>
        <v>173000</v>
      </c>
      <c r="L62" s="1">
        <f t="shared" si="7"/>
        <v>282000</v>
      </c>
    </row>
    <row r="63" spans="2:12" x14ac:dyDescent="0.2">
      <c r="B63" s="1">
        <v>35</v>
      </c>
      <c r="C63" s="6">
        <v>92</v>
      </c>
      <c r="D63" s="6">
        <v>1000</v>
      </c>
      <c r="E63" s="6">
        <f t="shared" si="0"/>
        <v>92000</v>
      </c>
      <c r="F63" s="6">
        <f t="shared" si="1"/>
        <v>20000</v>
      </c>
      <c r="G63" s="6">
        <f t="shared" si="2"/>
        <v>4000</v>
      </c>
      <c r="H63" s="6">
        <f t="shared" si="3"/>
        <v>116000</v>
      </c>
      <c r="I63" s="6">
        <f t="shared" si="4"/>
        <v>30000</v>
      </c>
      <c r="J63" s="1">
        <f t="shared" si="5"/>
        <v>27000</v>
      </c>
      <c r="K63" s="6">
        <f t="shared" si="6"/>
        <v>173000</v>
      </c>
      <c r="L63" s="1">
        <f t="shared" si="7"/>
        <v>282000</v>
      </c>
    </row>
    <row r="64" spans="2:12" x14ac:dyDescent="0.2">
      <c r="B64" s="1">
        <v>36</v>
      </c>
      <c r="C64" s="6">
        <v>92</v>
      </c>
      <c r="D64" s="6">
        <v>1000</v>
      </c>
      <c r="E64" s="6">
        <f t="shared" si="0"/>
        <v>92000</v>
      </c>
      <c r="F64" s="6">
        <f t="shared" si="1"/>
        <v>20000</v>
      </c>
      <c r="G64" s="6">
        <f t="shared" si="2"/>
        <v>4000</v>
      </c>
      <c r="H64" s="6">
        <f t="shared" si="3"/>
        <v>116000</v>
      </c>
      <c r="I64" s="6">
        <f t="shared" si="4"/>
        <v>30000</v>
      </c>
      <c r="J64" s="1">
        <f t="shared" si="5"/>
        <v>27000</v>
      </c>
      <c r="K64" s="6">
        <f t="shared" si="6"/>
        <v>173000</v>
      </c>
      <c r="L64" s="1">
        <f t="shared" si="7"/>
        <v>282000</v>
      </c>
    </row>
    <row r="65" spans="2:12" x14ac:dyDescent="0.2">
      <c r="B65" s="1">
        <v>37</v>
      </c>
      <c r="C65" s="6">
        <v>92</v>
      </c>
      <c r="D65" s="6">
        <v>1000</v>
      </c>
      <c r="E65" s="6">
        <f t="shared" si="0"/>
        <v>92000</v>
      </c>
      <c r="F65" s="6">
        <f t="shared" si="1"/>
        <v>20000</v>
      </c>
      <c r="G65" s="6">
        <f t="shared" si="2"/>
        <v>4000</v>
      </c>
      <c r="H65" s="6">
        <f t="shared" si="3"/>
        <v>116000</v>
      </c>
      <c r="I65" s="6">
        <f t="shared" si="4"/>
        <v>30000</v>
      </c>
      <c r="J65" s="1">
        <f t="shared" si="5"/>
        <v>27000</v>
      </c>
      <c r="K65" s="6">
        <f t="shared" si="6"/>
        <v>173000</v>
      </c>
      <c r="L65" s="1">
        <f t="shared" si="7"/>
        <v>282000</v>
      </c>
    </row>
    <row r="66" spans="2:12" x14ac:dyDescent="0.2">
      <c r="B66" s="1">
        <v>38</v>
      </c>
      <c r="C66" s="6">
        <v>92</v>
      </c>
      <c r="D66" s="6">
        <v>1000</v>
      </c>
      <c r="E66" s="6">
        <f t="shared" si="0"/>
        <v>92000</v>
      </c>
      <c r="F66" s="6">
        <f t="shared" si="1"/>
        <v>20000</v>
      </c>
      <c r="G66" s="6">
        <f t="shared" si="2"/>
        <v>4000</v>
      </c>
      <c r="H66" s="6">
        <f t="shared" si="3"/>
        <v>116000</v>
      </c>
      <c r="I66" s="6">
        <f t="shared" si="4"/>
        <v>30000</v>
      </c>
      <c r="J66" s="1">
        <f t="shared" si="5"/>
        <v>27000</v>
      </c>
      <c r="K66" s="6">
        <f t="shared" si="6"/>
        <v>173000</v>
      </c>
      <c r="L66" s="1">
        <f t="shared" si="7"/>
        <v>282000</v>
      </c>
    </row>
    <row r="67" spans="2:12" x14ac:dyDescent="0.2">
      <c r="B67" s="1">
        <v>39</v>
      </c>
      <c r="C67" s="6">
        <v>92</v>
      </c>
      <c r="D67" s="6">
        <v>1000</v>
      </c>
      <c r="E67" s="6">
        <f t="shared" si="0"/>
        <v>92000</v>
      </c>
      <c r="F67" s="6">
        <f t="shared" si="1"/>
        <v>20000</v>
      </c>
      <c r="G67" s="6">
        <f t="shared" si="2"/>
        <v>4000</v>
      </c>
      <c r="H67" s="6">
        <f t="shared" si="3"/>
        <v>116000</v>
      </c>
      <c r="I67" s="6">
        <f t="shared" si="4"/>
        <v>30000</v>
      </c>
      <c r="J67" s="1">
        <f t="shared" si="5"/>
        <v>27000</v>
      </c>
      <c r="K67" s="6">
        <f t="shared" si="6"/>
        <v>173000</v>
      </c>
      <c r="L67" s="1">
        <f t="shared" si="7"/>
        <v>282000</v>
      </c>
    </row>
    <row r="68" spans="2:12" x14ac:dyDescent="0.2">
      <c r="B68" s="1">
        <v>40</v>
      </c>
      <c r="C68" s="6">
        <v>122</v>
      </c>
      <c r="D68" s="6">
        <v>1000</v>
      </c>
      <c r="E68" s="6">
        <f t="shared" si="0"/>
        <v>122000</v>
      </c>
      <c r="F68" s="6">
        <f t="shared" si="1"/>
        <v>20000</v>
      </c>
      <c r="G68" s="6">
        <f t="shared" si="2"/>
        <v>4000</v>
      </c>
      <c r="H68" s="6">
        <f t="shared" si="3"/>
        <v>146000</v>
      </c>
      <c r="I68" s="6">
        <f t="shared" si="4"/>
        <v>30000</v>
      </c>
      <c r="J68" s="1">
        <f t="shared" si="5"/>
        <v>27000</v>
      </c>
      <c r="K68" s="6">
        <f t="shared" si="6"/>
        <v>203000</v>
      </c>
      <c r="L68" s="1">
        <f t="shared" si="7"/>
        <v>282000</v>
      </c>
    </row>
    <row r="69" spans="2:12" x14ac:dyDescent="0.2">
      <c r="B69" s="1">
        <v>41</v>
      </c>
      <c r="C69" s="6">
        <v>122</v>
      </c>
      <c r="D69" s="6">
        <v>1000</v>
      </c>
      <c r="E69" s="6">
        <f t="shared" si="0"/>
        <v>122000</v>
      </c>
      <c r="F69" s="6">
        <f t="shared" si="1"/>
        <v>20000</v>
      </c>
      <c r="G69" s="6">
        <f t="shared" si="2"/>
        <v>4000</v>
      </c>
      <c r="H69" s="6">
        <f t="shared" si="3"/>
        <v>146000</v>
      </c>
      <c r="I69" s="6">
        <f t="shared" si="4"/>
        <v>30000</v>
      </c>
      <c r="J69" s="1">
        <f t="shared" si="5"/>
        <v>27000</v>
      </c>
      <c r="K69" s="6">
        <f t="shared" si="6"/>
        <v>203000</v>
      </c>
      <c r="L69" s="1">
        <f t="shared" si="7"/>
        <v>282000</v>
      </c>
    </row>
    <row r="70" spans="2:12" x14ac:dyDescent="0.2">
      <c r="B70" s="1">
        <v>42</v>
      </c>
      <c r="C70" s="6">
        <v>122</v>
      </c>
      <c r="D70" s="6">
        <v>1000</v>
      </c>
      <c r="E70" s="6">
        <f t="shared" si="0"/>
        <v>122000</v>
      </c>
      <c r="F70" s="6">
        <f t="shared" si="1"/>
        <v>20000</v>
      </c>
      <c r="G70" s="6">
        <f t="shared" si="2"/>
        <v>4000</v>
      </c>
      <c r="H70" s="6">
        <f t="shared" si="3"/>
        <v>146000</v>
      </c>
      <c r="I70" s="6">
        <f t="shared" si="4"/>
        <v>30000</v>
      </c>
      <c r="J70" s="1">
        <f t="shared" si="5"/>
        <v>27000</v>
      </c>
      <c r="K70" s="6">
        <f t="shared" si="6"/>
        <v>203000</v>
      </c>
      <c r="L70" s="1">
        <f t="shared" si="7"/>
        <v>282000</v>
      </c>
    </row>
    <row r="71" spans="2:12" x14ac:dyDescent="0.2">
      <c r="B71" s="1">
        <v>43</v>
      </c>
      <c r="C71" s="6">
        <v>122</v>
      </c>
      <c r="D71" s="6">
        <v>1000</v>
      </c>
      <c r="E71" s="6">
        <f t="shared" si="0"/>
        <v>122000</v>
      </c>
      <c r="F71" s="6">
        <f t="shared" si="1"/>
        <v>20000</v>
      </c>
      <c r="G71" s="6">
        <f t="shared" si="2"/>
        <v>4000</v>
      </c>
      <c r="H71" s="6">
        <f t="shared" si="3"/>
        <v>146000</v>
      </c>
      <c r="I71" s="6">
        <f t="shared" si="4"/>
        <v>30000</v>
      </c>
      <c r="J71" s="1">
        <f t="shared" si="5"/>
        <v>27000</v>
      </c>
      <c r="K71" s="6">
        <f t="shared" si="6"/>
        <v>203000</v>
      </c>
      <c r="L71" s="1">
        <f t="shared" si="7"/>
        <v>282000</v>
      </c>
    </row>
    <row r="72" spans="2:12" x14ac:dyDescent="0.2">
      <c r="B72" s="1">
        <v>44</v>
      </c>
      <c r="C72" s="6">
        <v>122</v>
      </c>
      <c r="D72" s="6">
        <v>1000</v>
      </c>
      <c r="E72" s="6">
        <f t="shared" si="0"/>
        <v>122000</v>
      </c>
      <c r="F72" s="6">
        <f t="shared" si="1"/>
        <v>20000</v>
      </c>
      <c r="G72" s="6">
        <f t="shared" si="2"/>
        <v>4000</v>
      </c>
      <c r="H72" s="6">
        <f t="shared" si="3"/>
        <v>146000</v>
      </c>
      <c r="I72" s="6">
        <f t="shared" si="4"/>
        <v>30000</v>
      </c>
      <c r="J72" s="1">
        <f t="shared" si="5"/>
        <v>27000</v>
      </c>
      <c r="K72" s="6">
        <f t="shared" si="6"/>
        <v>203000</v>
      </c>
      <c r="L72" s="1">
        <f t="shared" si="7"/>
        <v>282000</v>
      </c>
    </row>
    <row r="73" spans="2:12" x14ac:dyDescent="0.2">
      <c r="B73" s="1">
        <v>45</v>
      </c>
      <c r="C73" s="6">
        <v>122</v>
      </c>
      <c r="D73" s="6">
        <v>1000</v>
      </c>
      <c r="E73" s="6">
        <f t="shared" si="0"/>
        <v>122000</v>
      </c>
      <c r="F73" s="6">
        <f t="shared" si="1"/>
        <v>20000</v>
      </c>
      <c r="G73" s="6">
        <f t="shared" si="2"/>
        <v>4000</v>
      </c>
      <c r="H73" s="6">
        <f t="shared" si="3"/>
        <v>146000</v>
      </c>
      <c r="I73" s="6">
        <f t="shared" si="4"/>
        <v>30000</v>
      </c>
      <c r="J73" s="1">
        <f t="shared" si="5"/>
        <v>27000</v>
      </c>
      <c r="K73" s="6">
        <f t="shared" si="6"/>
        <v>203000</v>
      </c>
      <c r="L73" s="1">
        <f t="shared" si="7"/>
        <v>282000</v>
      </c>
    </row>
    <row r="74" spans="2:12" x14ac:dyDescent="0.2">
      <c r="B74" s="1">
        <v>46</v>
      </c>
      <c r="C74" s="6">
        <v>122</v>
      </c>
      <c r="D74" s="6">
        <v>1000</v>
      </c>
      <c r="E74" s="6">
        <f t="shared" si="0"/>
        <v>122000</v>
      </c>
      <c r="F74" s="6">
        <f t="shared" si="1"/>
        <v>20000</v>
      </c>
      <c r="G74" s="6">
        <f t="shared" si="2"/>
        <v>4000</v>
      </c>
      <c r="H74" s="6">
        <f t="shared" si="3"/>
        <v>146000</v>
      </c>
      <c r="I74" s="6">
        <f t="shared" si="4"/>
        <v>30000</v>
      </c>
      <c r="J74" s="1">
        <f t="shared" si="5"/>
        <v>27000</v>
      </c>
      <c r="K74" s="6">
        <f t="shared" si="6"/>
        <v>203000</v>
      </c>
      <c r="L74" s="1">
        <f t="shared" si="7"/>
        <v>282000</v>
      </c>
    </row>
    <row r="75" spans="2:12" x14ac:dyDescent="0.2">
      <c r="B75" s="1">
        <v>47</v>
      </c>
      <c r="C75" s="6">
        <v>122</v>
      </c>
      <c r="D75" s="6">
        <v>1000</v>
      </c>
      <c r="E75" s="6">
        <f t="shared" si="0"/>
        <v>122000</v>
      </c>
      <c r="F75" s="6">
        <f t="shared" si="1"/>
        <v>20000</v>
      </c>
      <c r="G75" s="6">
        <f t="shared" si="2"/>
        <v>4000</v>
      </c>
      <c r="H75" s="6">
        <f t="shared" si="3"/>
        <v>146000</v>
      </c>
      <c r="I75" s="6">
        <f t="shared" si="4"/>
        <v>30000</v>
      </c>
      <c r="J75" s="1">
        <f t="shared" si="5"/>
        <v>27000</v>
      </c>
      <c r="K75" s="6">
        <f t="shared" si="6"/>
        <v>203000</v>
      </c>
      <c r="L75" s="1">
        <f t="shared" si="7"/>
        <v>282000</v>
      </c>
    </row>
    <row r="76" spans="2:12" x14ac:dyDescent="0.2">
      <c r="B76" s="1">
        <v>48</v>
      </c>
      <c r="C76" s="6">
        <v>122</v>
      </c>
      <c r="D76" s="6">
        <v>1000</v>
      </c>
      <c r="E76" s="6">
        <f t="shared" si="0"/>
        <v>122000</v>
      </c>
      <c r="F76" s="6">
        <f t="shared" si="1"/>
        <v>20000</v>
      </c>
      <c r="G76" s="6">
        <f t="shared" si="2"/>
        <v>4000</v>
      </c>
      <c r="H76" s="6">
        <f t="shared" si="3"/>
        <v>146000</v>
      </c>
      <c r="I76" s="6">
        <f t="shared" si="4"/>
        <v>30000</v>
      </c>
      <c r="J76" s="1">
        <f t="shared" si="5"/>
        <v>27000</v>
      </c>
      <c r="K76" s="6">
        <f t="shared" si="6"/>
        <v>203000</v>
      </c>
      <c r="L76" s="1">
        <f t="shared" si="7"/>
        <v>282000</v>
      </c>
    </row>
    <row r="77" spans="2:12" x14ac:dyDescent="0.2">
      <c r="B77" s="1">
        <v>49</v>
      </c>
      <c r="C77" s="6">
        <v>122</v>
      </c>
      <c r="D77" s="6">
        <v>1000</v>
      </c>
      <c r="E77" s="6">
        <f t="shared" si="0"/>
        <v>122000</v>
      </c>
      <c r="F77" s="6">
        <f t="shared" si="1"/>
        <v>20000</v>
      </c>
      <c r="G77" s="6">
        <f t="shared" si="2"/>
        <v>4000</v>
      </c>
      <c r="H77" s="6">
        <f t="shared" si="3"/>
        <v>146000</v>
      </c>
      <c r="I77" s="6">
        <f t="shared" si="4"/>
        <v>30000</v>
      </c>
      <c r="J77" s="1">
        <f t="shared" si="5"/>
        <v>27000</v>
      </c>
      <c r="K77" s="6">
        <f t="shared" si="6"/>
        <v>203000</v>
      </c>
      <c r="L77" s="1">
        <f t="shared" si="7"/>
        <v>282000</v>
      </c>
    </row>
    <row r="78" spans="2:12" x14ac:dyDescent="0.2">
      <c r="B78" s="1">
        <v>50</v>
      </c>
      <c r="C78" s="6">
        <v>122</v>
      </c>
      <c r="D78" s="6">
        <v>1000</v>
      </c>
      <c r="E78" s="6">
        <f t="shared" si="0"/>
        <v>122000</v>
      </c>
      <c r="F78" s="6">
        <f t="shared" si="1"/>
        <v>20000</v>
      </c>
      <c r="G78" s="6">
        <f t="shared" si="2"/>
        <v>4000</v>
      </c>
      <c r="H78" s="6">
        <f t="shared" si="3"/>
        <v>146000</v>
      </c>
      <c r="I78" s="6">
        <f t="shared" si="4"/>
        <v>30000</v>
      </c>
      <c r="J78" s="1">
        <f t="shared" si="5"/>
        <v>27000</v>
      </c>
      <c r="K78" s="6">
        <f t="shared" si="6"/>
        <v>203000</v>
      </c>
      <c r="L78" s="1">
        <f t="shared" si="7"/>
        <v>282000</v>
      </c>
    </row>
    <row r="79" spans="2:12" x14ac:dyDescent="0.2">
      <c r="B79" s="1">
        <v>51</v>
      </c>
      <c r="C79" s="6">
        <v>122</v>
      </c>
      <c r="D79" s="6">
        <v>1000</v>
      </c>
      <c r="E79" s="6">
        <f t="shared" si="0"/>
        <v>122000</v>
      </c>
      <c r="F79" s="6">
        <f t="shared" si="1"/>
        <v>20000</v>
      </c>
      <c r="G79" s="6">
        <f t="shared" si="2"/>
        <v>4000</v>
      </c>
      <c r="H79" s="6">
        <f t="shared" si="3"/>
        <v>146000</v>
      </c>
      <c r="I79" s="6">
        <f t="shared" si="4"/>
        <v>30000</v>
      </c>
      <c r="J79" s="1">
        <f t="shared" si="5"/>
        <v>27000</v>
      </c>
      <c r="K79" s="6">
        <f t="shared" si="6"/>
        <v>203000</v>
      </c>
      <c r="L79" s="1">
        <f t="shared" si="7"/>
        <v>282000</v>
      </c>
    </row>
    <row r="80" spans="2:12" x14ac:dyDescent="0.2">
      <c r="B80" s="1">
        <v>52</v>
      </c>
      <c r="C80" s="6">
        <v>122</v>
      </c>
      <c r="D80" s="6">
        <v>1000</v>
      </c>
      <c r="E80" s="6">
        <f t="shared" si="0"/>
        <v>122000</v>
      </c>
      <c r="F80" s="6">
        <f t="shared" si="1"/>
        <v>20000</v>
      </c>
      <c r="G80" s="6">
        <f t="shared" si="2"/>
        <v>4000</v>
      </c>
      <c r="H80" s="6">
        <f t="shared" si="3"/>
        <v>146000</v>
      </c>
      <c r="I80" s="6">
        <f t="shared" si="4"/>
        <v>30000</v>
      </c>
      <c r="J80" s="1">
        <f t="shared" si="5"/>
        <v>27000</v>
      </c>
      <c r="K80" s="6">
        <f t="shared" si="6"/>
        <v>203000</v>
      </c>
      <c r="L80" s="1">
        <f t="shared" si="7"/>
        <v>282000</v>
      </c>
    </row>
    <row r="81" spans="8:8" x14ac:dyDescent="0.2">
      <c r="H81" s="6"/>
    </row>
  </sheetData>
  <hyperlinks>
    <hyperlink ref="A1" location="Main!A1" display="Main" xr:uid="{8C77D60C-F173-4F1F-960A-DFF1551A4C8C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69B-8876-433E-BFE5-E5BE3E868F2D}">
  <dimension ref="A1:I33"/>
  <sheetViews>
    <sheetView topLeftCell="A8" zoomScale="205" zoomScaleNormal="205" workbookViewId="0">
      <selection activeCell="D18" sqref="D18"/>
    </sheetView>
  </sheetViews>
  <sheetFormatPr defaultRowHeight="12" x14ac:dyDescent="0.2"/>
  <cols>
    <col min="1" max="1" width="9.140625" style="1"/>
    <col min="2" max="3" width="9.42578125" style="1" bestFit="1" customWidth="1"/>
    <col min="4" max="16384" width="9.140625" style="1"/>
  </cols>
  <sheetData>
    <row r="1" spans="1:9" ht="15" x14ac:dyDescent="0.25">
      <c r="A1" s="2" t="s">
        <v>1</v>
      </c>
    </row>
    <row r="3" spans="1:9" x14ac:dyDescent="0.2">
      <c r="B3" s="1" t="s">
        <v>196</v>
      </c>
    </row>
    <row r="5" spans="1:9" x14ac:dyDescent="0.2">
      <c r="B5" s="4">
        <v>43708</v>
      </c>
      <c r="C5" s="1" t="s">
        <v>67</v>
      </c>
      <c r="D5" s="1" t="s">
        <v>197</v>
      </c>
      <c r="E5" s="1" t="s">
        <v>86</v>
      </c>
      <c r="F5" s="1" t="s">
        <v>205</v>
      </c>
      <c r="H5" s="1" t="s">
        <v>206</v>
      </c>
    </row>
    <row r="6" spans="1:9" x14ac:dyDescent="0.2">
      <c r="B6" s="1" t="s">
        <v>198</v>
      </c>
      <c r="C6" s="6">
        <v>500</v>
      </c>
      <c r="D6" s="15">
        <v>110</v>
      </c>
      <c r="E6" s="6">
        <v>140</v>
      </c>
      <c r="F6" s="6">
        <f>-0.05*E6</f>
        <v>-7</v>
      </c>
      <c r="G6" s="6">
        <f>SUM(E6:F6)</f>
        <v>133</v>
      </c>
      <c r="H6" s="1">
        <v>110</v>
      </c>
      <c r="I6" s="6">
        <f>+C6*H6</f>
        <v>55000</v>
      </c>
    </row>
    <row r="7" spans="1:9" x14ac:dyDescent="0.2">
      <c r="B7" s="1" t="s">
        <v>199</v>
      </c>
      <c r="C7" s="6">
        <v>2100</v>
      </c>
      <c r="D7" s="6">
        <v>75</v>
      </c>
      <c r="E7" s="6">
        <v>70</v>
      </c>
      <c r="F7" s="6">
        <f t="shared" ref="F7:F11" si="0">-0.05*E7</f>
        <v>-3.5</v>
      </c>
      <c r="G7" s="15">
        <f t="shared" ref="G7:G11" si="1">SUM(E7:F7)</f>
        <v>66.5</v>
      </c>
      <c r="H7" s="1">
        <v>67</v>
      </c>
      <c r="I7" s="6">
        <f t="shared" ref="I7:I11" si="2">+C7*H7</f>
        <v>140700</v>
      </c>
    </row>
    <row r="8" spans="1:9" x14ac:dyDescent="0.2">
      <c r="B8" s="1" t="s">
        <v>200</v>
      </c>
      <c r="C8" s="6">
        <v>250</v>
      </c>
      <c r="D8" s="1">
        <v>170</v>
      </c>
      <c r="E8" s="1">
        <v>150</v>
      </c>
      <c r="F8" s="6">
        <f t="shared" si="0"/>
        <v>-7.5</v>
      </c>
      <c r="G8" s="15">
        <f t="shared" si="1"/>
        <v>142.5</v>
      </c>
      <c r="H8" s="6">
        <f>+G8</f>
        <v>142.5</v>
      </c>
      <c r="I8" s="6">
        <f t="shared" si="2"/>
        <v>35625</v>
      </c>
    </row>
    <row r="9" spans="1:9" x14ac:dyDescent="0.2">
      <c r="C9" s="6">
        <v>100</v>
      </c>
      <c r="D9" s="15">
        <v>170</v>
      </c>
      <c r="E9" s="6">
        <v>150</v>
      </c>
      <c r="F9" s="6">
        <f>-0.05*E9</f>
        <v>-7.5</v>
      </c>
      <c r="G9" s="25">
        <f>220+F9-32</f>
        <v>180.5</v>
      </c>
      <c r="H9" s="6">
        <f>+D9</f>
        <v>170</v>
      </c>
      <c r="I9" s="6">
        <f t="shared" si="2"/>
        <v>17000</v>
      </c>
    </row>
    <row r="10" spans="1:9" x14ac:dyDescent="0.2">
      <c r="B10" s="1" t="s">
        <v>201</v>
      </c>
      <c r="C10" s="6">
        <v>4100</v>
      </c>
      <c r="D10" s="15">
        <v>42</v>
      </c>
      <c r="E10" s="6">
        <v>55</v>
      </c>
      <c r="F10" s="6">
        <f t="shared" si="0"/>
        <v>-2.75</v>
      </c>
      <c r="G10" s="6">
        <f t="shared" si="1"/>
        <v>52.25</v>
      </c>
      <c r="H10" s="1">
        <v>42</v>
      </c>
      <c r="I10" s="6">
        <f t="shared" si="2"/>
        <v>172200</v>
      </c>
    </row>
    <row r="11" spans="1:9" x14ac:dyDescent="0.2">
      <c r="B11" s="1" t="s">
        <v>202</v>
      </c>
      <c r="C11" s="6">
        <v>1500</v>
      </c>
      <c r="D11" s="6">
        <v>210</v>
      </c>
      <c r="E11" s="6">
        <v>220</v>
      </c>
      <c r="F11" s="6">
        <f t="shared" si="0"/>
        <v>-11</v>
      </c>
      <c r="G11" s="15">
        <f t="shared" si="1"/>
        <v>209</v>
      </c>
      <c r="H11" s="1">
        <v>209</v>
      </c>
      <c r="I11" s="6">
        <f t="shared" si="2"/>
        <v>313500</v>
      </c>
    </row>
    <row r="12" spans="1:9" ht="12.75" thickBot="1" x14ac:dyDescent="0.25">
      <c r="I12" s="9">
        <f>SUM(I6:I11)</f>
        <v>734025</v>
      </c>
    </row>
    <row r="13" spans="1:9" ht="12.75" thickTop="1" x14ac:dyDescent="0.2"/>
    <row r="14" spans="1:9" x14ac:dyDescent="0.2">
      <c r="B14" s="1" t="s">
        <v>203</v>
      </c>
      <c r="C14" s="4">
        <v>43709</v>
      </c>
    </row>
    <row r="15" spans="1:9" x14ac:dyDescent="0.2">
      <c r="B15" s="1" t="s">
        <v>204</v>
      </c>
      <c r="C15" s="6"/>
    </row>
    <row r="18" spans="2:6" x14ac:dyDescent="0.2">
      <c r="B18" s="1" t="s">
        <v>207</v>
      </c>
    </row>
    <row r="19" spans="2:6" x14ac:dyDescent="0.2">
      <c r="B19" s="1" t="s">
        <v>208</v>
      </c>
    </row>
    <row r="20" spans="2:6" x14ac:dyDescent="0.2">
      <c r="B20" s="1" t="s">
        <v>209</v>
      </c>
    </row>
    <row r="21" spans="2:6" x14ac:dyDescent="0.2">
      <c r="B21" s="1" t="s">
        <v>210</v>
      </c>
    </row>
    <row r="22" spans="2:6" x14ac:dyDescent="0.2">
      <c r="B22" s="1" t="s">
        <v>211</v>
      </c>
      <c r="C22" s="6">
        <f>+D9</f>
        <v>170</v>
      </c>
    </row>
    <row r="23" spans="2:6" x14ac:dyDescent="0.2">
      <c r="B23" s="1" t="s">
        <v>212</v>
      </c>
      <c r="C23" s="6">
        <f>+G9</f>
        <v>180.5</v>
      </c>
    </row>
    <row r="25" spans="2:6" x14ac:dyDescent="0.2">
      <c r="B25" s="1" t="s">
        <v>213</v>
      </c>
      <c r="C25" s="1" t="str">
        <f>+C5</f>
        <v>units</v>
      </c>
      <c r="D25" s="1" t="s">
        <v>211</v>
      </c>
      <c r="E25" s="1" t="s">
        <v>212</v>
      </c>
    </row>
    <row r="26" spans="2:6" x14ac:dyDescent="0.2">
      <c r="C26" s="6">
        <f>+C7</f>
        <v>2100</v>
      </c>
      <c r="D26" s="6">
        <f>+D7</f>
        <v>75</v>
      </c>
      <c r="E26" s="6">
        <f>+G7</f>
        <v>66.5</v>
      </c>
      <c r="F26" s="6">
        <f>+C26*(D26-E26)</f>
        <v>17850</v>
      </c>
    </row>
    <row r="27" spans="2:6" x14ac:dyDescent="0.2">
      <c r="C27" s="6">
        <f>+C8</f>
        <v>250</v>
      </c>
      <c r="D27" s="6">
        <f>+D8</f>
        <v>170</v>
      </c>
      <c r="E27" s="6">
        <f>+G8</f>
        <v>142.5</v>
      </c>
      <c r="F27" s="6">
        <f t="shared" ref="F27:F28" si="3">+C27*(D27-E27)</f>
        <v>6875</v>
      </c>
    </row>
    <row r="28" spans="2:6" x14ac:dyDescent="0.2">
      <c r="C28" s="6">
        <f>+C11</f>
        <v>1500</v>
      </c>
      <c r="D28" s="6">
        <f>+D11</f>
        <v>210</v>
      </c>
      <c r="E28" s="6">
        <f>+G11</f>
        <v>209</v>
      </c>
      <c r="F28" s="6">
        <f t="shared" si="3"/>
        <v>1500</v>
      </c>
    </row>
    <row r="29" spans="2:6" x14ac:dyDescent="0.2">
      <c r="C29" s="6"/>
      <c r="D29" s="6"/>
      <c r="E29" s="6"/>
      <c r="F29" s="6">
        <f>SUM(F26:F28)</f>
        <v>26225</v>
      </c>
    </row>
    <row r="30" spans="2:6" x14ac:dyDescent="0.2">
      <c r="C30" s="6"/>
      <c r="D30" s="6"/>
      <c r="E30" s="6"/>
      <c r="F30" s="6"/>
    </row>
    <row r="31" spans="2:6" x14ac:dyDescent="0.2">
      <c r="B31" s="1" t="s">
        <v>214</v>
      </c>
      <c r="C31" s="6"/>
      <c r="D31" s="6"/>
      <c r="E31" s="6">
        <f>+F29</f>
        <v>26225</v>
      </c>
      <c r="F31" s="6"/>
    </row>
    <row r="32" spans="2:6" x14ac:dyDescent="0.2">
      <c r="C32" s="6" t="s">
        <v>215</v>
      </c>
      <c r="D32" s="6"/>
      <c r="E32" s="6"/>
      <c r="F32" s="6">
        <f>+E31</f>
        <v>26225</v>
      </c>
    </row>
    <row r="33" spans="2:2" x14ac:dyDescent="0.2">
      <c r="B33" s="1" t="s">
        <v>216</v>
      </c>
    </row>
  </sheetData>
  <hyperlinks>
    <hyperlink ref="A1" location="Main!A1" display="Main" xr:uid="{0AB0149D-FC20-4B90-BCED-CA253D8334B3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43B1-9891-4941-AEB3-DB3BAD78ED86}">
  <dimension ref="A1:G39"/>
  <sheetViews>
    <sheetView zoomScale="175" zoomScaleNormal="175" workbookViewId="0">
      <selection activeCell="E14" sqref="E14"/>
    </sheetView>
  </sheetViews>
  <sheetFormatPr defaultRowHeight="12" x14ac:dyDescent="0.2"/>
  <cols>
    <col min="1" max="3" width="9.140625" style="1"/>
    <col min="4" max="4" width="9.7109375" style="1" bestFit="1" customWidth="1"/>
    <col min="5" max="5" width="10.140625" style="1" bestFit="1" customWidth="1"/>
    <col min="6" max="16384" width="9.140625" style="1"/>
  </cols>
  <sheetData>
    <row r="1" spans="1:7" ht="15" x14ac:dyDescent="0.25">
      <c r="A1" s="2" t="s">
        <v>1</v>
      </c>
    </row>
    <row r="3" spans="1:7" x14ac:dyDescent="0.2">
      <c r="B3" s="1" t="s">
        <v>151</v>
      </c>
    </row>
    <row r="5" spans="1:7" x14ac:dyDescent="0.2">
      <c r="B5" s="1" t="s">
        <v>17</v>
      </c>
      <c r="C5" s="4">
        <v>46022</v>
      </c>
    </row>
    <row r="6" spans="1:7" x14ac:dyDescent="0.2">
      <c r="B6" s="1" t="s">
        <v>152</v>
      </c>
    </row>
    <row r="7" spans="1:7" x14ac:dyDescent="0.2">
      <c r="C7" s="1" t="s">
        <v>79</v>
      </c>
      <c r="D7" s="1" t="s">
        <v>12</v>
      </c>
      <c r="E7" s="1" t="s">
        <v>114</v>
      </c>
    </row>
    <row r="8" spans="1:7" x14ac:dyDescent="0.2">
      <c r="A8" s="1" t="s">
        <v>48</v>
      </c>
      <c r="B8" s="1" t="s">
        <v>69</v>
      </c>
      <c r="C8" s="6">
        <v>40</v>
      </c>
      <c r="D8" s="6">
        <f>+C8*$C$16</f>
        <v>960000</v>
      </c>
      <c r="E8" s="6">
        <v>40000</v>
      </c>
      <c r="F8" s="6">
        <f>D8+E8</f>
        <v>1000000</v>
      </c>
      <c r="G8" s="1" t="s">
        <v>155</v>
      </c>
    </row>
    <row r="9" spans="1:7" x14ac:dyDescent="0.2">
      <c r="A9" s="1" t="s">
        <v>48</v>
      </c>
      <c r="B9" s="1" t="s">
        <v>70</v>
      </c>
      <c r="C9" s="6">
        <v>125</v>
      </c>
      <c r="D9" s="6">
        <f>+C9*$C$16</f>
        <v>3000000</v>
      </c>
      <c r="E9" s="6">
        <v>-60000</v>
      </c>
      <c r="F9" s="6">
        <f>D9+E9</f>
        <v>2940000</v>
      </c>
      <c r="G9" s="1" t="s">
        <v>156</v>
      </c>
    </row>
    <row r="10" spans="1:7" x14ac:dyDescent="0.2">
      <c r="A10" s="1" t="s">
        <v>48</v>
      </c>
      <c r="B10" s="1" t="s">
        <v>112</v>
      </c>
      <c r="C10" s="6">
        <v>30</v>
      </c>
      <c r="D10" s="6">
        <f>+C10*$C$16</f>
        <v>720000</v>
      </c>
      <c r="E10" s="6">
        <v>0</v>
      </c>
      <c r="F10" s="6">
        <f t="shared" ref="F10:F11" si="0">D10+E10</f>
        <v>720000</v>
      </c>
      <c r="G10" s="1" t="s">
        <v>157</v>
      </c>
    </row>
    <row r="11" spans="1:7" x14ac:dyDescent="0.2">
      <c r="A11" s="1" t="s">
        <v>49</v>
      </c>
      <c r="B11" s="1" t="s">
        <v>153</v>
      </c>
      <c r="C11" s="6">
        <v>35</v>
      </c>
      <c r="D11" s="6">
        <f>+C11*$C$16</f>
        <v>840000</v>
      </c>
      <c r="E11" s="6">
        <v>-120000</v>
      </c>
      <c r="F11" s="6">
        <f t="shared" si="0"/>
        <v>720000</v>
      </c>
      <c r="G11" s="1" t="s">
        <v>158</v>
      </c>
    </row>
    <row r="12" spans="1:7" x14ac:dyDescent="0.2">
      <c r="B12" s="10" t="s">
        <v>110</v>
      </c>
      <c r="C12" s="8">
        <v>10</v>
      </c>
      <c r="D12" s="8">
        <f t="shared" ref="D12" si="1">+C12*$C$16</f>
        <v>240000</v>
      </c>
      <c r="E12" s="6"/>
      <c r="F12" s="6"/>
    </row>
    <row r="13" spans="1:7" x14ac:dyDescent="0.2">
      <c r="C13" s="6">
        <f>SUM(C8:C12)</f>
        <v>240</v>
      </c>
      <c r="D13" s="6"/>
      <c r="E13" s="6"/>
      <c r="F13" s="6"/>
    </row>
    <row r="14" spans="1:7" x14ac:dyDescent="0.2">
      <c r="C14" s="6"/>
      <c r="D14" s="6"/>
      <c r="E14" s="6"/>
      <c r="F14" s="6"/>
    </row>
    <row r="15" spans="1:7" x14ac:dyDescent="0.2">
      <c r="B15" s="1" t="s">
        <v>21</v>
      </c>
      <c r="C15" s="6">
        <v>2000</v>
      </c>
      <c r="D15" s="6" t="s">
        <v>67</v>
      </c>
      <c r="E15" s="6"/>
      <c r="F15" s="6"/>
    </row>
    <row r="16" spans="1:7" x14ac:dyDescent="0.2">
      <c r="B16" s="1" t="s">
        <v>154</v>
      </c>
      <c r="C16" s="6">
        <f>+C15*12</f>
        <v>24000</v>
      </c>
      <c r="D16" s="6" t="s">
        <v>67</v>
      </c>
      <c r="E16" s="6"/>
      <c r="F16" s="6"/>
    </row>
    <row r="17" spans="2:7" x14ac:dyDescent="0.2">
      <c r="C17" s="6"/>
      <c r="D17" s="6"/>
      <c r="E17" s="6"/>
      <c r="F17" s="6"/>
    </row>
    <row r="18" spans="2:7" x14ac:dyDescent="0.2">
      <c r="B18" s="4">
        <v>45292</v>
      </c>
      <c r="C18" s="6"/>
      <c r="D18" s="6"/>
      <c r="E18" s="6" t="s">
        <v>114</v>
      </c>
      <c r="F18" s="6" t="s">
        <v>163</v>
      </c>
      <c r="G18" s="6"/>
    </row>
    <row r="19" spans="2:7" x14ac:dyDescent="0.2">
      <c r="B19" s="1" t="s">
        <v>69</v>
      </c>
      <c r="C19" s="6">
        <v>50</v>
      </c>
      <c r="D19" s="6">
        <f>+C19*$C$102</f>
        <v>0</v>
      </c>
      <c r="E19" s="6">
        <v>-120000</v>
      </c>
      <c r="F19" s="6">
        <f>+C28*6</f>
        <v>12000</v>
      </c>
      <c r="G19" s="6">
        <f>SUM(D19:E19)</f>
        <v>-120000</v>
      </c>
    </row>
    <row r="20" spans="2:7" x14ac:dyDescent="0.2">
      <c r="B20" s="1" t="s">
        <v>70</v>
      </c>
      <c r="C20" s="6">
        <v>200</v>
      </c>
      <c r="D20" s="6">
        <f t="shared" ref="D20:D23" si="2">+C20*$C$102</f>
        <v>0</v>
      </c>
      <c r="E20" s="6">
        <v>0</v>
      </c>
      <c r="F20" s="6">
        <f>+C28*4</f>
        <v>8000</v>
      </c>
      <c r="G20" s="6">
        <f t="shared" ref="G20:G21" si="3">SUM(D20:E20)</f>
        <v>0</v>
      </c>
    </row>
    <row r="21" spans="2:7" x14ac:dyDescent="0.2">
      <c r="B21" s="1" t="s">
        <v>112</v>
      </c>
      <c r="C21" s="6">
        <v>40</v>
      </c>
      <c r="D21" s="6">
        <f t="shared" si="2"/>
        <v>0</v>
      </c>
      <c r="E21" s="6">
        <v>60000</v>
      </c>
      <c r="F21" s="6">
        <f>+C28*12</f>
        <v>24000</v>
      </c>
      <c r="G21" s="6">
        <f t="shared" si="3"/>
        <v>60000</v>
      </c>
    </row>
    <row r="22" spans="2:7" x14ac:dyDescent="0.2">
      <c r="B22" s="1" t="s">
        <v>111</v>
      </c>
      <c r="C22" s="6">
        <v>60</v>
      </c>
      <c r="D22" s="6">
        <f t="shared" si="2"/>
        <v>0</v>
      </c>
      <c r="E22" s="6"/>
      <c r="F22" s="6"/>
      <c r="G22" s="6"/>
    </row>
    <row r="23" spans="2:7" x14ac:dyDescent="0.2">
      <c r="B23" s="10" t="s">
        <v>110</v>
      </c>
      <c r="C23" s="8">
        <v>20</v>
      </c>
      <c r="D23" s="8">
        <f t="shared" si="2"/>
        <v>0</v>
      </c>
      <c r="E23" s="8"/>
      <c r="F23" s="8"/>
      <c r="G23" s="8"/>
    </row>
    <row r="24" spans="2:7" x14ac:dyDescent="0.2">
      <c r="C24" s="6">
        <f>SUM(C19:C23)</f>
        <v>370</v>
      </c>
      <c r="D24" s="6">
        <f>SUM(D19:D23)</f>
        <v>0</v>
      </c>
      <c r="E24" s="6"/>
      <c r="F24" s="6"/>
      <c r="G24" s="6"/>
    </row>
    <row r="25" spans="2:7" x14ac:dyDescent="0.2">
      <c r="C25" s="6"/>
      <c r="D25" s="6"/>
      <c r="E25" s="6"/>
      <c r="F25" s="6"/>
    </row>
    <row r="26" spans="2:7" x14ac:dyDescent="0.2">
      <c r="B26" s="4">
        <v>45657</v>
      </c>
      <c r="C26" s="6"/>
      <c r="D26" s="6"/>
      <c r="E26" s="6"/>
      <c r="F26" s="6"/>
    </row>
    <row r="27" spans="2:7" x14ac:dyDescent="0.2">
      <c r="B27" s="4" t="s">
        <v>93</v>
      </c>
      <c r="C27" s="6"/>
      <c r="D27" s="6"/>
      <c r="E27" s="6"/>
      <c r="F27" s="6"/>
    </row>
    <row r="28" spans="2:7" x14ac:dyDescent="0.2">
      <c r="B28" s="1" t="s">
        <v>21</v>
      </c>
      <c r="C28" s="6">
        <v>2000</v>
      </c>
      <c r="D28" s="6" t="s">
        <v>67</v>
      </c>
      <c r="E28" s="6" t="s">
        <v>115</v>
      </c>
      <c r="F28" s="6"/>
    </row>
    <row r="29" spans="2:7" x14ac:dyDescent="0.2">
      <c r="B29" s="1" t="s">
        <v>113</v>
      </c>
      <c r="C29" s="6">
        <f>+C28*12</f>
        <v>24000</v>
      </c>
      <c r="D29" s="6" t="s">
        <v>67</v>
      </c>
      <c r="E29" s="6"/>
      <c r="F29" s="6"/>
    </row>
    <row r="30" spans="2:7" x14ac:dyDescent="0.2">
      <c r="C30" s="6"/>
      <c r="D30" s="6"/>
      <c r="E30" s="6"/>
      <c r="F30" s="6"/>
    </row>
    <row r="31" spans="2:7" x14ac:dyDescent="0.2">
      <c r="C31" s="6"/>
      <c r="E31" s="6" t="s">
        <v>126</v>
      </c>
      <c r="F31" s="24" t="s">
        <v>161</v>
      </c>
    </row>
    <row r="32" spans="2:7" x14ac:dyDescent="0.2">
      <c r="B32" s="1" t="s">
        <v>119</v>
      </c>
      <c r="C32" s="6"/>
      <c r="E32" s="6">
        <f>+C13*C15</f>
        <v>480000</v>
      </c>
      <c r="F32" s="1" t="str">
        <f ca="1">_xlfn.FORMULATEXT(E32)</f>
        <v>=+C13*C15</v>
      </c>
      <c r="G32" s="6"/>
    </row>
    <row r="33" spans="2:6" x14ac:dyDescent="0.2">
      <c r="B33" s="1" t="s">
        <v>120</v>
      </c>
      <c r="C33" s="6"/>
      <c r="E33" s="6">
        <f>-+C15*C12</f>
        <v>-20000</v>
      </c>
      <c r="F33" s="1" t="str">
        <f t="shared" ref="F33:F38" ca="1" si="4">_xlfn.FORMULATEXT(E33)</f>
        <v>=-+C15*C12</v>
      </c>
    </row>
    <row r="34" spans="2:6" x14ac:dyDescent="0.2">
      <c r="B34" s="1" t="s">
        <v>122</v>
      </c>
      <c r="C34" s="6"/>
      <c r="E34" s="6">
        <f>+E8*C28/(F19)</f>
        <v>6666.666666666667</v>
      </c>
      <c r="F34" s="1" t="str">
        <f t="shared" ca="1" si="4"/>
        <v>=+E8*C28/(F19)</v>
      </c>
    </row>
    <row r="35" spans="2:6" x14ac:dyDescent="0.2">
      <c r="B35" s="1" t="s">
        <v>159</v>
      </c>
      <c r="C35" s="6"/>
      <c r="E35" s="6">
        <f>+E9*C28/(F20)</f>
        <v>-15000</v>
      </c>
      <c r="F35" s="1" t="str">
        <f t="shared" ca="1" si="4"/>
        <v>=+E9*C28/(F20)</v>
      </c>
    </row>
    <row r="36" spans="2:6" x14ac:dyDescent="0.2">
      <c r="B36" s="1" t="s">
        <v>162</v>
      </c>
      <c r="C36" s="6"/>
      <c r="E36" s="6">
        <v>0</v>
      </c>
      <c r="F36" s="1" t="e">
        <f t="shared" ca="1" si="4"/>
        <v>#N/A</v>
      </c>
    </row>
    <row r="37" spans="2:6" x14ac:dyDescent="0.2">
      <c r="B37" s="1" t="s">
        <v>160</v>
      </c>
      <c r="C37" s="6"/>
      <c r="E37" s="6">
        <f>+E11*C28/(F21)</f>
        <v>-10000</v>
      </c>
      <c r="F37" s="1" t="str">
        <f t="shared" ca="1" si="4"/>
        <v>=+E11*C28/(F21)</v>
      </c>
    </row>
    <row r="38" spans="2:6" ht="12.75" thickBot="1" x14ac:dyDescent="0.25">
      <c r="B38" s="1" t="s">
        <v>26</v>
      </c>
      <c r="C38" s="6"/>
      <c r="E38" s="22">
        <f>SUM(E32:E37)</f>
        <v>441666.66666666669</v>
      </c>
      <c r="F38" s="1" t="str">
        <f t="shared" ca="1" si="4"/>
        <v>=SUM(E32:E37)</v>
      </c>
    </row>
    <row r="39" spans="2:6" ht="12.75" thickTop="1" x14ac:dyDescent="0.2"/>
  </sheetData>
  <hyperlinks>
    <hyperlink ref="A1" location="Main!A1" display="Main" xr:uid="{2F688C79-A437-43A2-9C91-81409862C2D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99DD-2C4E-43CD-84EF-A24403F35DF4}">
  <dimension ref="A1:H18"/>
  <sheetViews>
    <sheetView workbookViewId="0">
      <selection activeCell="G19" sqref="G19"/>
    </sheetView>
  </sheetViews>
  <sheetFormatPr defaultRowHeight="12" x14ac:dyDescent="0.2"/>
  <cols>
    <col min="1" max="16384" width="9.140625" style="1"/>
  </cols>
  <sheetData>
    <row r="1" spans="1:8" ht="15" x14ac:dyDescent="0.25">
      <c r="A1" s="2" t="s">
        <v>1</v>
      </c>
    </row>
    <row r="4" spans="1:8" x14ac:dyDescent="0.2">
      <c r="B4" s="1" t="s">
        <v>218</v>
      </c>
    </row>
    <row r="7" spans="1:8" x14ac:dyDescent="0.2">
      <c r="B7" s="1" t="s">
        <v>17</v>
      </c>
      <c r="C7" s="4">
        <v>46022</v>
      </c>
    </row>
    <row r="9" spans="1:8" x14ac:dyDescent="0.2">
      <c r="B9" s="1" t="s">
        <v>227</v>
      </c>
      <c r="C9" s="1" t="s">
        <v>219</v>
      </c>
      <c r="D9" s="1" t="s">
        <v>220</v>
      </c>
      <c r="E9" s="1" t="s">
        <v>221</v>
      </c>
      <c r="G9" s="1" t="s">
        <v>145</v>
      </c>
    </row>
    <row r="10" spans="1:8" x14ac:dyDescent="0.2">
      <c r="B10" s="1" t="s">
        <v>226</v>
      </c>
      <c r="C10" s="6">
        <v>700</v>
      </c>
      <c r="D10" s="12">
        <v>1.2</v>
      </c>
      <c r="E10" s="5">
        <v>0.4</v>
      </c>
      <c r="F10" s="6">
        <f>+C10*D10</f>
        <v>840</v>
      </c>
      <c r="G10" s="6">
        <f>+C10*D10*(1-E10)</f>
        <v>504</v>
      </c>
    </row>
    <row r="11" spans="1:8" x14ac:dyDescent="0.2">
      <c r="B11" s="1" t="s">
        <v>225</v>
      </c>
      <c r="C11" s="6">
        <v>6200</v>
      </c>
      <c r="D11" s="12">
        <v>0.65</v>
      </c>
      <c r="E11" s="5">
        <v>0.15</v>
      </c>
      <c r="F11" s="6">
        <f t="shared" ref="F11:F14" si="0">+C11*D11</f>
        <v>4030</v>
      </c>
      <c r="G11" s="6">
        <f t="shared" ref="G11:G14" si="1">+C11*D11*(1-E11)</f>
        <v>3425.5</v>
      </c>
    </row>
    <row r="12" spans="1:8" x14ac:dyDescent="0.2">
      <c r="B12" s="1" t="s">
        <v>224</v>
      </c>
      <c r="C12" s="6">
        <v>4200</v>
      </c>
      <c r="D12" s="12">
        <v>1.4</v>
      </c>
      <c r="E12" s="5">
        <v>0.24</v>
      </c>
      <c r="F12" s="6">
        <f t="shared" si="0"/>
        <v>5880</v>
      </c>
      <c r="G12" s="6">
        <f t="shared" si="1"/>
        <v>4468.8</v>
      </c>
    </row>
    <row r="13" spans="1:8" x14ac:dyDescent="0.2">
      <c r="B13" s="1" t="s">
        <v>223</v>
      </c>
      <c r="C13" s="6">
        <v>1950</v>
      </c>
      <c r="D13" s="12">
        <v>2.9</v>
      </c>
      <c r="E13" s="5">
        <v>0.2</v>
      </c>
      <c r="F13" s="6">
        <f t="shared" si="0"/>
        <v>5655</v>
      </c>
      <c r="G13" s="6">
        <f t="shared" si="1"/>
        <v>4524</v>
      </c>
    </row>
    <row r="14" spans="1:8" x14ac:dyDescent="0.2">
      <c r="B14" s="1" t="s">
        <v>222</v>
      </c>
      <c r="C14" s="6">
        <v>610</v>
      </c>
      <c r="D14" s="12">
        <v>2.1</v>
      </c>
      <c r="E14" s="5">
        <v>0.18</v>
      </c>
      <c r="F14" s="6">
        <f t="shared" si="0"/>
        <v>1281</v>
      </c>
      <c r="G14" s="6">
        <f t="shared" si="1"/>
        <v>1050.42</v>
      </c>
    </row>
    <row r="15" spans="1:8" x14ac:dyDescent="0.2">
      <c r="G15" s="6">
        <f>SUM(G10:G14)</f>
        <v>13972.72</v>
      </c>
    </row>
    <row r="16" spans="1:8" x14ac:dyDescent="0.2">
      <c r="B16" s="1" t="s">
        <v>228</v>
      </c>
      <c r="G16" s="1">
        <f>+-0.5*G10</f>
        <v>-252</v>
      </c>
      <c r="H16" s="26" t="s">
        <v>229</v>
      </c>
    </row>
    <row r="17" spans="2:7" ht="12.75" thickBot="1" x14ac:dyDescent="0.25">
      <c r="B17" s="1" t="s">
        <v>108</v>
      </c>
      <c r="G17" s="9">
        <f>SUM(G15:G16)</f>
        <v>13720.72</v>
      </c>
    </row>
    <row r="18" spans="2:7" ht="12.75" thickTop="1" x14ac:dyDescent="0.2"/>
  </sheetData>
  <hyperlinks>
    <hyperlink ref="A1" location="Main!A1" display="Main" xr:uid="{867D28EE-F81D-4BE1-9BF3-D33FB08CBC1D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FE2A-CA24-488B-9182-96EC08616877}">
  <dimension ref="A1:F113"/>
  <sheetViews>
    <sheetView topLeftCell="A47" zoomScale="145" zoomScaleNormal="145" workbookViewId="0">
      <selection activeCell="D76" sqref="D76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1</v>
      </c>
    </row>
    <row r="3" spans="1:6" x14ac:dyDescent="0.2">
      <c r="B3" s="1" t="s">
        <v>231</v>
      </c>
      <c r="C3" s="24" t="s">
        <v>272</v>
      </c>
    </row>
    <row r="4" spans="1:6" x14ac:dyDescent="0.2">
      <c r="B4" s="1" t="s">
        <v>17</v>
      </c>
      <c r="C4" s="4">
        <v>45596</v>
      </c>
    </row>
    <row r="7" spans="1:6" x14ac:dyDescent="0.2">
      <c r="B7" s="27" t="s">
        <v>236</v>
      </c>
      <c r="C7" s="27"/>
      <c r="D7" s="27"/>
      <c r="E7" s="27"/>
      <c r="F7" s="27"/>
    </row>
    <row r="8" spans="1:6" x14ac:dyDescent="0.2">
      <c r="B8" s="27"/>
      <c r="C8" s="27"/>
      <c r="D8" s="27"/>
      <c r="E8" s="27"/>
      <c r="F8" s="27"/>
    </row>
    <row r="9" spans="1:6" x14ac:dyDescent="0.2">
      <c r="B9" s="27" t="s">
        <v>257</v>
      </c>
      <c r="C9" s="27"/>
      <c r="D9" s="27"/>
      <c r="E9" s="27"/>
      <c r="F9" s="27"/>
    </row>
    <row r="10" spans="1:6" x14ac:dyDescent="0.2">
      <c r="B10" s="27"/>
      <c r="C10" s="27"/>
      <c r="D10" s="27"/>
      <c r="E10" s="27"/>
      <c r="F10" s="27"/>
    </row>
    <row r="11" spans="1:6" x14ac:dyDescent="0.2">
      <c r="B11" s="27" t="s">
        <v>258</v>
      </c>
      <c r="C11" s="27"/>
      <c r="D11" s="27"/>
      <c r="E11" s="27"/>
      <c r="F11" s="27"/>
    </row>
    <row r="12" spans="1:6" x14ac:dyDescent="0.2">
      <c r="B12" s="27"/>
      <c r="C12" s="27"/>
      <c r="D12" s="27"/>
      <c r="E12" s="27"/>
      <c r="F12" s="27"/>
    </row>
    <row r="13" spans="1:6" x14ac:dyDescent="0.2">
      <c r="B13" s="27"/>
      <c r="C13" s="27" t="s">
        <v>232</v>
      </c>
      <c r="D13" s="27" t="s">
        <v>235</v>
      </c>
      <c r="E13" s="27" t="s">
        <v>241</v>
      </c>
      <c r="F13" s="27"/>
    </row>
    <row r="14" spans="1:6" x14ac:dyDescent="0.2">
      <c r="B14" s="27" t="s">
        <v>91</v>
      </c>
      <c r="C14" s="27">
        <v>8</v>
      </c>
      <c r="D14" s="27">
        <v>9</v>
      </c>
      <c r="E14" s="27"/>
      <c r="F14" s="27"/>
    </row>
    <row r="15" spans="1:6" x14ac:dyDescent="0.2">
      <c r="B15" s="27" t="s">
        <v>237</v>
      </c>
      <c r="C15" s="27">
        <v>10</v>
      </c>
      <c r="D15" s="27">
        <v>11</v>
      </c>
      <c r="E15" s="27"/>
      <c r="F15" s="27"/>
    </row>
    <row r="16" spans="1:6" x14ac:dyDescent="0.2">
      <c r="B16" s="27" t="s">
        <v>238</v>
      </c>
      <c r="C16" s="27">
        <v>12</v>
      </c>
      <c r="D16" s="27">
        <v>12</v>
      </c>
      <c r="E16" s="27"/>
      <c r="F16" s="27"/>
    </row>
    <row r="17" spans="2:6" x14ac:dyDescent="0.2">
      <c r="B17" s="27" t="s">
        <v>239</v>
      </c>
      <c r="C17" s="27">
        <v>1</v>
      </c>
      <c r="D17" s="27">
        <v>1</v>
      </c>
      <c r="E17" s="27"/>
      <c r="F17" s="27"/>
    </row>
    <row r="18" spans="2:6" ht="12.75" thickBot="1" x14ac:dyDescent="0.25">
      <c r="B18" s="27" t="s">
        <v>240</v>
      </c>
      <c r="C18" s="3">
        <f>SUM(C14:C17)</f>
        <v>31</v>
      </c>
      <c r="D18" s="3">
        <f>SUM(D14:D17)</f>
        <v>33</v>
      </c>
      <c r="E18" s="27"/>
      <c r="F18" s="27"/>
    </row>
    <row r="19" spans="2:6" ht="12.75" thickTop="1" x14ac:dyDescent="0.2">
      <c r="B19" s="27"/>
      <c r="C19" s="27"/>
      <c r="D19" s="27"/>
      <c r="E19" s="27"/>
      <c r="F19" s="27"/>
    </row>
    <row r="20" spans="2:6" x14ac:dyDescent="0.2">
      <c r="B20" s="27" t="s">
        <v>241</v>
      </c>
      <c r="C20" s="27"/>
      <c r="D20" s="27"/>
      <c r="E20" s="27"/>
      <c r="F20" s="27"/>
    </row>
    <row r="21" spans="2:6" x14ac:dyDescent="0.2">
      <c r="B21" s="27" t="s">
        <v>242</v>
      </c>
      <c r="C21" s="27"/>
      <c r="D21" s="27"/>
      <c r="E21" s="27"/>
      <c r="F21" s="27"/>
    </row>
    <row r="22" spans="2:6" x14ac:dyDescent="0.2">
      <c r="B22" s="27" t="s">
        <v>243</v>
      </c>
      <c r="C22" s="27"/>
      <c r="D22" s="27"/>
      <c r="E22" s="27"/>
      <c r="F22" s="27"/>
    </row>
    <row r="23" spans="2:6" x14ac:dyDescent="0.2">
      <c r="B23" s="28">
        <v>45536</v>
      </c>
      <c r="C23" s="28"/>
      <c r="D23" s="27"/>
      <c r="E23" s="27"/>
      <c r="F23" s="27"/>
    </row>
    <row r="24" spans="2:6" x14ac:dyDescent="0.2">
      <c r="B24" s="29">
        <f>YEARFRAC(B23,C4)*12</f>
        <v>2</v>
      </c>
      <c r="C24" s="28" t="s">
        <v>244</v>
      </c>
      <c r="D24" s="27"/>
      <c r="E24" s="27"/>
      <c r="F24" s="27"/>
    </row>
    <row r="25" spans="2:6" x14ac:dyDescent="0.2">
      <c r="B25" s="28">
        <v>45505</v>
      </c>
      <c r="C25" s="27"/>
      <c r="D25" s="27"/>
      <c r="E25" s="27"/>
      <c r="F25" s="27"/>
    </row>
    <row r="26" spans="2:6" x14ac:dyDescent="0.2">
      <c r="B26" s="29">
        <f>YEARFRAC(B25,C4)*12</f>
        <v>3</v>
      </c>
      <c r="C26" s="27" t="s">
        <v>245</v>
      </c>
      <c r="D26" s="27"/>
      <c r="E26" s="27"/>
      <c r="F26" s="27"/>
    </row>
    <row r="27" spans="2:6" x14ac:dyDescent="0.2">
      <c r="B27" s="29"/>
      <c r="C27" s="27"/>
      <c r="D27" s="27"/>
      <c r="E27" s="27"/>
      <c r="F27" s="27"/>
    </row>
    <row r="28" spans="2:6" x14ac:dyDescent="0.2">
      <c r="B28" s="29" t="s">
        <v>259</v>
      </c>
      <c r="C28" s="27">
        <f>+C18</f>
        <v>31</v>
      </c>
      <c r="D28" s="27"/>
      <c r="E28" s="27"/>
      <c r="F28" s="27"/>
    </row>
    <row r="29" spans="2:6" x14ac:dyDescent="0.2">
      <c r="B29" s="29" t="s">
        <v>260</v>
      </c>
      <c r="C29" s="27">
        <f>-C17</f>
        <v>-1</v>
      </c>
      <c r="D29" s="27"/>
      <c r="E29" s="27"/>
      <c r="F29" s="27"/>
    </row>
    <row r="30" spans="2:6" x14ac:dyDescent="0.2">
      <c r="B30" s="29" t="s">
        <v>91</v>
      </c>
      <c r="C30" s="27">
        <f>+D96/(C106*B24)</f>
        <v>0.75</v>
      </c>
      <c r="D30" s="27"/>
      <c r="E30" s="27"/>
      <c r="F30" s="27"/>
    </row>
    <row r="31" spans="2:6" x14ac:dyDescent="0.2">
      <c r="B31" s="29" t="s">
        <v>261</v>
      </c>
      <c r="C31" s="27">
        <f>+E97/(C106*B26)</f>
        <v>0.45</v>
      </c>
      <c r="D31" s="27"/>
      <c r="E31" s="27"/>
      <c r="F31" s="27"/>
    </row>
    <row r="32" spans="2:6" x14ac:dyDescent="0.2">
      <c r="B32" s="29" t="s">
        <v>153</v>
      </c>
      <c r="C32" s="27">
        <f>+E98/(3*C106)</f>
        <v>-0.4</v>
      </c>
      <c r="D32" s="27"/>
      <c r="E32" s="27"/>
      <c r="F32" s="27"/>
    </row>
    <row r="33" spans="2:6" ht="12.75" thickBot="1" x14ac:dyDescent="0.25">
      <c r="B33" s="29" t="s">
        <v>262</v>
      </c>
      <c r="C33" s="3">
        <f>SUM(C28:C32)</f>
        <v>30.8</v>
      </c>
      <c r="D33" s="27"/>
      <c r="E33" s="27"/>
      <c r="F33" s="27"/>
    </row>
    <row r="34" spans="2:6" ht="12.75" thickTop="1" x14ac:dyDescent="0.2">
      <c r="B34" s="29"/>
      <c r="C34" s="27"/>
      <c r="D34" s="27"/>
      <c r="E34" s="27"/>
      <c r="F34" s="27"/>
    </row>
    <row r="35" spans="2:6" x14ac:dyDescent="0.2">
      <c r="B35" s="29" t="s">
        <v>86</v>
      </c>
      <c r="C35" s="27"/>
      <c r="D35" s="27"/>
      <c r="E35" s="27"/>
      <c r="F35" s="27"/>
    </row>
    <row r="36" spans="2:6" x14ac:dyDescent="0.2">
      <c r="B36" s="29" t="s">
        <v>251</v>
      </c>
      <c r="C36" s="27">
        <v>38</v>
      </c>
      <c r="D36" s="27"/>
      <c r="E36" s="27"/>
      <c r="F36" s="27"/>
    </row>
    <row r="37" spans="2:6" x14ac:dyDescent="0.2">
      <c r="B37" s="29" t="s">
        <v>263</v>
      </c>
      <c r="C37" s="27">
        <v>-1</v>
      </c>
      <c r="D37" s="27"/>
      <c r="E37" s="27"/>
      <c r="F37" s="27"/>
    </row>
    <row r="38" spans="2:6" ht="12.75" thickBot="1" x14ac:dyDescent="0.25">
      <c r="B38" s="29"/>
      <c r="C38" s="3">
        <f>SUM(C36:C37)</f>
        <v>37</v>
      </c>
      <c r="D38" s="27"/>
      <c r="E38" s="27"/>
      <c r="F38" s="27"/>
    </row>
    <row r="39" spans="2:6" ht="12.75" thickTop="1" x14ac:dyDescent="0.2">
      <c r="B39" s="29"/>
      <c r="C39" s="27"/>
      <c r="D39" s="27"/>
      <c r="E39" s="27"/>
      <c r="F39" s="27"/>
    </row>
    <row r="40" spans="2:6" x14ac:dyDescent="0.2">
      <c r="B40" s="29" t="s">
        <v>264</v>
      </c>
      <c r="C40" s="27"/>
      <c r="D40" s="27"/>
      <c r="E40" s="27"/>
      <c r="F40" s="27"/>
    </row>
    <row r="41" spans="2:6" x14ac:dyDescent="0.2">
      <c r="B41" s="29"/>
      <c r="C41" s="27"/>
      <c r="D41" s="27"/>
      <c r="E41" s="27"/>
      <c r="F41" s="27"/>
    </row>
    <row r="42" spans="2:6" x14ac:dyDescent="0.2">
      <c r="B42" s="29" t="s">
        <v>265</v>
      </c>
      <c r="C42" s="29">
        <f>+C102</f>
        <v>2000</v>
      </c>
      <c r="D42" s="27"/>
      <c r="E42" s="27"/>
      <c r="F42" s="27"/>
    </row>
    <row r="43" spans="2:6" x14ac:dyDescent="0.2">
      <c r="B43" s="29" t="s">
        <v>145</v>
      </c>
      <c r="C43" s="27">
        <f>+C33</f>
        <v>30.8</v>
      </c>
      <c r="D43" s="27"/>
      <c r="E43" s="27"/>
      <c r="F43" s="27"/>
    </row>
    <row r="44" spans="2:6" x14ac:dyDescent="0.2">
      <c r="B44" s="29"/>
      <c r="C44" s="29">
        <f>+C42*C43</f>
        <v>61600</v>
      </c>
      <c r="D44" s="27"/>
      <c r="E44" s="27"/>
      <c r="F44" s="27"/>
    </row>
    <row r="45" spans="2:6" x14ac:dyDescent="0.2">
      <c r="B45" s="29"/>
      <c r="C45" s="27"/>
      <c r="D45" s="27"/>
      <c r="E45" s="27"/>
      <c r="F45" s="27"/>
    </row>
    <row r="46" spans="2:6" x14ac:dyDescent="0.2">
      <c r="B46" s="29" t="s">
        <v>87</v>
      </c>
      <c r="C46" s="27"/>
      <c r="D46" s="27"/>
      <c r="E46" s="27"/>
      <c r="F46" s="27"/>
    </row>
    <row r="47" spans="2:6" x14ac:dyDescent="0.2">
      <c r="B47" s="29" t="s">
        <v>266</v>
      </c>
      <c r="C47" s="27"/>
      <c r="D47" s="27"/>
      <c r="E47" s="27"/>
      <c r="F47" s="27"/>
    </row>
    <row r="48" spans="2:6" x14ac:dyDescent="0.2">
      <c r="B48" s="29"/>
      <c r="C48" s="27"/>
      <c r="D48" s="27"/>
      <c r="E48" s="27"/>
      <c r="F48" s="27"/>
    </row>
    <row r="49" spans="2:6" x14ac:dyDescent="0.2">
      <c r="B49" s="29"/>
      <c r="C49" s="27" t="s">
        <v>267</v>
      </c>
      <c r="D49" s="27"/>
      <c r="E49" s="27"/>
      <c r="F49" s="27"/>
    </row>
    <row r="50" spans="2:6" x14ac:dyDescent="0.2">
      <c r="B50" s="29" t="s">
        <v>91</v>
      </c>
      <c r="C50" s="30">
        <v>1</v>
      </c>
      <c r="D50" s="27">
        <f>+C14+C30</f>
        <v>8.75</v>
      </c>
      <c r="E50" s="31">
        <f>+C50*D50</f>
        <v>8.75</v>
      </c>
      <c r="F50" s="27"/>
    </row>
    <row r="51" spans="2:6" x14ac:dyDescent="0.2">
      <c r="B51" s="29" t="s">
        <v>69</v>
      </c>
      <c r="C51" s="30">
        <v>0.5</v>
      </c>
      <c r="D51" s="27">
        <f>+C15+C31</f>
        <v>10.45</v>
      </c>
      <c r="E51" s="31">
        <f t="shared" ref="E51:E52" si="0">+C51*D51</f>
        <v>5.2249999999999996</v>
      </c>
      <c r="F51" s="27"/>
    </row>
    <row r="52" spans="2:6" x14ac:dyDescent="0.2">
      <c r="B52" s="29" t="s">
        <v>153</v>
      </c>
      <c r="C52" s="30">
        <v>0.5</v>
      </c>
      <c r="D52" s="27">
        <f>+C16+C32</f>
        <v>11.6</v>
      </c>
      <c r="E52" s="31">
        <f t="shared" si="0"/>
        <v>5.8</v>
      </c>
      <c r="F52" s="27"/>
    </row>
    <row r="53" spans="2:6" ht="12.75" thickBot="1" x14ac:dyDescent="0.25">
      <c r="B53" s="29"/>
      <c r="C53" s="27"/>
      <c r="D53" s="27"/>
      <c r="E53" s="32">
        <f>SUM(E50:E52)</f>
        <v>19.774999999999999</v>
      </c>
      <c r="F53" s="27"/>
    </row>
    <row r="54" spans="2:6" ht="12.75" thickTop="1" x14ac:dyDescent="0.2">
      <c r="B54" s="29"/>
      <c r="C54" s="27"/>
      <c r="D54" s="27"/>
      <c r="E54" s="31"/>
      <c r="F54" s="27"/>
    </row>
    <row r="55" spans="2:6" x14ac:dyDescent="0.2">
      <c r="B55" s="29" t="s">
        <v>146</v>
      </c>
      <c r="C55" s="27"/>
      <c r="D55" s="27"/>
      <c r="E55" s="31">
        <v>30</v>
      </c>
      <c r="F55" s="27"/>
    </row>
    <row r="56" spans="2:6" x14ac:dyDescent="0.2">
      <c r="B56" s="29" t="s">
        <v>234</v>
      </c>
      <c r="C56" s="27"/>
      <c r="D56" s="27"/>
      <c r="E56" s="31">
        <f>-C17</f>
        <v>-1</v>
      </c>
      <c r="F56" s="27"/>
    </row>
    <row r="57" spans="2:6" x14ac:dyDescent="0.2">
      <c r="B57" s="29" t="s">
        <v>269</v>
      </c>
      <c r="C57" s="27"/>
      <c r="D57" s="27"/>
      <c r="E57" s="31">
        <f>+(1-C51)*-D51</f>
        <v>-5.2249999999999996</v>
      </c>
      <c r="F57" s="27"/>
    </row>
    <row r="58" spans="2:6" x14ac:dyDescent="0.2">
      <c r="B58" s="29" t="s">
        <v>268</v>
      </c>
      <c r="C58" s="27"/>
      <c r="D58" s="27"/>
      <c r="E58" s="31">
        <f>+(1-C52)*-D52</f>
        <v>-5.8</v>
      </c>
      <c r="F58" s="27"/>
    </row>
    <row r="59" spans="2:6" ht="12.75" thickBot="1" x14ac:dyDescent="0.25">
      <c r="B59" s="29"/>
      <c r="C59" s="27"/>
      <c r="D59" s="27"/>
      <c r="E59" s="32">
        <f>SUM(E55:E58)</f>
        <v>17.974999999999998</v>
      </c>
      <c r="F59" s="27"/>
    </row>
    <row r="60" spans="2:6" ht="12.75" thickTop="1" x14ac:dyDescent="0.2">
      <c r="B60" s="29"/>
      <c r="C60" s="27"/>
      <c r="D60" s="27"/>
      <c r="E60" s="31"/>
      <c r="F60" s="27"/>
    </row>
    <row r="61" spans="2:6" x14ac:dyDescent="0.2">
      <c r="B61" s="1" t="s">
        <v>252</v>
      </c>
    </row>
    <row r="62" spans="2:6" x14ac:dyDescent="0.2">
      <c r="B62" s="1" t="s">
        <v>211</v>
      </c>
      <c r="E62" s="1">
        <v>2</v>
      </c>
    </row>
    <row r="63" spans="2:6" x14ac:dyDescent="0.2">
      <c r="E63" s="1">
        <f>+E62*E102</f>
        <v>5000</v>
      </c>
    </row>
    <row r="64" spans="2:6" x14ac:dyDescent="0.2">
      <c r="B64" s="1" t="s">
        <v>86</v>
      </c>
      <c r="E64" s="1">
        <v>0</v>
      </c>
    </row>
    <row r="65" spans="2:6" x14ac:dyDescent="0.2">
      <c r="B65" s="1" t="s">
        <v>253</v>
      </c>
      <c r="E65" s="1">
        <f>+E64-E63</f>
        <v>-5000</v>
      </c>
    </row>
    <row r="67" spans="2:6" x14ac:dyDescent="0.2">
      <c r="B67" s="1" t="s">
        <v>254</v>
      </c>
    </row>
    <row r="68" spans="2:6" x14ac:dyDescent="0.2">
      <c r="B68" s="1" t="s">
        <v>255</v>
      </c>
    </row>
    <row r="69" spans="2:6" x14ac:dyDescent="0.2">
      <c r="B69" s="1" t="s">
        <v>256</v>
      </c>
    </row>
    <row r="70" spans="2:6" x14ac:dyDescent="0.2">
      <c r="B70" s="29"/>
      <c r="C70" s="27"/>
      <c r="D70" s="27"/>
      <c r="E70" s="31"/>
      <c r="F70" s="27"/>
    </row>
    <row r="71" spans="2:6" x14ac:dyDescent="0.2">
      <c r="B71" s="29" t="s">
        <v>235</v>
      </c>
      <c r="C71" s="27"/>
      <c r="D71" s="27"/>
      <c r="E71" s="31"/>
      <c r="F71" s="27"/>
    </row>
    <row r="72" spans="2:6" x14ac:dyDescent="0.2">
      <c r="B72" s="33" t="s">
        <v>87</v>
      </c>
      <c r="C72" s="27"/>
      <c r="D72" s="27"/>
      <c r="E72" s="31"/>
      <c r="F72" s="27"/>
    </row>
    <row r="73" spans="2:6" x14ac:dyDescent="0.2">
      <c r="B73" s="1" t="s">
        <v>145</v>
      </c>
      <c r="C73" s="27" t="s">
        <v>267</v>
      </c>
      <c r="D73" s="27"/>
      <c r="E73" s="27"/>
      <c r="F73" s="27"/>
    </row>
    <row r="74" spans="2:6" x14ac:dyDescent="0.2">
      <c r="B74" s="29" t="s">
        <v>91</v>
      </c>
      <c r="C74" s="30">
        <v>0.5</v>
      </c>
      <c r="D74" s="27">
        <f>+D14</f>
        <v>9</v>
      </c>
      <c r="E74" s="31">
        <f>+C74*D74</f>
        <v>4.5</v>
      </c>
      <c r="F74" s="27"/>
    </row>
    <row r="75" spans="2:6" x14ac:dyDescent="0.2">
      <c r="B75" s="29" t="s">
        <v>69</v>
      </c>
      <c r="C75" s="30">
        <v>0.25</v>
      </c>
      <c r="D75" s="27">
        <f>+D15</f>
        <v>11</v>
      </c>
      <c r="E75" s="31">
        <f t="shared" ref="E75:E76" si="1">+C75*D75</f>
        <v>2.75</v>
      </c>
      <c r="F75" s="27"/>
    </row>
    <row r="76" spans="2:6" x14ac:dyDescent="0.2">
      <c r="B76" s="29" t="s">
        <v>153</v>
      </c>
      <c r="C76" s="30">
        <v>0.25</v>
      </c>
      <c r="D76" s="27">
        <f>+D16</f>
        <v>12</v>
      </c>
      <c r="E76" s="31">
        <f t="shared" si="1"/>
        <v>3</v>
      </c>
      <c r="F76" s="27"/>
    </row>
    <row r="77" spans="2:6" ht="12.75" thickBot="1" x14ac:dyDescent="0.25">
      <c r="B77" s="29"/>
      <c r="C77" s="27"/>
      <c r="D77" s="27"/>
      <c r="E77" s="32">
        <f>SUM(E74:E76)</f>
        <v>10.25</v>
      </c>
      <c r="F77" s="27"/>
    </row>
    <row r="78" spans="2:6" ht="12.75" thickTop="1" x14ac:dyDescent="0.2">
      <c r="B78" s="29"/>
      <c r="C78" s="27"/>
      <c r="D78" s="27"/>
      <c r="E78" s="31"/>
      <c r="F78" s="27"/>
    </row>
    <row r="79" spans="2:6" x14ac:dyDescent="0.2">
      <c r="B79" s="29" t="s">
        <v>86</v>
      </c>
      <c r="C79" s="27"/>
      <c r="D79" s="27"/>
      <c r="E79" s="31"/>
      <c r="F79" s="27"/>
    </row>
    <row r="80" spans="2:6" x14ac:dyDescent="0.2">
      <c r="B80" s="29" t="s">
        <v>146</v>
      </c>
      <c r="C80" s="27"/>
      <c r="D80" s="27"/>
      <c r="E80" s="31">
        <v>50</v>
      </c>
      <c r="F80" s="27"/>
    </row>
    <row r="81" spans="2:6" x14ac:dyDescent="0.2">
      <c r="B81" s="29" t="s">
        <v>234</v>
      </c>
      <c r="C81" s="27"/>
      <c r="D81" s="27"/>
      <c r="E81" s="31">
        <f>-+D17</f>
        <v>-1</v>
      </c>
      <c r="F81" s="27"/>
    </row>
    <row r="82" spans="2:6" x14ac:dyDescent="0.2">
      <c r="B82" s="29" t="s">
        <v>270</v>
      </c>
      <c r="C82" s="27"/>
      <c r="D82" s="27"/>
      <c r="E82" s="31">
        <f>+(1-C74)*-D74</f>
        <v>-4.5</v>
      </c>
      <c r="F82" s="27"/>
    </row>
    <row r="83" spans="2:6" x14ac:dyDescent="0.2">
      <c r="B83" s="29" t="s">
        <v>269</v>
      </c>
      <c r="C83" s="27"/>
      <c r="D83" s="27"/>
      <c r="E83" s="31">
        <f>+(1-C75)*-D75</f>
        <v>-8.25</v>
      </c>
      <c r="F83" s="27"/>
    </row>
    <row r="84" spans="2:6" x14ac:dyDescent="0.2">
      <c r="B84" s="29" t="s">
        <v>268</v>
      </c>
      <c r="C84" s="27"/>
      <c r="D84" s="27"/>
      <c r="E84" s="31">
        <f>+(1-C76)*-D76</f>
        <v>-9</v>
      </c>
      <c r="F84" s="27"/>
    </row>
    <row r="85" spans="2:6" ht="12.75" thickBot="1" x14ac:dyDescent="0.25">
      <c r="B85" s="29"/>
      <c r="C85" s="27"/>
      <c r="D85" s="27"/>
      <c r="E85" s="32">
        <f>SUM(E80:E84)</f>
        <v>27.25</v>
      </c>
      <c r="F85" s="27"/>
    </row>
    <row r="86" spans="2:6" ht="12.75" thickTop="1" x14ac:dyDescent="0.2">
      <c r="B86" s="29"/>
      <c r="C86" s="27"/>
      <c r="D86" s="27"/>
      <c r="E86" s="27"/>
      <c r="F86" s="27"/>
    </row>
    <row r="87" spans="2:6" x14ac:dyDescent="0.2">
      <c r="B87" s="29" t="s">
        <v>271</v>
      </c>
      <c r="C87" s="27"/>
      <c r="D87" s="27"/>
      <c r="E87" s="29">
        <f>+D103</f>
        <v>3000</v>
      </c>
      <c r="F87" s="27"/>
    </row>
    <row r="88" spans="2:6" x14ac:dyDescent="0.2">
      <c r="B88" s="29"/>
      <c r="C88" s="27"/>
      <c r="D88" s="27"/>
      <c r="E88" s="29">
        <f>+E77*E87</f>
        <v>30750</v>
      </c>
      <c r="F88" s="27"/>
    </row>
    <row r="89" spans="2:6" x14ac:dyDescent="0.2">
      <c r="B89" s="29"/>
      <c r="C89" s="27"/>
      <c r="D89" s="27"/>
      <c r="E89" s="29"/>
      <c r="F89" s="27"/>
    </row>
    <row r="90" spans="2:6" x14ac:dyDescent="0.2">
      <c r="B90" s="29" t="s">
        <v>91</v>
      </c>
      <c r="C90" s="27"/>
      <c r="D90" s="27"/>
      <c r="E90" s="29">
        <f>+D104</f>
        <v>1000</v>
      </c>
      <c r="F90" s="27"/>
    </row>
    <row r="91" spans="2:6" x14ac:dyDescent="0.2">
      <c r="B91" s="29"/>
      <c r="C91" s="27"/>
      <c r="D91" s="27"/>
      <c r="E91" s="27">
        <f>+D74</f>
        <v>9</v>
      </c>
      <c r="F91" s="27"/>
    </row>
    <row r="92" spans="2:6" x14ac:dyDescent="0.2">
      <c r="B92" s="29"/>
      <c r="C92" s="27"/>
      <c r="D92" s="27"/>
      <c r="E92" s="29">
        <f>+E90*E91</f>
        <v>9000</v>
      </c>
      <c r="F92" s="27"/>
    </row>
    <row r="93" spans="2:6" x14ac:dyDescent="0.2">
      <c r="B93" s="29"/>
      <c r="C93" s="27"/>
      <c r="D93" s="27"/>
      <c r="E93" s="27"/>
      <c r="F93" s="27"/>
    </row>
    <row r="94" spans="2:6" x14ac:dyDescent="0.2">
      <c r="B94" s="29"/>
      <c r="C94" s="27"/>
      <c r="D94" s="27"/>
      <c r="E94" s="27"/>
      <c r="F94" s="27"/>
    </row>
    <row r="95" spans="2:6" x14ac:dyDescent="0.2">
      <c r="B95" s="27" t="s">
        <v>246</v>
      </c>
      <c r="C95" s="27"/>
      <c r="D95" s="27"/>
      <c r="E95" s="27"/>
      <c r="F95" s="27"/>
    </row>
    <row r="96" spans="2:6" x14ac:dyDescent="0.2">
      <c r="B96" s="27" t="str" cm="1">
        <f t="array" ref="B96:B99">+B14:B17</f>
        <v>RM</v>
      </c>
      <c r="C96" s="27">
        <v>0</v>
      </c>
      <c r="D96" s="27">
        <v>6000</v>
      </c>
      <c r="E96" s="27">
        <v>0</v>
      </c>
      <c r="F96" s="27">
        <v>150</v>
      </c>
    </row>
    <row r="97" spans="2:6" x14ac:dyDescent="0.2">
      <c r="B97" s="27" t="str">
        <v>D lab</v>
      </c>
      <c r="C97" s="27">
        <v>0</v>
      </c>
      <c r="D97" s="27">
        <v>0</v>
      </c>
      <c r="E97" s="27">
        <v>5400</v>
      </c>
      <c r="F97" s="27">
        <v>100</v>
      </c>
    </row>
    <row r="98" spans="2:6" x14ac:dyDescent="0.2">
      <c r="B98" s="27" t="str">
        <v>prod o/h</v>
      </c>
      <c r="C98" s="27">
        <v>0</v>
      </c>
      <c r="D98" s="27">
        <v>0</v>
      </c>
      <c r="E98" s="27">
        <v>-4800</v>
      </c>
      <c r="F98" s="27">
        <v>-120</v>
      </c>
    </row>
    <row r="99" spans="2:6" x14ac:dyDescent="0.2">
      <c r="B99" s="27" t="str">
        <v>dist. Cost</v>
      </c>
      <c r="C99" s="27">
        <v>0</v>
      </c>
      <c r="D99" s="27">
        <v>0</v>
      </c>
      <c r="E99" s="27">
        <v>0</v>
      </c>
      <c r="F99" s="27">
        <v>-50</v>
      </c>
    </row>
    <row r="100" spans="2:6" x14ac:dyDescent="0.2">
      <c r="B100" s="27"/>
      <c r="C100" s="27"/>
      <c r="D100" s="27"/>
      <c r="E100" s="27"/>
      <c r="F100" s="27"/>
    </row>
    <row r="101" spans="2:6" x14ac:dyDescent="0.2">
      <c r="B101" s="27" t="s">
        <v>247</v>
      </c>
      <c r="C101" s="27" t="s">
        <v>233</v>
      </c>
      <c r="D101" s="27" t="s">
        <v>235</v>
      </c>
      <c r="E101" s="27" t="s">
        <v>248</v>
      </c>
      <c r="F101" s="27"/>
    </row>
    <row r="102" spans="2:6" x14ac:dyDescent="0.2">
      <c r="B102" s="27" t="s">
        <v>66</v>
      </c>
      <c r="C102" s="29">
        <v>2000</v>
      </c>
      <c r="D102" s="29">
        <v>0</v>
      </c>
      <c r="E102" s="29">
        <v>2500</v>
      </c>
      <c r="F102" s="27"/>
    </row>
    <row r="103" spans="2:6" x14ac:dyDescent="0.2">
      <c r="B103" s="27" t="s">
        <v>87</v>
      </c>
      <c r="C103" s="29">
        <v>1000</v>
      </c>
      <c r="D103" s="29">
        <v>3000</v>
      </c>
      <c r="E103" s="29">
        <v>0</v>
      </c>
      <c r="F103" s="27"/>
    </row>
    <row r="104" spans="2:6" x14ac:dyDescent="0.2">
      <c r="B104" s="27" t="s">
        <v>91</v>
      </c>
      <c r="C104" s="29">
        <v>0</v>
      </c>
      <c r="D104" s="29">
        <v>1000</v>
      </c>
      <c r="E104" s="29">
        <v>0</v>
      </c>
      <c r="F104" s="27"/>
    </row>
    <row r="105" spans="2:6" x14ac:dyDescent="0.2">
      <c r="C105" s="6"/>
      <c r="D105" s="6"/>
      <c r="E105" s="6"/>
    </row>
    <row r="106" spans="2:6" x14ac:dyDescent="0.2">
      <c r="B106" s="1" t="s">
        <v>249</v>
      </c>
      <c r="C106" s="6">
        <v>4000</v>
      </c>
      <c r="D106" s="6"/>
      <c r="E106" s="6"/>
    </row>
    <row r="107" spans="2:6" x14ac:dyDescent="0.2">
      <c r="C107" s="6"/>
      <c r="D107" s="6"/>
      <c r="E107" s="6"/>
    </row>
    <row r="108" spans="2:6" x14ac:dyDescent="0.2">
      <c r="B108" s="1" t="s">
        <v>86</v>
      </c>
      <c r="C108" s="6"/>
      <c r="D108" s="6"/>
      <c r="E108" s="6"/>
    </row>
    <row r="109" spans="2:6" x14ac:dyDescent="0.2">
      <c r="B109" s="1" t="s">
        <v>66</v>
      </c>
      <c r="C109" s="6">
        <v>38</v>
      </c>
      <c r="D109" s="6"/>
      <c r="E109" s="6"/>
    </row>
    <row r="110" spans="2:6" x14ac:dyDescent="0.2">
      <c r="B110" s="1" t="s">
        <v>87</v>
      </c>
      <c r="C110" s="6">
        <v>30</v>
      </c>
      <c r="D110" s="6"/>
      <c r="E110" s="6"/>
    </row>
    <row r="111" spans="2:6" x14ac:dyDescent="0.2">
      <c r="C111" s="6"/>
      <c r="D111" s="6"/>
      <c r="E111" s="6"/>
    </row>
    <row r="112" spans="2:6" x14ac:dyDescent="0.2">
      <c r="B112" s="1" t="s">
        <v>250</v>
      </c>
      <c r="C112" s="6"/>
      <c r="D112" s="6">
        <v>1000</v>
      </c>
      <c r="E112" s="6"/>
    </row>
    <row r="113" spans="2:5" x14ac:dyDescent="0.2">
      <c r="B113" s="1" t="s">
        <v>251</v>
      </c>
      <c r="C113" s="6"/>
      <c r="D113" s="6">
        <v>50</v>
      </c>
      <c r="E113" s="6"/>
    </row>
  </sheetData>
  <hyperlinks>
    <hyperlink ref="A1" location="Main!A1" display="Main" xr:uid="{2D359D91-F591-4F1C-93A9-A3E815883E54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557-50B8-4778-8D23-41E8C44257CE}">
  <dimension ref="A1:F90"/>
  <sheetViews>
    <sheetView topLeftCell="A2" zoomScale="175" zoomScaleNormal="175" workbookViewId="0">
      <selection activeCell="G19" sqref="G19:G21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1</v>
      </c>
    </row>
    <row r="4" spans="1:4" x14ac:dyDescent="0.2">
      <c r="B4" s="1" t="s">
        <v>274</v>
      </c>
      <c r="C4" s="24" t="s">
        <v>319</v>
      </c>
    </row>
    <row r="6" spans="1:4" x14ac:dyDescent="0.2">
      <c r="B6" s="1" t="s">
        <v>17</v>
      </c>
      <c r="C6" s="4">
        <v>45046</v>
      </c>
    </row>
    <row r="8" spans="1:4" x14ac:dyDescent="0.2">
      <c r="B8" s="1" t="s">
        <v>275</v>
      </c>
    </row>
    <row r="10" spans="1:4" x14ac:dyDescent="0.2">
      <c r="B10" s="1" t="s">
        <v>276</v>
      </c>
    </row>
    <row r="12" spans="1:4" x14ac:dyDescent="0.2">
      <c r="B12" s="34" t="s">
        <v>277</v>
      </c>
    </row>
    <row r="13" spans="1:4" x14ac:dyDescent="0.2">
      <c r="B13" s="1" t="s">
        <v>91</v>
      </c>
    </row>
    <row r="14" spans="1:4" x14ac:dyDescent="0.2">
      <c r="B14" s="1" t="s">
        <v>67</v>
      </c>
      <c r="C14" s="1">
        <v>400</v>
      </c>
      <c r="D14" s="1">
        <v>100</v>
      </c>
    </row>
    <row r="15" spans="1:4" x14ac:dyDescent="0.2">
      <c r="B15" s="1" t="s">
        <v>211</v>
      </c>
      <c r="C15" s="11">
        <v>2.5</v>
      </c>
      <c r="D15" s="11">
        <v>2.5</v>
      </c>
    </row>
    <row r="16" spans="1:4" x14ac:dyDescent="0.2">
      <c r="B16" s="1" t="s">
        <v>86</v>
      </c>
      <c r="C16" s="11">
        <v>3</v>
      </c>
      <c r="D16" s="1">
        <v>0</v>
      </c>
    </row>
    <row r="17" spans="2:4" x14ac:dyDescent="0.2">
      <c r="B17" s="1" t="s">
        <v>278</v>
      </c>
      <c r="C17" s="36">
        <f>+C14*C15</f>
        <v>1000</v>
      </c>
      <c r="D17" s="6">
        <f>+D14*D16</f>
        <v>0</v>
      </c>
    </row>
    <row r="18" spans="2:4" ht="12.75" thickBot="1" x14ac:dyDescent="0.25">
      <c r="B18" s="1" t="s">
        <v>99</v>
      </c>
      <c r="C18" s="3">
        <f>+(C14+D14)*C15-C17</f>
        <v>250</v>
      </c>
    </row>
    <row r="19" spans="2:4" ht="12.75" thickTop="1" x14ac:dyDescent="0.2"/>
    <row r="20" spans="2:4" x14ac:dyDescent="0.2">
      <c r="B20" s="34" t="s">
        <v>279</v>
      </c>
    </row>
    <row r="21" spans="2:4" x14ac:dyDescent="0.2">
      <c r="B21" s="1" t="s">
        <v>219</v>
      </c>
      <c r="C21" s="1">
        <v>1000</v>
      </c>
      <c r="D21" s="1" t="s">
        <v>280</v>
      </c>
    </row>
    <row r="22" spans="2:4" x14ac:dyDescent="0.2">
      <c r="B22" s="1" t="s">
        <v>86</v>
      </c>
      <c r="C22" s="1">
        <v>4.5</v>
      </c>
      <c r="D22" s="1" t="s">
        <v>281</v>
      </c>
    </row>
    <row r="23" spans="2:4" x14ac:dyDescent="0.2">
      <c r="B23" s="1" t="s">
        <v>211</v>
      </c>
      <c r="C23" s="1">
        <v>4</v>
      </c>
      <c r="D23" s="1" t="s">
        <v>281</v>
      </c>
    </row>
    <row r="24" spans="2:4" x14ac:dyDescent="0.2">
      <c r="B24" s="1" t="s">
        <v>172</v>
      </c>
      <c r="C24" s="1">
        <v>0.25</v>
      </c>
    </row>
    <row r="25" spans="2:4" x14ac:dyDescent="0.2">
      <c r="B25" s="1" t="s">
        <v>282</v>
      </c>
      <c r="C25" s="1">
        <f>+C23*(1-C24)</f>
        <v>3</v>
      </c>
    </row>
    <row r="26" spans="2:4" x14ac:dyDescent="0.2">
      <c r="B26" s="1" t="s">
        <v>283</v>
      </c>
      <c r="C26" s="15">
        <f>+C21*C25</f>
        <v>3000</v>
      </c>
    </row>
    <row r="27" spans="2:4" ht="12.75" thickBot="1" x14ac:dyDescent="0.25">
      <c r="B27" s="1" t="s">
        <v>99</v>
      </c>
      <c r="C27" s="3">
        <f>(C21*C25)-C26</f>
        <v>0</v>
      </c>
    </row>
    <row r="28" spans="2:4" ht="12.75" thickTop="1" x14ac:dyDescent="0.2"/>
    <row r="30" spans="2:4" x14ac:dyDescent="0.2">
      <c r="B30" s="34" t="s">
        <v>284</v>
      </c>
    </row>
    <row r="31" spans="2:4" x14ac:dyDescent="0.2">
      <c r="B31" s="1" t="s">
        <v>67</v>
      </c>
      <c r="C31" s="1">
        <v>100</v>
      </c>
      <c r="D31" s="1" t="s">
        <v>285</v>
      </c>
    </row>
    <row r="32" spans="2:4" x14ac:dyDescent="0.2">
      <c r="B32" s="1" t="s">
        <v>211</v>
      </c>
      <c r="C32" s="1">
        <v>8</v>
      </c>
      <c r="D32" s="1" t="s">
        <v>286</v>
      </c>
    </row>
    <row r="33" spans="2:5" x14ac:dyDescent="0.2">
      <c r="B33" s="1" t="s">
        <v>86</v>
      </c>
      <c r="C33" s="1">
        <v>10</v>
      </c>
      <c r="D33" s="1" t="s">
        <v>286</v>
      </c>
    </row>
    <row r="34" spans="2:5" x14ac:dyDescent="0.2">
      <c r="B34" s="1" t="s">
        <v>287</v>
      </c>
      <c r="C34" s="1">
        <v>0.25</v>
      </c>
    </row>
    <row r="35" spans="2:5" x14ac:dyDescent="0.2">
      <c r="B35" s="1" t="s">
        <v>288</v>
      </c>
      <c r="C35" s="1">
        <f>+C33*(1-C34)</f>
        <v>7.5</v>
      </c>
    </row>
    <row r="36" spans="2:5" x14ac:dyDescent="0.2">
      <c r="B36" s="1" t="s">
        <v>283</v>
      </c>
      <c r="C36" s="24">
        <f>+C31*C35</f>
        <v>750</v>
      </c>
    </row>
    <row r="37" spans="2:5" ht="12.75" thickBot="1" x14ac:dyDescent="0.25">
      <c r="B37" s="1" t="s">
        <v>99</v>
      </c>
      <c r="C37" s="3">
        <f>+(C32*C31)-C36</f>
        <v>50</v>
      </c>
    </row>
    <row r="38" spans="2:5" ht="12.75" thickTop="1" x14ac:dyDescent="0.2"/>
    <row r="39" spans="2:5" x14ac:dyDescent="0.2">
      <c r="B39" s="34" t="s">
        <v>289</v>
      </c>
    </row>
    <row r="40" spans="2:5" x14ac:dyDescent="0.2">
      <c r="B40" s="1" t="s">
        <v>67</v>
      </c>
      <c r="C40" s="1">
        <v>2500</v>
      </c>
      <c r="D40" s="1" t="s">
        <v>290</v>
      </c>
    </row>
    <row r="41" spans="2:5" x14ac:dyDescent="0.2">
      <c r="B41" s="1" t="s">
        <v>129</v>
      </c>
      <c r="C41" s="1">
        <v>1.5</v>
      </c>
    </row>
    <row r="42" spans="2:5" x14ac:dyDescent="0.2">
      <c r="B42" s="1" t="s">
        <v>211</v>
      </c>
      <c r="C42" s="1">
        <f>+E50/C40</f>
        <v>0.9</v>
      </c>
      <c r="D42" s="1" t="s">
        <v>293</v>
      </c>
    </row>
    <row r="43" spans="2:5" x14ac:dyDescent="0.2">
      <c r="B43" s="1" t="s">
        <v>283</v>
      </c>
      <c r="C43" s="1">
        <f>+C42*C40</f>
        <v>2250</v>
      </c>
      <c r="D43" s="1" t="s">
        <v>294</v>
      </c>
    </row>
    <row r="44" spans="2:5" ht="12.75" thickBot="1" x14ac:dyDescent="0.25">
      <c r="B44" s="1" t="s">
        <v>99</v>
      </c>
      <c r="C44" s="3">
        <v>0</v>
      </c>
    </row>
    <row r="45" spans="2:5" ht="12.75" thickTop="1" x14ac:dyDescent="0.2"/>
    <row r="46" spans="2:5" x14ac:dyDescent="0.2">
      <c r="B46" s="1" t="s">
        <v>291</v>
      </c>
      <c r="C46" s="1" t="s">
        <v>292</v>
      </c>
      <c r="D46" s="1" t="s">
        <v>145</v>
      </c>
    </row>
    <row r="47" spans="2:5" x14ac:dyDescent="0.2">
      <c r="B47" s="35">
        <v>45170</v>
      </c>
      <c r="C47" s="1">
        <v>1000</v>
      </c>
      <c r="D47" s="1">
        <v>0.85</v>
      </c>
      <c r="E47" s="1">
        <f>+C47*D47</f>
        <v>850</v>
      </c>
    </row>
    <row r="48" spans="2:5" x14ac:dyDescent="0.2">
      <c r="B48" s="35">
        <v>44927</v>
      </c>
      <c r="C48" s="1">
        <v>1000</v>
      </c>
      <c r="D48" s="1">
        <v>0.9</v>
      </c>
      <c r="E48" s="1">
        <f>+C48*D48</f>
        <v>900</v>
      </c>
    </row>
    <row r="49" spans="2:6" x14ac:dyDescent="0.2">
      <c r="B49" s="35">
        <v>45017</v>
      </c>
      <c r="C49" s="1">
        <v>500</v>
      </c>
      <c r="D49" s="1">
        <v>1</v>
      </c>
      <c r="E49" s="1">
        <f>+C49*D49</f>
        <v>500</v>
      </c>
    </row>
    <row r="50" spans="2:6" ht="12.75" thickBot="1" x14ac:dyDescent="0.25">
      <c r="C50" s="1">
        <f>SUM(C47:C49)</f>
        <v>2500</v>
      </c>
      <c r="E50" s="38">
        <f>SUM(E47:E49)</f>
        <v>2250</v>
      </c>
    </row>
    <row r="51" spans="2:6" ht="12.75" thickTop="1" x14ac:dyDescent="0.2"/>
    <row r="52" spans="2:6" x14ac:dyDescent="0.2">
      <c r="B52" s="1" t="s">
        <v>295</v>
      </c>
    </row>
    <row r="53" spans="2:6" x14ac:dyDescent="0.2">
      <c r="B53" s="1" t="s">
        <v>67</v>
      </c>
      <c r="C53" s="1">
        <v>500</v>
      </c>
      <c r="D53" s="1" t="s">
        <v>67</v>
      </c>
    </row>
    <row r="54" spans="2:6" x14ac:dyDescent="0.2">
      <c r="B54" s="1" t="s">
        <v>296</v>
      </c>
      <c r="C54" s="1">
        <v>15</v>
      </c>
      <c r="D54" s="1" t="s">
        <v>297</v>
      </c>
    </row>
    <row r="55" spans="2:6" x14ac:dyDescent="0.2">
      <c r="B55" s="1" t="s">
        <v>145</v>
      </c>
      <c r="C55" s="1">
        <f>+F60/B60</f>
        <v>9.25</v>
      </c>
      <c r="D55" s="1" t="s">
        <v>299</v>
      </c>
    </row>
    <row r="56" spans="2:6" ht="12.75" thickBot="1" x14ac:dyDescent="0.25">
      <c r="B56" s="1" t="s">
        <v>283</v>
      </c>
      <c r="C56" s="37">
        <f>+C53*C55</f>
        <v>4625</v>
      </c>
      <c r="D56" s="1" t="s">
        <v>300</v>
      </c>
    </row>
    <row r="57" spans="2:6" ht="12.75" thickTop="1" x14ac:dyDescent="0.2">
      <c r="B57" s="1" t="s">
        <v>99</v>
      </c>
      <c r="C57" s="1">
        <v>0</v>
      </c>
    </row>
    <row r="59" spans="2:6" x14ac:dyDescent="0.2">
      <c r="B59" s="1" t="s">
        <v>298</v>
      </c>
      <c r="C59" s="1" t="s">
        <v>211</v>
      </c>
    </row>
    <row r="60" spans="2:6" x14ac:dyDescent="0.2">
      <c r="B60" s="1">
        <v>10000</v>
      </c>
      <c r="C60" s="1">
        <v>9</v>
      </c>
      <c r="D60" s="1">
        <f>+B60*C60</f>
        <v>90000</v>
      </c>
      <c r="E60" s="1">
        <v>2500</v>
      </c>
      <c r="F60" s="1">
        <f>SUM(D60:E60)</f>
        <v>92500</v>
      </c>
    </row>
    <row r="63" spans="2:6" x14ac:dyDescent="0.2">
      <c r="B63" s="7" t="s">
        <v>301</v>
      </c>
    </row>
    <row r="64" spans="2:6" x14ac:dyDescent="0.2">
      <c r="B64" s="34" t="s">
        <v>66</v>
      </c>
      <c r="C64" s="1" t="s">
        <v>21</v>
      </c>
      <c r="D64" s="1" t="s">
        <v>304</v>
      </c>
      <c r="E64" s="1" t="s">
        <v>305</v>
      </c>
    </row>
    <row r="65" spans="2:5" x14ac:dyDescent="0.2">
      <c r="B65" s="1" t="s">
        <v>302</v>
      </c>
      <c r="C65" s="1">
        <v>300</v>
      </c>
      <c r="D65" s="1">
        <v>1000</v>
      </c>
      <c r="E65" s="1">
        <f>+C65-D65</f>
        <v>-700</v>
      </c>
    </row>
    <row r="66" spans="2:5" x14ac:dyDescent="0.2">
      <c r="B66" s="1" t="s">
        <v>303</v>
      </c>
      <c r="C66" s="1">
        <v>200</v>
      </c>
      <c r="D66" s="1">
        <v>500</v>
      </c>
      <c r="E66" s="1">
        <f>+C66-D66</f>
        <v>-300</v>
      </c>
    </row>
    <row r="68" spans="2:5" x14ac:dyDescent="0.2">
      <c r="B68" s="1" t="s">
        <v>306</v>
      </c>
    </row>
    <row r="70" spans="2:5" x14ac:dyDescent="0.2">
      <c r="B70" s="1" t="s">
        <v>312</v>
      </c>
    </row>
    <row r="72" spans="2:5" x14ac:dyDescent="0.2">
      <c r="B72" s="1" t="s">
        <v>307</v>
      </c>
      <c r="C72" s="6">
        <f>+D65</f>
        <v>1000</v>
      </c>
      <c r="D72" s="1" t="s">
        <v>309</v>
      </c>
      <c r="E72" s="1" t="s">
        <v>241</v>
      </c>
    </row>
    <row r="73" spans="2:5" x14ac:dyDescent="0.2">
      <c r="B73" s="1" t="s">
        <v>308</v>
      </c>
      <c r="C73" s="11">
        <f>600/C72*0.5</f>
        <v>0.3</v>
      </c>
      <c r="D73" s="39" t="str">
        <f ca="1">+_xlfn.FORMULATEXT(C73)</f>
        <v>=600/C72*0.5</v>
      </c>
      <c r="E73" s="1" t="s">
        <v>316</v>
      </c>
    </row>
    <row r="74" spans="2:5" x14ac:dyDescent="0.2">
      <c r="B74" s="1" t="s">
        <v>311</v>
      </c>
      <c r="C74" s="11">
        <f>3*C73</f>
        <v>0.89999999999999991</v>
      </c>
      <c r="D74" s="39"/>
      <c r="E74" s="1" t="s">
        <v>317</v>
      </c>
    </row>
    <row r="75" spans="2:5" x14ac:dyDescent="0.2">
      <c r="B75" s="1" t="s">
        <v>310</v>
      </c>
      <c r="C75" s="11">
        <f>3500/C72*0.8</f>
        <v>2.8000000000000003</v>
      </c>
      <c r="D75" s="39" t="str">
        <f t="shared" ref="D75" ca="1" si="0">+_xlfn.FORMULATEXT(C75)</f>
        <v>=3500/C72*0.8</v>
      </c>
      <c r="E75" s="1" t="s">
        <v>318</v>
      </c>
    </row>
    <row r="76" spans="2:5" x14ac:dyDescent="0.2">
      <c r="B76" s="1" t="s">
        <v>211</v>
      </c>
      <c r="C76" s="11">
        <f>SUM(C73:C75)</f>
        <v>4</v>
      </c>
      <c r="D76" s="39"/>
    </row>
    <row r="77" spans="2:5" x14ac:dyDescent="0.2">
      <c r="B77" s="1" t="s">
        <v>86</v>
      </c>
      <c r="C77" s="11">
        <v>8</v>
      </c>
    </row>
    <row r="78" spans="2:5" ht="12.75" thickBot="1" x14ac:dyDescent="0.25">
      <c r="B78" s="1" t="s">
        <v>283</v>
      </c>
      <c r="C78" s="32">
        <f>+C65*C76</f>
        <v>1200</v>
      </c>
    </row>
    <row r="79" spans="2:5" ht="12.75" thickTop="1" x14ac:dyDescent="0.2"/>
    <row r="80" spans="2:5" x14ac:dyDescent="0.2">
      <c r="B80" s="1" t="s">
        <v>313</v>
      </c>
    </row>
    <row r="81" spans="2:3" x14ac:dyDescent="0.2">
      <c r="B81" s="1" t="s">
        <v>314</v>
      </c>
    </row>
    <row r="83" spans="2:3" x14ac:dyDescent="0.2">
      <c r="B83" s="1" t="s">
        <v>315</v>
      </c>
      <c r="C83" s="1">
        <f>+D66</f>
        <v>500</v>
      </c>
    </row>
    <row r="84" spans="2:3" x14ac:dyDescent="0.2">
      <c r="B84" s="1" t="str">
        <f t="shared" ref="B84:B89" si="1">+B73</f>
        <v>Materials</v>
      </c>
      <c r="C84" s="11">
        <f>500/C83</f>
        <v>1</v>
      </c>
    </row>
    <row r="85" spans="2:3" x14ac:dyDescent="0.2">
      <c r="B85" s="1" t="str">
        <f t="shared" si="1"/>
        <v>Prod.o/h</v>
      </c>
      <c r="C85" s="11">
        <f>3*C84</f>
        <v>3</v>
      </c>
    </row>
    <row r="86" spans="2:3" x14ac:dyDescent="0.2">
      <c r="B86" s="1" t="str">
        <f t="shared" si="1"/>
        <v>labour</v>
      </c>
      <c r="C86" s="11">
        <f>2000/C83</f>
        <v>4</v>
      </c>
    </row>
    <row r="87" spans="2:3" x14ac:dyDescent="0.2">
      <c r="B87" s="1" t="str">
        <f t="shared" si="1"/>
        <v>cost</v>
      </c>
      <c r="C87" s="11">
        <f>SUM(C84:C86)</f>
        <v>8</v>
      </c>
    </row>
    <row r="88" spans="2:3" x14ac:dyDescent="0.2">
      <c r="B88" s="1" t="str">
        <f t="shared" si="1"/>
        <v>NRV</v>
      </c>
      <c r="C88" s="11">
        <v>15</v>
      </c>
    </row>
    <row r="89" spans="2:3" ht="12.75" thickBot="1" x14ac:dyDescent="0.25">
      <c r="B89" s="1" t="str">
        <f t="shared" si="1"/>
        <v>recoverable amount</v>
      </c>
      <c r="C89" s="32">
        <f>+C87*C66</f>
        <v>1600</v>
      </c>
    </row>
    <row r="90" spans="2:3" ht="12.75" thickTop="1" x14ac:dyDescent="0.2"/>
  </sheetData>
  <hyperlinks>
    <hyperlink ref="A1" location="Main!A1" display="Main" xr:uid="{37108316-CBB6-401E-8375-F776B9914EB9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80C-C5CE-4425-A797-71389C520915}">
  <dimension ref="A1:I113"/>
  <sheetViews>
    <sheetView topLeftCell="A95" zoomScale="190" zoomScaleNormal="190" workbookViewId="0">
      <selection activeCell="G117" sqref="G117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1</v>
      </c>
      <c r="D1" s="2"/>
    </row>
    <row r="3" spans="1:4" x14ac:dyDescent="0.2">
      <c r="B3" s="1" t="s">
        <v>321</v>
      </c>
    </row>
    <row r="4" spans="1:4" x14ac:dyDescent="0.2">
      <c r="B4" s="1" t="s">
        <v>17</v>
      </c>
      <c r="C4" s="4">
        <v>45016</v>
      </c>
    </row>
    <row r="6" spans="1:4" x14ac:dyDescent="0.2">
      <c r="B6" s="7" t="s">
        <v>322</v>
      </c>
    </row>
    <row r="8" spans="1:4" x14ac:dyDescent="0.2">
      <c r="B8" s="1" t="s">
        <v>323</v>
      </c>
    </row>
    <row r="9" spans="1:4" x14ac:dyDescent="0.2">
      <c r="B9" s="1" t="s">
        <v>324</v>
      </c>
      <c r="C9" s="6">
        <v>37775</v>
      </c>
    </row>
    <row r="10" spans="1:4" x14ac:dyDescent="0.2">
      <c r="B10" s="1" t="s">
        <v>325</v>
      </c>
      <c r="C10" s="6">
        <v>175000</v>
      </c>
      <c r="D10" s="1" t="s">
        <v>326</v>
      </c>
    </row>
    <row r="11" spans="1:4" x14ac:dyDescent="0.2">
      <c r="B11" s="1" t="s">
        <v>327</v>
      </c>
      <c r="C11" s="6">
        <v>164290</v>
      </c>
      <c r="D11" s="1" t="s">
        <v>326</v>
      </c>
    </row>
    <row r="12" spans="1:4" x14ac:dyDescent="0.2">
      <c r="B12" s="1" t="s">
        <v>328</v>
      </c>
      <c r="C12" s="6"/>
    </row>
    <row r="13" spans="1:4" x14ac:dyDescent="0.2">
      <c r="C13" s="6" t="s">
        <v>12</v>
      </c>
    </row>
    <row r="14" spans="1:4" x14ac:dyDescent="0.2">
      <c r="B14" s="1" t="s">
        <v>91</v>
      </c>
      <c r="C14" s="25">
        <v>36153</v>
      </c>
    </row>
    <row r="15" spans="1:4" x14ac:dyDescent="0.2">
      <c r="B15" s="1" t="s">
        <v>330</v>
      </c>
      <c r="C15" s="25">
        <v>1807</v>
      </c>
    </row>
    <row r="16" spans="1:4" x14ac:dyDescent="0.2">
      <c r="B16" s="1" t="s">
        <v>331</v>
      </c>
      <c r="C16" s="25">
        <v>3615</v>
      </c>
    </row>
    <row r="17" spans="2:4" x14ac:dyDescent="0.2">
      <c r="B17" s="1" t="s">
        <v>329</v>
      </c>
      <c r="C17" s="25">
        <f>SUM(C14:C16)</f>
        <v>41575</v>
      </c>
    </row>
    <row r="18" spans="2:4" x14ac:dyDescent="0.2">
      <c r="C18" s="25"/>
    </row>
    <row r="19" spans="2:4" x14ac:dyDescent="0.2">
      <c r="B19" s="1" t="s">
        <v>332</v>
      </c>
      <c r="C19" s="25"/>
    </row>
    <row r="20" spans="2:4" x14ac:dyDescent="0.2">
      <c r="B20" s="1" t="s">
        <v>336</v>
      </c>
      <c r="C20" s="25">
        <v>14461</v>
      </c>
      <c r="D20" s="1" t="s">
        <v>48</v>
      </c>
    </row>
    <row r="21" spans="2:4" x14ac:dyDescent="0.2">
      <c r="B21" s="1" t="s">
        <v>335</v>
      </c>
      <c r="C21" s="25">
        <v>8130</v>
      </c>
      <c r="D21" s="1" t="s">
        <v>48</v>
      </c>
    </row>
    <row r="22" spans="2:4" x14ac:dyDescent="0.2">
      <c r="B22" s="1" t="s">
        <v>344</v>
      </c>
      <c r="C22" s="25">
        <f>1980*0.6</f>
        <v>1188</v>
      </c>
      <c r="D22" s="1" t="s">
        <v>49</v>
      </c>
    </row>
    <row r="23" spans="2:4" x14ac:dyDescent="0.2">
      <c r="B23" s="1" t="s">
        <v>345</v>
      </c>
      <c r="C23" s="25">
        <f>1980*0.4</f>
        <v>792</v>
      </c>
      <c r="D23" s="1" t="s">
        <v>48</v>
      </c>
    </row>
    <row r="24" spans="2:4" x14ac:dyDescent="0.2">
      <c r="B24" s="1" t="s">
        <v>110</v>
      </c>
      <c r="C24" s="25">
        <v>1687</v>
      </c>
      <c r="D24" s="1" t="s">
        <v>49</v>
      </c>
    </row>
    <row r="25" spans="2:4" x14ac:dyDescent="0.2">
      <c r="B25" s="1" t="s">
        <v>34</v>
      </c>
      <c r="C25" s="25">
        <v>2560</v>
      </c>
      <c r="D25" s="1" t="s">
        <v>343</v>
      </c>
    </row>
    <row r="26" spans="2:4" x14ac:dyDescent="0.2">
      <c r="B26" s="1" t="s">
        <v>342</v>
      </c>
      <c r="C26" s="25">
        <v>2350</v>
      </c>
    </row>
    <row r="27" spans="2:4" x14ac:dyDescent="0.2">
      <c r="B27" s="1" t="s">
        <v>334</v>
      </c>
      <c r="C27" s="25">
        <v>1599</v>
      </c>
      <c r="D27" s="1" t="s">
        <v>343</v>
      </c>
    </row>
    <row r="28" spans="2:4" x14ac:dyDescent="0.2">
      <c r="B28" s="1" t="s">
        <v>341</v>
      </c>
      <c r="C28" s="25">
        <v>3331</v>
      </c>
      <c r="D28" s="1" t="s">
        <v>49</v>
      </c>
    </row>
    <row r="29" spans="2:4" x14ac:dyDescent="0.2">
      <c r="B29" s="1" t="s">
        <v>333</v>
      </c>
      <c r="C29" s="25">
        <f>SUM(C20:C28)</f>
        <v>36098</v>
      </c>
    </row>
    <row r="30" spans="2:4" x14ac:dyDescent="0.2">
      <c r="B30" s="1" t="s">
        <v>126</v>
      </c>
      <c r="C30" s="25">
        <f>+C29+C17</f>
        <v>77673</v>
      </c>
    </row>
    <row r="31" spans="2:4" x14ac:dyDescent="0.2">
      <c r="B31" s="1" t="s">
        <v>337</v>
      </c>
      <c r="C31" s="25">
        <f>-C24</f>
        <v>-1687</v>
      </c>
    </row>
    <row r="32" spans="2:4" x14ac:dyDescent="0.2">
      <c r="B32" s="1" t="s">
        <v>338</v>
      </c>
      <c r="C32" s="25">
        <f>-C25</f>
        <v>-2560</v>
      </c>
    </row>
    <row r="33" spans="2:4" x14ac:dyDescent="0.2">
      <c r="B33" s="1" t="s">
        <v>339</v>
      </c>
      <c r="C33" s="25">
        <f>-C27</f>
        <v>-1599</v>
      </c>
    </row>
    <row r="34" spans="2:4" x14ac:dyDescent="0.2">
      <c r="B34" s="1" t="s">
        <v>340</v>
      </c>
      <c r="C34" s="25">
        <f>-0.1*C21</f>
        <v>-813</v>
      </c>
    </row>
    <row r="35" spans="2:4" x14ac:dyDescent="0.2">
      <c r="B35" s="1" t="s">
        <v>126</v>
      </c>
      <c r="C35" s="25">
        <f>SUM(C30:C33)</f>
        <v>71827</v>
      </c>
    </row>
    <row r="36" spans="2:4" x14ac:dyDescent="0.2">
      <c r="C36" s="6"/>
    </row>
    <row r="37" spans="2:4" x14ac:dyDescent="0.2">
      <c r="B37" s="1" t="s">
        <v>378</v>
      </c>
      <c r="C37" s="6">
        <f>+C17</f>
        <v>41575</v>
      </c>
    </row>
    <row r="38" spans="2:4" x14ac:dyDescent="0.2">
      <c r="B38" s="1" t="s">
        <v>379</v>
      </c>
      <c r="C38" s="6">
        <f>+C20</f>
        <v>14461</v>
      </c>
    </row>
    <row r="39" spans="2:4" x14ac:dyDescent="0.2">
      <c r="B39" s="1" t="s">
        <v>380</v>
      </c>
      <c r="C39" s="6">
        <f>0.9*C21</f>
        <v>7317</v>
      </c>
      <c r="D39" s="1" t="str">
        <f ca="1">_xlfn.FORMULATEXT(C39)</f>
        <v>=0.9*C21</v>
      </c>
    </row>
    <row r="40" spans="2:4" x14ac:dyDescent="0.2">
      <c r="B40" s="1" t="s">
        <v>381</v>
      </c>
      <c r="C40" s="6">
        <f>+C23</f>
        <v>792</v>
      </c>
    </row>
    <row r="41" spans="2:4" x14ac:dyDescent="0.2">
      <c r="B41" s="1" t="s">
        <v>382</v>
      </c>
      <c r="C41" s="42">
        <f>SUM(C37:C40)</f>
        <v>64145</v>
      </c>
    </row>
    <row r="42" spans="2:4" x14ac:dyDescent="0.2">
      <c r="C42" s="6"/>
    </row>
    <row r="43" spans="2:4" x14ac:dyDescent="0.2">
      <c r="B43" s="1" t="s">
        <v>383</v>
      </c>
      <c r="C43" s="6"/>
    </row>
    <row r="44" spans="2:4" x14ac:dyDescent="0.2">
      <c r="B44" s="1" t="s">
        <v>384</v>
      </c>
      <c r="C44" s="6">
        <f>+C22</f>
        <v>1188</v>
      </c>
    </row>
    <row r="45" spans="2:4" x14ac:dyDescent="0.2">
      <c r="B45" s="1" t="s">
        <v>385</v>
      </c>
      <c r="C45" s="6">
        <f>+C26</f>
        <v>2350</v>
      </c>
    </row>
    <row r="46" spans="2:4" x14ac:dyDescent="0.2">
      <c r="B46" s="1" t="s">
        <v>386</v>
      </c>
      <c r="C46" s="6">
        <v>3331</v>
      </c>
    </row>
    <row r="47" spans="2:4" x14ac:dyDescent="0.2">
      <c r="C47" s="42">
        <f>SUM(C44:C46)</f>
        <v>6869</v>
      </c>
    </row>
    <row r="48" spans="2:4" ht="12.75" thickBot="1" x14ac:dyDescent="0.25">
      <c r="C48" s="43">
        <f>+C41+C47</f>
        <v>71014</v>
      </c>
    </row>
    <row r="49" spans="2:6" ht="12.75" thickTop="1" x14ac:dyDescent="0.2">
      <c r="C49" s="6"/>
    </row>
    <row r="50" spans="2:6" x14ac:dyDescent="0.2">
      <c r="B50" s="1" t="s">
        <v>378</v>
      </c>
      <c r="C50" s="6">
        <f>+C41</f>
        <v>64145</v>
      </c>
    </row>
    <row r="51" spans="2:6" x14ac:dyDescent="0.2">
      <c r="B51" s="1" t="s">
        <v>383</v>
      </c>
      <c r="C51" s="6">
        <f>+C11/C10*C47</f>
        <v>6448.6171999999997</v>
      </c>
      <c r="D51" s="1" t="s">
        <v>387</v>
      </c>
    </row>
    <row r="52" spans="2:6" x14ac:dyDescent="0.2">
      <c r="C52" s="6">
        <f>SUM(C50:C51)</f>
        <v>70593.617199999993</v>
      </c>
    </row>
    <row r="53" spans="2:6" x14ac:dyDescent="0.2">
      <c r="B53" s="1" t="s">
        <v>125</v>
      </c>
    </row>
    <row r="54" spans="2:6" x14ac:dyDescent="0.2">
      <c r="B54" s="1" t="s">
        <v>327</v>
      </c>
      <c r="C54" s="40">
        <f>+$C$52/C11</f>
        <v>0.42968906932862616</v>
      </c>
    </row>
    <row r="55" spans="2:6" x14ac:dyDescent="0.2">
      <c r="C55" s="6"/>
    </row>
    <row r="56" spans="2:6" x14ac:dyDescent="0.2">
      <c r="C56" s="6"/>
    </row>
    <row r="59" spans="2:6" x14ac:dyDescent="0.2">
      <c r="B59" s="1" t="s">
        <v>346</v>
      </c>
    </row>
    <row r="61" spans="2:6" x14ac:dyDescent="0.2">
      <c r="B61" s="1" t="s">
        <v>186</v>
      </c>
      <c r="C61" s="6">
        <f>+C54*C9</f>
        <v>16231.504593888852</v>
      </c>
      <c r="D61" s="1" t="s">
        <v>347</v>
      </c>
      <c r="E61" s="6">
        <f>+C9</f>
        <v>37775</v>
      </c>
      <c r="F61" s="1" t="s">
        <v>348</v>
      </c>
    </row>
    <row r="63" spans="2:6" x14ac:dyDescent="0.2">
      <c r="B63" s="1" t="s">
        <v>86</v>
      </c>
    </row>
    <row r="64" spans="2:6" x14ac:dyDescent="0.2">
      <c r="B64" s="1" t="s">
        <v>350</v>
      </c>
      <c r="C64" s="6">
        <v>100</v>
      </c>
    </row>
    <row r="65" spans="2:5" x14ac:dyDescent="0.2">
      <c r="B65" s="1" t="s">
        <v>349</v>
      </c>
      <c r="C65" s="6">
        <f>+E61/C64</f>
        <v>377.75</v>
      </c>
      <c r="D65" s="1" t="s">
        <v>354</v>
      </c>
    </row>
    <row r="66" spans="2:5" x14ac:dyDescent="0.2">
      <c r="B66" s="1" t="s">
        <v>296</v>
      </c>
      <c r="C66" s="6">
        <v>200</v>
      </c>
      <c r="D66" s="1" t="s">
        <v>351</v>
      </c>
    </row>
    <row r="67" spans="2:5" x14ac:dyDescent="0.2">
      <c r="B67" s="1" t="s">
        <v>110</v>
      </c>
      <c r="C67" s="6">
        <v>-2</v>
      </c>
      <c r="D67" s="1" t="s">
        <v>351</v>
      </c>
    </row>
    <row r="68" spans="2:5" x14ac:dyDescent="0.2">
      <c r="B68" s="1" t="s">
        <v>352</v>
      </c>
      <c r="C68" s="6">
        <f>SUM(C66:C67)</f>
        <v>198</v>
      </c>
    </row>
    <row r="69" spans="2:5" x14ac:dyDescent="0.2">
      <c r="B69" s="1" t="s">
        <v>86</v>
      </c>
      <c r="C69" s="6">
        <f>+C65*C68</f>
        <v>74794.5</v>
      </c>
    </row>
    <row r="71" spans="2:5" ht="12.75" thickBot="1" x14ac:dyDescent="0.25">
      <c r="B71" s="1" t="s">
        <v>353</v>
      </c>
      <c r="C71" s="9">
        <f>+C61</f>
        <v>16231.504593888852</v>
      </c>
    </row>
    <row r="72" spans="2:5" ht="12.75" thickTop="1" x14ac:dyDescent="0.2"/>
    <row r="73" spans="2:5" x14ac:dyDescent="0.2">
      <c r="B73" s="1" t="s">
        <v>348</v>
      </c>
      <c r="C73" s="6">
        <v>9850</v>
      </c>
    </row>
    <row r="75" spans="2:5" x14ac:dyDescent="0.2">
      <c r="B75" s="1" t="s">
        <v>87</v>
      </c>
      <c r="C75" s="1" t="s">
        <v>357</v>
      </c>
      <c r="E75" s="1" t="s">
        <v>356</v>
      </c>
    </row>
    <row r="76" spans="2:5" x14ac:dyDescent="0.2">
      <c r="B76" s="1" t="s">
        <v>91</v>
      </c>
      <c r="C76" s="5">
        <v>0.8</v>
      </c>
      <c r="D76" s="44">
        <f>+C17/C11</f>
        <v>0.25305861586219491</v>
      </c>
      <c r="E76" s="6">
        <f>+C76*D76*$C$73</f>
        <v>1994.101892994096</v>
      </c>
    </row>
    <row r="77" spans="2:5" x14ac:dyDescent="0.2">
      <c r="B77" s="1" t="s">
        <v>355</v>
      </c>
      <c r="C77" s="5">
        <v>0.5</v>
      </c>
      <c r="D77" s="44">
        <f>+(C48-C17)/C10</f>
        <v>0.16822285714285715</v>
      </c>
      <c r="E77" s="6">
        <f>+C77*D77*$C$73</f>
        <v>828.4975714285714</v>
      </c>
    </row>
    <row r="78" spans="2:5" ht="12.75" thickBot="1" x14ac:dyDescent="0.25">
      <c r="E78" s="45">
        <f>SUM(E76:E77)</f>
        <v>2822.5994644226676</v>
      </c>
    </row>
    <row r="79" spans="2:5" ht="12.75" thickTop="1" x14ac:dyDescent="0.2"/>
    <row r="81" spans="2:8" x14ac:dyDescent="0.2">
      <c r="B81" s="1" t="s">
        <v>358</v>
      </c>
    </row>
    <row r="82" spans="2:8" x14ac:dyDescent="0.2">
      <c r="B82" s="1" t="s">
        <v>21</v>
      </c>
      <c r="C82" s="1">
        <v>142</v>
      </c>
      <c r="D82" s="1" t="s">
        <v>92</v>
      </c>
    </row>
    <row r="83" spans="2:8" x14ac:dyDescent="0.2">
      <c r="B83" s="1" t="s">
        <v>291</v>
      </c>
      <c r="C83" s="6">
        <f>+H89</f>
        <v>312.18661971830988</v>
      </c>
    </row>
    <row r="84" spans="2:8" x14ac:dyDescent="0.2">
      <c r="C84" s="6"/>
    </row>
    <row r="85" spans="2:8" x14ac:dyDescent="0.2">
      <c r="C85" s="1" t="s">
        <v>298</v>
      </c>
      <c r="D85" s="1" t="s">
        <v>211</v>
      </c>
      <c r="E85" s="1" t="s">
        <v>359</v>
      </c>
      <c r="F85" s="1" t="s">
        <v>360</v>
      </c>
    </row>
    <row r="86" spans="2:8" x14ac:dyDescent="0.2">
      <c r="B86" s="4">
        <v>44985</v>
      </c>
      <c r="C86" s="1">
        <v>22</v>
      </c>
      <c r="D86" s="1">
        <v>292</v>
      </c>
      <c r="E86" s="1">
        <v>-0.05</v>
      </c>
      <c r="F86" s="1">
        <f>-0.1*D86</f>
        <v>-29.200000000000003</v>
      </c>
      <c r="G86" s="1">
        <f>SUM(D86:F86)</f>
        <v>262.75</v>
      </c>
      <c r="H86" s="6">
        <f>+C86*G86</f>
        <v>5780.5</v>
      </c>
    </row>
    <row r="87" spans="2:8" x14ac:dyDescent="0.2">
      <c r="B87" s="4">
        <v>45016</v>
      </c>
      <c r="C87" s="1">
        <v>120</v>
      </c>
      <c r="D87" s="1">
        <v>357</v>
      </c>
      <c r="E87" s="1">
        <v>-0.05</v>
      </c>
      <c r="F87" s="1">
        <f>-0.1*D87</f>
        <v>-35.700000000000003</v>
      </c>
      <c r="G87" s="1">
        <f>SUM(D87:F87)</f>
        <v>321.25</v>
      </c>
      <c r="H87" s="6">
        <f>+C87*G87</f>
        <v>38550</v>
      </c>
    </row>
    <row r="88" spans="2:8" x14ac:dyDescent="0.2">
      <c r="H88" s="6">
        <f>SUM(H86:H87)</f>
        <v>44330.5</v>
      </c>
    </row>
    <row r="89" spans="2:8" x14ac:dyDescent="0.2">
      <c r="H89" s="6">
        <f>+H88/SUM(C86:C87)</f>
        <v>312.18661971830988</v>
      </c>
    </row>
    <row r="91" spans="2:8" x14ac:dyDescent="0.2">
      <c r="B91" s="1" t="s">
        <v>361</v>
      </c>
      <c r="C91" s="6">
        <f>+C83*C82</f>
        <v>44330.5</v>
      </c>
    </row>
    <row r="92" spans="2:8" x14ac:dyDescent="0.2">
      <c r="B92" s="1" t="s">
        <v>362</v>
      </c>
    </row>
    <row r="95" spans="2:8" x14ac:dyDescent="0.2">
      <c r="B95" s="7" t="s">
        <v>363</v>
      </c>
    </row>
    <row r="98" spans="2:9" x14ac:dyDescent="0.2">
      <c r="C98" s="1" t="s">
        <v>364</v>
      </c>
      <c r="D98" s="1" t="s">
        <v>365</v>
      </c>
      <c r="E98" s="1" t="s">
        <v>366</v>
      </c>
      <c r="F98" s="41" t="s">
        <v>374</v>
      </c>
      <c r="G98" s="41"/>
      <c r="H98" s="41"/>
      <c r="I98" s="41"/>
    </row>
    <row r="99" spans="2:9" x14ac:dyDescent="0.2">
      <c r="B99" s="1" t="s">
        <v>144</v>
      </c>
      <c r="C99" s="6">
        <f>15600-F99</f>
        <v>10600</v>
      </c>
      <c r="D99" s="6">
        <f>7930-G99</f>
        <v>2930</v>
      </c>
      <c r="E99" s="6">
        <v>5408</v>
      </c>
      <c r="F99" s="27">
        <v>5000</v>
      </c>
      <c r="G99" s="27">
        <v>5000</v>
      </c>
      <c r="H99" s="27">
        <v>5000</v>
      </c>
    </row>
    <row r="100" spans="2:9" x14ac:dyDescent="0.2">
      <c r="C100" s="6"/>
      <c r="D100" s="6"/>
      <c r="E100" s="6"/>
      <c r="F100" s="27"/>
      <c r="G100" s="27"/>
      <c r="H100" s="27"/>
    </row>
    <row r="101" spans="2:9" x14ac:dyDescent="0.2">
      <c r="B101" s="1" t="s">
        <v>367</v>
      </c>
      <c r="C101" s="11">
        <v>2.5</v>
      </c>
      <c r="D101" s="11">
        <v>6</v>
      </c>
      <c r="E101" s="11">
        <v>6</v>
      </c>
      <c r="F101" s="31">
        <f>+C101</f>
        <v>2.5</v>
      </c>
      <c r="G101" s="31">
        <f>+D101</f>
        <v>6</v>
      </c>
      <c r="H101" s="31">
        <f>SUM(F101:G101)</f>
        <v>8.5</v>
      </c>
    </row>
    <row r="102" spans="2:9" x14ac:dyDescent="0.2">
      <c r="C102" s="11"/>
      <c r="D102" s="11"/>
      <c r="E102" s="11"/>
      <c r="F102" s="27"/>
      <c r="G102" s="27"/>
      <c r="H102" s="27"/>
    </row>
    <row r="103" spans="2:9" x14ac:dyDescent="0.2">
      <c r="B103" s="1" t="s">
        <v>368</v>
      </c>
      <c r="C103" s="11">
        <v>4.5</v>
      </c>
      <c r="D103" s="11">
        <v>5.7</v>
      </c>
      <c r="E103" s="11">
        <v>5.25</v>
      </c>
      <c r="F103" s="27"/>
      <c r="G103" s="27"/>
      <c r="H103" s="27">
        <f>+C109/C108</f>
        <v>9.6</v>
      </c>
    </row>
    <row r="104" spans="2:9" x14ac:dyDescent="0.2">
      <c r="C104" s="11"/>
      <c r="D104" s="11"/>
      <c r="E104" s="11"/>
      <c r="F104" s="27"/>
      <c r="G104" s="27"/>
      <c r="H104" s="27">
        <f>+H103-C110</f>
        <v>8.6</v>
      </c>
    </row>
    <row r="105" spans="2:9" x14ac:dyDescent="0.2">
      <c r="B105" s="1" t="s">
        <v>375</v>
      </c>
      <c r="C105" s="11">
        <f>+C101</f>
        <v>2.5</v>
      </c>
      <c r="D105" s="11">
        <f>+D103</f>
        <v>5.7</v>
      </c>
      <c r="E105" s="11">
        <f>+E103</f>
        <v>5.25</v>
      </c>
      <c r="F105" s="27"/>
      <c r="G105" s="27"/>
      <c r="H105" s="31">
        <f>+H101</f>
        <v>8.5</v>
      </c>
    </row>
    <row r="106" spans="2:9" x14ac:dyDescent="0.2">
      <c r="B106" s="1" t="s">
        <v>376</v>
      </c>
      <c r="C106" s="15">
        <f>+C105*C99</f>
        <v>26500</v>
      </c>
      <c r="D106" s="15">
        <f t="shared" ref="D106:E106" si="0">+D105*D99</f>
        <v>16701</v>
      </c>
      <c r="E106" s="15">
        <f t="shared" si="0"/>
        <v>28392</v>
      </c>
      <c r="F106" s="6"/>
      <c r="G106" s="6"/>
      <c r="H106" s="15">
        <f t="shared" ref="H106" si="1">+H105*H99</f>
        <v>42500</v>
      </c>
    </row>
    <row r="108" spans="2:9" x14ac:dyDescent="0.2">
      <c r="B108" s="1" t="s">
        <v>369</v>
      </c>
      <c r="C108" s="1">
        <v>5000</v>
      </c>
      <c r="D108" s="1" t="s">
        <v>370</v>
      </c>
    </row>
    <row r="109" spans="2:9" x14ac:dyDescent="0.2">
      <c r="C109" s="1">
        <v>48000</v>
      </c>
      <c r="D109" s="1" t="s">
        <v>371</v>
      </c>
    </row>
    <row r="110" spans="2:9" x14ac:dyDescent="0.2">
      <c r="B110" s="1" t="s">
        <v>372</v>
      </c>
      <c r="C110" s="1">
        <v>1</v>
      </c>
      <c r="D110" s="1" t="s">
        <v>373</v>
      </c>
      <c r="E110" s="24" t="s">
        <v>388</v>
      </c>
    </row>
    <row r="112" spans="2:9" ht="12.75" thickBot="1" x14ac:dyDescent="0.25">
      <c r="B112" s="1" t="s">
        <v>377</v>
      </c>
      <c r="C112" s="9">
        <f>+SUM(C106:H106)</f>
        <v>114093</v>
      </c>
    </row>
    <row r="113" ht="12.75" thickTop="1" x14ac:dyDescent="0.2"/>
  </sheetData>
  <hyperlinks>
    <hyperlink ref="A1" location="Main!A1" display="Main" xr:uid="{D6004D48-64AD-4CE7-9C8E-E2930F0ED6AB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E7B6-A816-491B-B274-BD83A733AAED}">
  <dimension ref="A1:G81"/>
  <sheetViews>
    <sheetView workbookViewId="0"/>
  </sheetViews>
  <sheetFormatPr defaultRowHeight="12" x14ac:dyDescent="0.2"/>
  <cols>
    <col min="1" max="16384" width="9.140625" style="1"/>
  </cols>
  <sheetData>
    <row r="1" spans="1:3" ht="15" x14ac:dyDescent="0.25">
      <c r="A1" s="2" t="s">
        <v>1</v>
      </c>
    </row>
    <row r="4" spans="1:3" x14ac:dyDescent="0.2">
      <c r="B4" s="51" t="s">
        <v>447</v>
      </c>
    </row>
    <row r="5" spans="1:3" x14ac:dyDescent="0.2">
      <c r="B5" s="1" t="s">
        <v>211</v>
      </c>
      <c r="C5" s="1">
        <v>150</v>
      </c>
    </row>
    <row r="6" spans="1:3" x14ac:dyDescent="0.2">
      <c r="B6" s="1" t="s">
        <v>408</v>
      </c>
      <c r="C6" s="1">
        <v>3</v>
      </c>
    </row>
    <row r="7" spans="1:3" x14ac:dyDescent="0.2">
      <c r="B7" s="1" t="s">
        <v>409</v>
      </c>
      <c r="C7" s="1">
        <f>SUM(C5:C6)</f>
        <v>153</v>
      </c>
    </row>
    <row r="9" spans="1:3" x14ac:dyDescent="0.2">
      <c r="B9" s="1" t="s">
        <v>86</v>
      </c>
    </row>
    <row r="10" spans="1:3" x14ac:dyDescent="0.2">
      <c r="B10" s="1" t="s">
        <v>184</v>
      </c>
      <c r="C10" s="1">
        <v>190</v>
      </c>
    </row>
    <row r="11" spans="1:3" x14ac:dyDescent="0.2">
      <c r="B11" s="1" t="s">
        <v>410</v>
      </c>
      <c r="C11" s="1">
        <v>-4</v>
      </c>
    </row>
    <row r="12" spans="1:3" x14ac:dyDescent="0.2">
      <c r="B12" s="1" t="s">
        <v>411</v>
      </c>
      <c r="C12" s="1">
        <v>-2</v>
      </c>
    </row>
    <row r="13" spans="1:3" x14ac:dyDescent="0.2">
      <c r="B13" s="1" t="s">
        <v>412</v>
      </c>
      <c r="C13" s="1">
        <v>-4</v>
      </c>
    </row>
    <row r="14" spans="1:3" x14ac:dyDescent="0.2">
      <c r="C14" s="1">
        <f>SUM(C10:C13)</f>
        <v>180</v>
      </c>
    </row>
    <row r="16" spans="1:3" x14ac:dyDescent="0.2">
      <c r="B16" s="4" t="s">
        <v>413</v>
      </c>
      <c r="C16" s="1">
        <f>+C7</f>
        <v>153</v>
      </c>
    </row>
    <row r="17" spans="2:6" x14ac:dyDescent="0.2">
      <c r="B17" s="1" t="s">
        <v>414</v>
      </c>
      <c r="C17" s="1">
        <v>150</v>
      </c>
    </row>
    <row r="18" spans="2:6" x14ac:dyDescent="0.2">
      <c r="B18" s="1" t="s">
        <v>415</v>
      </c>
      <c r="C18" s="1">
        <f>+C16-C17</f>
        <v>3</v>
      </c>
    </row>
    <row r="20" spans="2:6" x14ac:dyDescent="0.2">
      <c r="B20" s="1" t="s">
        <v>416</v>
      </c>
      <c r="E20" s="1">
        <f>+C18</f>
        <v>3</v>
      </c>
    </row>
    <row r="21" spans="2:6" x14ac:dyDescent="0.2">
      <c r="C21" s="1" t="s">
        <v>417</v>
      </c>
      <c r="F21" s="1">
        <f>+E20</f>
        <v>3</v>
      </c>
    </row>
    <row r="22" spans="2:6" x14ac:dyDescent="0.2">
      <c r="B22" s="1" t="s">
        <v>418</v>
      </c>
    </row>
    <row r="25" spans="2:6" x14ac:dyDescent="0.2">
      <c r="B25" s="51" t="s">
        <v>419</v>
      </c>
    </row>
    <row r="27" spans="2:6" x14ac:dyDescent="0.2">
      <c r="B27" s="1" t="s">
        <v>420</v>
      </c>
      <c r="D27" s="1">
        <v>0.95</v>
      </c>
    </row>
    <row r="28" spans="2:6" x14ac:dyDescent="0.2">
      <c r="B28" s="1" t="s">
        <v>241</v>
      </c>
    </row>
    <row r="29" spans="2:6" x14ac:dyDescent="0.2">
      <c r="B29" s="1" t="s">
        <v>310</v>
      </c>
      <c r="D29" s="11">
        <f>+C67</f>
        <v>1.8628912071535022E-2</v>
      </c>
      <c r="E29" s="1" t="s">
        <v>421</v>
      </c>
    </row>
    <row r="30" spans="2:6" x14ac:dyDescent="0.2">
      <c r="B30" s="1" t="s">
        <v>422</v>
      </c>
      <c r="D30" s="11">
        <f>-+C72</f>
        <v>-5.5239898989898992E-2</v>
      </c>
      <c r="E30" s="1" t="s">
        <v>423</v>
      </c>
    </row>
    <row r="31" spans="2:6" x14ac:dyDescent="0.2">
      <c r="D31" s="11">
        <f>-+C77</f>
        <v>-4.29430289149728E-2</v>
      </c>
      <c r="E31" s="1" t="s">
        <v>423</v>
      </c>
    </row>
    <row r="32" spans="2:6" ht="12.75" thickBot="1" x14ac:dyDescent="0.25">
      <c r="B32" s="1" t="s">
        <v>424</v>
      </c>
      <c r="D32" s="32">
        <f>SUM(D27:D31)</f>
        <v>0.87044598416666319</v>
      </c>
    </row>
    <row r="33" spans="2:7" ht="12.75" thickTop="1" x14ac:dyDescent="0.2"/>
    <row r="34" spans="2:7" x14ac:dyDescent="0.2">
      <c r="B34" s="1" t="s">
        <v>86</v>
      </c>
    </row>
    <row r="35" spans="2:7" x14ac:dyDescent="0.2">
      <c r="B35" s="1" t="s">
        <v>425</v>
      </c>
      <c r="D35" s="1">
        <v>1.08</v>
      </c>
    </row>
    <row r="36" spans="2:7" x14ac:dyDescent="0.2">
      <c r="B36" s="1" t="s">
        <v>426</v>
      </c>
      <c r="D36" s="11">
        <f>-C81</f>
        <v>-0.22187231606069283</v>
      </c>
    </row>
    <row r="37" spans="2:7" ht="12.75" thickBot="1" x14ac:dyDescent="0.25">
      <c r="D37" s="32">
        <f>SUM(D35:D36)</f>
        <v>0.85812768393930727</v>
      </c>
    </row>
    <row r="38" spans="2:7" ht="12.75" thickTop="1" x14ac:dyDescent="0.2"/>
    <row r="39" spans="2:7" x14ac:dyDescent="0.2">
      <c r="B39" s="1" t="s">
        <v>427</v>
      </c>
      <c r="D39" s="6"/>
      <c r="E39" s="6">
        <f>+C54*C60</f>
        <v>71.25</v>
      </c>
      <c r="F39" s="6"/>
    </row>
    <row r="40" spans="2:7" x14ac:dyDescent="0.2">
      <c r="B40" s="1" t="s">
        <v>428</v>
      </c>
      <c r="D40" s="6"/>
      <c r="E40" s="6">
        <f>+C54*D37</f>
        <v>64.359576295448051</v>
      </c>
      <c r="F40" s="6"/>
    </row>
    <row r="41" spans="2:7" x14ac:dyDescent="0.2">
      <c r="B41" s="1" t="s">
        <v>429</v>
      </c>
      <c r="D41" s="6"/>
      <c r="E41" s="6">
        <f>+E40-E39</f>
        <v>-6.8904237045519494</v>
      </c>
      <c r="F41" s="6"/>
    </row>
    <row r="42" spans="2:7" x14ac:dyDescent="0.2">
      <c r="D42" s="6"/>
      <c r="E42" s="6"/>
      <c r="F42" s="6"/>
    </row>
    <row r="43" spans="2:7" x14ac:dyDescent="0.2">
      <c r="B43" s="1" t="s">
        <v>430</v>
      </c>
      <c r="D43" s="6"/>
      <c r="E43" s="6">
        <f>-E41</f>
        <v>6.8904237045519494</v>
      </c>
      <c r="F43" s="6"/>
    </row>
    <row r="44" spans="2:7" x14ac:dyDescent="0.2">
      <c r="C44" s="1" t="s">
        <v>431</v>
      </c>
      <c r="D44" s="6"/>
      <c r="E44" s="6"/>
      <c r="F44" s="6">
        <f>+E43</f>
        <v>6.8904237045519494</v>
      </c>
    </row>
    <row r="45" spans="2:7" x14ac:dyDescent="0.2">
      <c r="B45" s="1" t="s">
        <v>432</v>
      </c>
    </row>
    <row r="47" spans="2:7" x14ac:dyDescent="0.2">
      <c r="B47" s="4">
        <v>44805</v>
      </c>
      <c r="C47" s="1" t="s">
        <v>433</v>
      </c>
      <c r="D47" s="1" t="s">
        <v>434</v>
      </c>
      <c r="E47" s="1" t="s">
        <v>129</v>
      </c>
    </row>
    <row r="48" spans="2:7" x14ac:dyDescent="0.2">
      <c r="B48" s="4">
        <v>44834</v>
      </c>
      <c r="C48" s="6">
        <v>40</v>
      </c>
      <c r="D48" s="11"/>
      <c r="E48" s="11"/>
      <c r="F48" s="11"/>
      <c r="G48" s="11"/>
    </row>
    <row r="49" spans="2:7" x14ac:dyDescent="0.2">
      <c r="B49" s="4">
        <v>44865</v>
      </c>
      <c r="C49" s="6">
        <v>48</v>
      </c>
      <c r="D49" s="11"/>
      <c r="E49" s="11"/>
      <c r="F49" s="11"/>
      <c r="G49" s="11"/>
    </row>
    <row r="50" spans="2:7" x14ac:dyDescent="0.2">
      <c r="B50" s="4">
        <v>44895</v>
      </c>
      <c r="C50" s="6">
        <v>57.6</v>
      </c>
      <c r="D50" s="11"/>
      <c r="E50" s="11"/>
      <c r="F50" s="11"/>
      <c r="G50" s="11"/>
    </row>
    <row r="51" spans="2:7" x14ac:dyDescent="0.2">
      <c r="B51" s="4">
        <v>44926</v>
      </c>
      <c r="C51" s="6">
        <v>69.12</v>
      </c>
      <c r="D51" s="11"/>
      <c r="E51" s="11"/>
      <c r="F51" s="11"/>
      <c r="G51" s="11"/>
    </row>
    <row r="52" spans="2:7" ht="12.75" thickBot="1" x14ac:dyDescent="0.25">
      <c r="C52" s="9">
        <f>SUM(C48:C51)</f>
        <v>214.72</v>
      </c>
    </row>
    <row r="53" spans="2:7" ht="12.75" thickTop="1" x14ac:dyDescent="0.2"/>
    <row r="54" spans="2:7" x14ac:dyDescent="0.2">
      <c r="B54" s="1" t="s">
        <v>435</v>
      </c>
      <c r="C54" s="1">
        <v>75</v>
      </c>
      <c r="D54" s="11"/>
      <c r="E54" s="11"/>
      <c r="F54" s="11"/>
      <c r="G54" s="11"/>
    </row>
    <row r="56" spans="2:7" x14ac:dyDescent="0.2">
      <c r="C56" s="1" t="s">
        <v>436</v>
      </c>
      <c r="D56" s="1" t="s">
        <v>241</v>
      </c>
    </row>
    <row r="57" spans="2:7" x14ac:dyDescent="0.2">
      <c r="B57" s="1" t="s">
        <v>437</v>
      </c>
      <c r="C57" s="1">
        <v>0.15</v>
      </c>
      <c r="D57" s="11"/>
      <c r="E57" s="11"/>
    </row>
    <row r="58" spans="2:7" x14ac:dyDescent="0.2">
      <c r="B58" s="1" t="s">
        <v>308</v>
      </c>
      <c r="C58" s="1">
        <v>0.6</v>
      </c>
      <c r="D58" s="11"/>
      <c r="E58" s="11"/>
    </row>
    <row r="59" spans="2:7" x14ac:dyDescent="0.2">
      <c r="B59" s="1" t="s">
        <v>438</v>
      </c>
      <c r="C59" s="1">
        <v>0.2</v>
      </c>
      <c r="D59" s="11"/>
      <c r="E59" s="11"/>
    </row>
    <row r="60" spans="2:7" ht="12.75" thickBot="1" x14ac:dyDescent="0.25">
      <c r="C60" s="3">
        <f>SUM(C57:C59)</f>
        <v>0.95</v>
      </c>
      <c r="D60" s="11"/>
      <c r="E60" s="11"/>
    </row>
    <row r="61" spans="2:7" ht="12.75" thickTop="1" x14ac:dyDescent="0.2"/>
    <row r="62" spans="2:7" x14ac:dyDescent="0.2">
      <c r="B62" s="1" t="s">
        <v>212</v>
      </c>
    </row>
    <row r="64" spans="2:7" x14ac:dyDescent="0.2">
      <c r="B64" s="1" t="s">
        <v>439</v>
      </c>
    </row>
    <row r="65" spans="2:4" x14ac:dyDescent="0.2">
      <c r="B65" s="1" t="s">
        <v>437</v>
      </c>
    </row>
    <row r="66" spans="2:4" x14ac:dyDescent="0.2">
      <c r="B66" s="1" t="s">
        <v>440</v>
      </c>
      <c r="C66" s="6">
        <f>+C52</f>
        <v>214.72</v>
      </c>
    </row>
    <row r="67" spans="2:4" x14ac:dyDescent="0.2">
      <c r="C67" s="1">
        <f>4/C66</f>
        <v>1.8628912071535022E-2</v>
      </c>
      <c r="D67" s="1" t="s">
        <v>441</v>
      </c>
    </row>
    <row r="69" spans="2:4" x14ac:dyDescent="0.2">
      <c r="B69" s="1" t="s">
        <v>308</v>
      </c>
    </row>
    <row r="70" spans="2:4" x14ac:dyDescent="0.2">
      <c r="B70" s="1" t="s">
        <v>442</v>
      </c>
    </row>
    <row r="71" spans="2:4" x14ac:dyDescent="0.2">
      <c r="B71" s="1" t="s">
        <v>443</v>
      </c>
      <c r="C71" s="6">
        <f>SUM(C50:C51)</f>
        <v>126.72</v>
      </c>
      <c r="D71" s="1" t="s">
        <v>440</v>
      </c>
    </row>
    <row r="72" spans="2:4" x14ac:dyDescent="0.2">
      <c r="C72" s="1">
        <f>7/C71</f>
        <v>5.5239898989898992E-2</v>
      </c>
      <c r="D72" s="1" t="s">
        <v>444</v>
      </c>
    </row>
    <row r="73" spans="2:4" x14ac:dyDescent="0.2">
      <c r="D73" s="1" t="s">
        <v>445</v>
      </c>
    </row>
    <row r="75" spans="2:4" x14ac:dyDescent="0.2">
      <c r="B75" s="1" t="s">
        <v>446</v>
      </c>
      <c r="C75" s="1">
        <v>6</v>
      </c>
    </row>
    <row r="76" spans="2:4" x14ac:dyDescent="0.2">
      <c r="C76" s="6">
        <f>+(C52-C54)</f>
        <v>139.72</v>
      </c>
    </row>
    <row r="77" spans="2:4" x14ac:dyDescent="0.2">
      <c r="C77" s="11">
        <f>+C75/C76</f>
        <v>4.29430289149728E-2</v>
      </c>
    </row>
    <row r="78" spans="2:4" x14ac:dyDescent="0.2">
      <c r="C78" s="11"/>
    </row>
    <row r="79" spans="2:4" x14ac:dyDescent="0.2">
      <c r="B79" s="1" t="s">
        <v>110</v>
      </c>
      <c r="C79" s="11">
        <v>31</v>
      </c>
    </row>
    <row r="80" spans="2:4" x14ac:dyDescent="0.2">
      <c r="C80" s="6">
        <f>+(C52-C54)</f>
        <v>139.72</v>
      </c>
    </row>
    <row r="81" spans="3:3" x14ac:dyDescent="0.2">
      <c r="C81" s="11">
        <f>+C79/C80</f>
        <v>0.22187231606069283</v>
      </c>
    </row>
  </sheetData>
  <hyperlinks>
    <hyperlink ref="A1" location="Main!A1" display="Main" xr:uid="{44DA769B-E44C-4599-9B79-79A69728F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Module 11</vt:lpstr>
      <vt:lpstr>FIFO AVCO</vt:lpstr>
      <vt:lpstr>WSE11.1</vt:lpstr>
      <vt:lpstr>WSE11.2</vt:lpstr>
      <vt:lpstr>WSE11.3</vt:lpstr>
      <vt:lpstr>SWE11.4</vt:lpstr>
      <vt:lpstr>WSE11.5</vt:lpstr>
      <vt:lpstr>WSE11.6</vt:lpstr>
      <vt:lpstr>WSE11.7</vt:lpstr>
      <vt:lpstr>WSE11.8</vt:lpstr>
      <vt:lpstr>BlockMock2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2023-05-02T07:55:33Z</dcterms:created>
  <dcterms:modified xsi:type="dcterms:W3CDTF">2023-05-23T07:42:35Z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2023-05-02T07:55:34Z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ed780225-0861-4f0b-900b-1e5d5ac2ca43</vt:lpwstr>
  </property>
  <property fmtid="{D5CDD505-2E9C-101B-9397-08002B2CF9AE}" pid="8" name="MSIP_Label_ea60d57e-af5b-4752-ac57-3e4f28ca11dc_ContentBits">
    <vt:lpwstr>0</vt:lpwstr>
  </property>
</Properties>
</file>