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kdeloitte-my.sharepoint.com/personal/bcornish_deloitte_co_uk/Documents/ICAS/TPS/FINREP/Bob's FINREP Class Notes/"/>
    </mc:Choice>
  </mc:AlternateContent>
  <xr:revisionPtr revIDLastSave="1277" documentId="8_{52B789C9-9BEC-4CCB-812E-E5ED1E86936B}" xr6:coauthVersionLast="47" xr6:coauthVersionMax="47" xr10:uidLastSave="{2BDBE2C1-F9F7-41B5-ADD1-C4A516C0B440}"/>
  <bookViews>
    <workbookView xWindow="0" yWindow="1170" windowWidth="28800" windowHeight="14370" activeTab="1" xr2:uid="{1C6CEB92-AD3F-43FF-876B-8C7A766E3780}"/>
  </bookViews>
  <sheets>
    <sheet name="Main" sheetId="1" r:id="rId1"/>
    <sheet name="Module 12" sheetId="2" r:id="rId2"/>
    <sheet name="WSE12.2" sheetId="3" r:id="rId3"/>
    <sheet name="WSE12.3" sheetId="4" r:id="rId4"/>
    <sheet name="WSE12.4" sheetId="6" r:id="rId5"/>
    <sheet name="WSE12.5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2" i="2" l="1"/>
  <c r="F84" i="5" l="1"/>
  <c r="F81" i="5"/>
  <c r="F51" i="5"/>
  <c r="F78" i="5"/>
  <c r="F75" i="5"/>
  <c r="D24" i="5"/>
  <c r="E24" i="5"/>
  <c r="C24" i="5"/>
  <c r="E26" i="5"/>
  <c r="F69" i="5"/>
  <c r="E68" i="5"/>
  <c r="C65" i="5"/>
  <c r="C64" i="5"/>
  <c r="C63" i="5"/>
  <c r="C47" i="5"/>
  <c r="C41" i="5"/>
  <c r="C46" i="5" s="1"/>
  <c r="F27" i="5"/>
  <c r="C11" i="5"/>
  <c r="C48" i="5" l="1"/>
  <c r="E50" i="5" s="1"/>
  <c r="C30" i="5"/>
  <c r="F33" i="5" s="1"/>
  <c r="E32" i="5" s="1"/>
  <c r="F24" i="5" l="1"/>
  <c r="D14" i="6" l="1"/>
  <c r="E14" i="6"/>
  <c r="C7" i="6"/>
  <c r="C14" i="6" s="1"/>
  <c r="D16" i="6" l="1"/>
  <c r="F14" i="6"/>
  <c r="B64" i="4" l="1"/>
  <c r="E70" i="4" l="1"/>
  <c r="F71" i="4" s="1"/>
  <c r="E64" i="4"/>
  <c r="C64" i="4"/>
  <c r="C37" i="4"/>
  <c r="C36" i="4"/>
  <c r="E41" i="4"/>
  <c r="E32" i="4"/>
  <c r="F33" i="4" s="1"/>
  <c r="E59" i="4"/>
  <c r="F60" i="4" s="1"/>
  <c r="C56" i="4"/>
  <c r="F16" i="4"/>
  <c r="C12" i="4"/>
  <c r="E15" i="4" s="1"/>
  <c r="C56" i="3"/>
  <c r="C86" i="3"/>
  <c r="F69" i="3"/>
  <c r="E70" i="3" s="1"/>
  <c r="C50" i="3"/>
  <c r="F62" i="3" s="1"/>
  <c r="E61" i="3" s="1"/>
  <c r="D39" i="3"/>
  <c r="D38" i="3"/>
  <c r="C38" i="3"/>
  <c r="C39" i="3"/>
  <c r="C37" i="3"/>
  <c r="E21" i="3"/>
  <c r="F22" i="3" s="1"/>
  <c r="E469" i="2"/>
  <c r="F470" i="2" s="1"/>
  <c r="C438" i="2"/>
  <c r="E460" i="2" s="1"/>
  <c r="F456" i="2"/>
  <c r="C450" i="2"/>
  <c r="C451" i="2" s="1"/>
  <c r="D394" i="2"/>
  <c r="D387" i="2"/>
  <c r="D391" i="2" s="1"/>
  <c r="D385" i="2"/>
  <c r="D384" i="2"/>
  <c r="C364" i="2"/>
  <c r="D364" i="2" s="1"/>
  <c r="C351" i="2"/>
  <c r="C352" i="2" s="1"/>
  <c r="C277" i="2"/>
  <c r="C276" i="2"/>
  <c r="E261" i="2"/>
  <c r="C257" i="2"/>
  <c r="E262" i="2" s="1"/>
  <c r="E249" i="2"/>
  <c r="F250" i="2" s="1"/>
  <c r="E113" i="2"/>
  <c r="D113" i="2"/>
  <c r="C110" i="2"/>
  <c r="C91" i="2"/>
  <c r="E366" i="2" l="1"/>
  <c r="E369" i="2"/>
  <c r="F370" i="2" s="1"/>
  <c r="D386" i="2"/>
  <c r="D388" i="2" s="1"/>
  <c r="D393" i="2" s="1"/>
  <c r="D392" i="2" s="1"/>
  <c r="E97" i="2"/>
  <c r="F98" i="2" s="1"/>
  <c r="E364" i="2"/>
  <c r="C278" i="2"/>
  <c r="E280" i="2" s="1"/>
  <c r="F281" i="2" s="1"/>
  <c r="C57" i="3"/>
  <c r="F66" i="3" s="1"/>
  <c r="E65" i="3" s="1"/>
  <c r="C38" i="4"/>
  <c r="C41" i="4" s="1"/>
  <c r="D41" i="4" s="1"/>
  <c r="D43" i="4" s="1"/>
  <c r="E46" i="4" s="1"/>
  <c r="F47" i="4" s="1"/>
  <c r="E17" i="4"/>
  <c r="D64" i="4"/>
  <c r="E66" i="4" s="1"/>
  <c r="F67" i="4" s="1"/>
  <c r="D86" i="3"/>
  <c r="E86" i="3"/>
  <c r="C40" i="3"/>
  <c r="C41" i="3" s="1"/>
  <c r="F44" i="3" s="1"/>
  <c r="E43" i="3" s="1"/>
  <c r="C460" i="2"/>
  <c r="F455" i="2"/>
  <c r="E454" i="2"/>
  <c r="F263" i="2"/>
  <c r="C259" i="2"/>
  <c r="D114" i="2"/>
  <c r="E114" i="2"/>
  <c r="C93" i="2"/>
  <c r="E101" i="2" l="1"/>
  <c r="F102" i="2" s="1"/>
  <c r="D460" i="2"/>
  <c r="C462" i="2" s="1"/>
  <c r="E464" i="2" s="1"/>
  <c r="F465" i="2" s="1"/>
  <c r="F64" i="4"/>
  <c r="F41" i="4"/>
  <c r="F86" i="3"/>
  <c r="F364" i="2"/>
  <c r="E367" i="2" s="1"/>
  <c r="F460" i="2" l="1"/>
</calcChain>
</file>

<file path=xl/sharedStrings.xml><?xml version="1.0" encoding="utf-8"?>
<sst xmlns="http://schemas.openxmlformats.org/spreadsheetml/2006/main" count="415" uniqueCount="316">
  <si>
    <t>Main</t>
  </si>
  <si>
    <t>Module 12</t>
  </si>
  <si>
    <t>Module 12 - Financial Instruments</t>
  </si>
  <si>
    <t>Print off and save the module 12 summary sheets</t>
  </si>
  <si>
    <t>Main standard is IFRS 9 - Financial Instruments</t>
  </si>
  <si>
    <t>IFRS 7 - Disclosure</t>
  </si>
  <si>
    <t>IAS 32 - Presentation</t>
  </si>
  <si>
    <t>explanation of how we classify financial instruments and any measurement of them</t>
  </si>
  <si>
    <t>does the instrument have the substance of equity or it actually a liability</t>
  </si>
  <si>
    <t>repay borrowings on a given date</t>
  </si>
  <si>
    <t>Sometimes instruments are a mix of both.  This is known as a compound asset.</t>
  </si>
  <si>
    <t>Is there a contractual obligation to deliver cash and/or</t>
  </si>
  <si>
    <t>Principles of substance over form apply when classifying financial instruments as equity or liability</t>
  </si>
  <si>
    <t>contractual obligation to deliver interest or capital repayment</t>
  </si>
  <si>
    <t>Activity 1</t>
  </si>
  <si>
    <t>Penny plc</t>
  </si>
  <si>
    <t>FV</t>
  </si>
  <si>
    <t>expiry</t>
  </si>
  <si>
    <t>coupon</t>
  </si>
  <si>
    <t>par</t>
  </si>
  <si>
    <t>number</t>
  </si>
  <si>
    <t>Proceeds</t>
  </si>
  <si>
    <t>Liability component</t>
  </si>
  <si>
    <t>Equity componenet</t>
  </si>
  <si>
    <t>incorrect journal</t>
  </si>
  <si>
    <t>dr - bank</t>
  </si>
  <si>
    <t>cr - non current liab</t>
  </si>
  <si>
    <t>correc journal</t>
  </si>
  <si>
    <t>being correction to recognition og convertible bonds</t>
  </si>
  <si>
    <t>FV w/o conversion rights</t>
  </si>
  <si>
    <t>£'000</t>
  </si>
  <si>
    <t>liabitity is the amount without conversion rights</t>
  </si>
  <si>
    <t>cr - Reserve for convertible bonds (equity)</t>
  </si>
  <si>
    <t>dr - bond liability (NCL)</t>
  </si>
  <si>
    <t>forward contract</t>
  </si>
  <si>
    <t>buy</t>
  </si>
  <si>
    <t>at</t>
  </si>
  <si>
    <t>in the future</t>
  </si>
  <si>
    <t xml:space="preserve">if exhange rate changes to </t>
  </si>
  <si>
    <t>fair value (loss)/gain</t>
  </si>
  <si>
    <t>Use this as the structure for advising and explaining questions</t>
  </si>
  <si>
    <t>Crimbo owns 1,000,000 ordinary shares of YZ plc.</t>
  </si>
  <si>
    <t>Example 2</t>
  </si>
  <si>
    <t>AC</t>
  </si>
  <si>
    <t>Investment in shares</t>
  </si>
  <si>
    <t>Investment in bonds</t>
  </si>
  <si>
    <t>Crimbo acquired 5,000,000 £1.00 4% 20X9 bonds of Blanko plc during the current
year. The bonds pay interest at 4% annually. The company intends to keep the bonds
until maturity.</t>
  </si>
  <si>
    <t>FVTPL</t>
  </si>
  <si>
    <t>Investment in mortgages</t>
  </si>
  <si>
    <t>Crimbo bought a group of mortgages from a building society in the current year. The
mortgages are due to be repaid over the next 15 to 20 years. Due to current economic
conditions, the mortgages were acquired at a substantial discount to their nominal
value. The company has acquired them with the intention of selling them onwards in
the next two years as economic conditions improve.</t>
  </si>
  <si>
    <t>FVTOCI</t>
  </si>
  <si>
    <t>shares do not promise SPPI</t>
  </si>
  <si>
    <t>SPPI and held to maturity</t>
  </si>
  <si>
    <t>SPPI and will not be held to maturity.  Any interest received before sale is incidental.  Not really the reason they are holding them</t>
  </si>
  <si>
    <t>can only do this at intital recognition</t>
  </si>
  <si>
    <t>cannot be undone - irrevocable</t>
  </si>
  <si>
    <t>done on a case by case basis</t>
  </si>
  <si>
    <t>can opt to hold this through OCI and recognise dividents in SPL</t>
  </si>
  <si>
    <t>can measure at FVTPL to eliminate or significantly reduce an accounting mismatch</t>
  </si>
  <si>
    <t>will never need to choose - will be told if this is the case</t>
  </si>
  <si>
    <t>1. go to flowchart</t>
  </si>
  <si>
    <t>2.  watch out for caveats areound changes to default classification</t>
  </si>
  <si>
    <t>financial assets - use the flowchart and remember the assets</t>
  </si>
  <si>
    <t>Financial Liabilities</t>
  </si>
  <si>
    <t>99% of the time financial liabilities will be held at amortised cost</t>
  </si>
  <si>
    <t>only ones held TPL is derivatives or assets held for trading - will be told this in advance</t>
  </si>
  <si>
    <t>can be designated as FVTPL if doing so eliminates or significantly reduces and accounting mismatch</t>
  </si>
  <si>
    <t>Fair value plus transaction cost</t>
  </si>
  <si>
    <t>AC or FVTOCI</t>
  </si>
  <si>
    <t>Fair value is usually consideration given.</t>
  </si>
  <si>
    <t>measured at FV - (transaction cost have already gone throuhg P&amp;L)</t>
  </si>
  <si>
    <t>transaction cost are incremental cost directly attributable to the acquisition of the instrument</t>
  </si>
  <si>
    <t>not admin or holding costs</t>
  </si>
  <si>
    <t>fees, taxes, stam duty etc.</t>
  </si>
  <si>
    <t>cannot deduct transaction costs from the e liability if FVTPL</t>
  </si>
  <si>
    <t>arrangement fees</t>
  </si>
  <si>
    <t>contract for</t>
  </si>
  <si>
    <t>measured at FVTPL so transaction cost not included</t>
  </si>
  <si>
    <t>dr - SPL transaction cost</t>
  </si>
  <si>
    <t>2.</t>
  </si>
  <si>
    <t>per share</t>
  </si>
  <si>
    <t>acquire</t>
  </si>
  <si>
    <t>shares</t>
  </si>
  <si>
    <t>incendtal costs</t>
  </si>
  <si>
    <t>3.</t>
  </si>
  <si>
    <t>issued</t>
  </si>
  <si>
    <t>bonds</t>
  </si>
  <si>
    <t>disscount</t>
  </si>
  <si>
    <t>redeemable</t>
  </si>
  <si>
    <t>bonds are classified as AC</t>
  </si>
  <si>
    <t>cr - bank</t>
  </si>
  <si>
    <t>cr - bond liability</t>
  </si>
  <si>
    <t>dr - investment in shares (financial asset)</t>
  </si>
  <si>
    <t>being transaction cost written off and recognition of financial asset</t>
  </si>
  <si>
    <t>being transaction costs written off</t>
  </si>
  <si>
    <t xml:space="preserve">1. </t>
  </si>
  <si>
    <t>in most questions - something has been misposted to bank or suspense - so get comfortable with the correcting journals</t>
  </si>
  <si>
    <t>less incidnetal fees</t>
  </si>
  <si>
    <t>being issue of bonds, net of transaction cost capitalised</t>
  </si>
  <si>
    <t>bank</t>
  </si>
  <si>
    <t>always pick the lower value for FV of shares</t>
  </si>
  <si>
    <t>balance</t>
  </si>
  <si>
    <t>BD allce</t>
  </si>
  <si>
    <t>Loan receivable</t>
  </si>
  <si>
    <t>laon to</t>
  </si>
  <si>
    <t>due</t>
  </si>
  <si>
    <t>interest</t>
  </si>
  <si>
    <t>pa</t>
  </si>
  <si>
    <t>pa due in arrears</t>
  </si>
  <si>
    <t>must repay</t>
  </si>
  <si>
    <t>effective interest rate</t>
  </si>
  <si>
    <t>dr - SPL</t>
  </si>
  <si>
    <t>cr - curent assets</t>
  </si>
  <si>
    <t>AR (amortised cost)</t>
  </si>
  <si>
    <t>classify as amortised cost.  SPPI, not selling before maturity.  not fixing and accounting mismatch</t>
  </si>
  <si>
    <t>opening loan receivable</t>
  </si>
  <si>
    <t>Effective interest</t>
  </si>
  <si>
    <t>nominal interest</t>
  </si>
  <si>
    <t>closing loan receivable</t>
  </si>
  <si>
    <t>finance income SPL</t>
  </si>
  <si>
    <t>loan receivable (SFP)</t>
  </si>
  <si>
    <t>22/5/202</t>
  </si>
  <si>
    <t>trans cost</t>
  </si>
  <si>
    <t>selling cost</t>
  </si>
  <si>
    <t>dividend received</t>
  </si>
  <si>
    <t>of sales price - cannot include as FVTOCI</t>
  </si>
  <si>
    <t>pruchase price</t>
  </si>
  <si>
    <t>FV at bid price</t>
  </si>
  <si>
    <t>investment in shares (SFP)</t>
  </si>
  <si>
    <t>reval surplus (SFP)</t>
  </si>
  <si>
    <t>FV gain on financial aset (SOCI)</t>
  </si>
  <si>
    <t>Finanace inceom (SFP)</t>
  </si>
  <si>
    <t>Activity 4</t>
  </si>
  <si>
    <t>Blackhouse</t>
  </si>
  <si>
    <t>discount</t>
  </si>
  <si>
    <t>dr - suspense</t>
  </si>
  <si>
    <t>effective rate of interest</t>
  </si>
  <si>
    <t>classified as amortised cost</t>
  </si>
  <si>
    <t>futures currency contract</t>
  </si>
  <si>
    <t>cost</t>
  </si>
  <si>
    <t>negative value</t>
  </si>
  <si>
    <t>cost of issue</t>
  </si>
  <si>
    <t>Proceeds from issue of bonds</t>
  </si>
  <si>
    <t>openign balance</t>
  </si>
  <si>
    <t>dr - FISA</t>
  </si>
  <si>
    <t>cr- SPL admin expense</t>
  </si>
  <si>
    <t>being correction to record bonds liability and write off cost of issue</t>
  </si>
  <si>
    <t>opening bonds</t>
  </si>
  <si>
    <t>closing bonds</t>
  </si>
  <si>
    <t>nominal value</t>
  </si>
  <si>
    <t>adjustment required</t>
  </si>
  <si>
    <t>dr - SPL - finanace cost</t>
  </si>
  <si>
    <t>being correction to finance costs and bonds liability</t>
  </si>
  <si>
    <t>Derivative (FVTPL)</t>
  </si>
  <si>
    <t>cr - derivative liability</t>
  </si>
  <si>
    <t>dr - SPL - FV decrease</t>
  </si>
  <si>
    <t>being fair value loss on futures contract</t>
  </si>
  <si>
    <t>Liddle plc</t>
  </si>
  <si>
    <t>YE</t>
  </si>
  <si>
    <t>no assets elected to go TPL</t>
  </si>
  <si>
    <t>term deposit</t>
  </si>
  <si>
    <t>interest earned</t>
  </si>
  <si>
    <t>held to maturity</t>
  </si>
  <si>
    <t>collect all SPPI</t>
  </si>
  <si>
    <t>not to match off a significant accounting mismatch</t>
  </si>
  <si>
    <t>this is an AC treatment</t>
  </si>
  <si>
    <t>dr - deposit asset</t>
  </si>
  <si>
    <t>factor in interest earned, not received into the valuation</t>
  </si>
  <si>
    <t>being term deposit and 1 year interest earned but not received</t>
  </si>
  <si>
    <t>De Mann</t>
  </si>
  <si>
    <t>acquired</t>
  </si>
  <si>
    <t>for</t>
  </si>
  <si>
    <t>£/share</t>
  </si>
  <si>
    <t>bid</t>
  </si>
  <si>
    <t xml:space="preserve">minority shareholding </t>
  </si>
  <si>
    <t>no SPPI</t>
  </si>
  <si>
    <t xml:space="preserve">no maturity to be held to </t>
  </si>
  <si>
    <t>this is FVTPL</t>
  </si>
  <si>
    <t>y/y gain</t>
  </si>
  <si>
    <t>gain on investment</t>
  </si>
  <si>
    <t>cr - SPL gain on investment</t>
  </si>
  <si>
    <t>dr - investment asset</t>
  </si>
  <si>
    <t>YOK plc</t>
  </si>
  <si>
    <t>ord. shares</t>
  </si>
  <si>
    <t>nominal cost</t>
  </si>
  <si>
    <t>cost to purchase</t>
  </si>
  <si>
    <t>of proceeds</t>
  </si>
  <si>
    <t>dividend</t>
  </si>
  <si>
    <t>include cost to pruchase</t>
  </si>
  <si>
    <t>cr - equity instrument</t>
  </si>
  <si>
    <t>at YE</t>
  </si>
  <si>
    <t>cr - equity instrumnet</t>
  </si>
  <si>
    <t>dr - reserve</t>
  </si>
  <si>
    <t>being increase valuatin of equity shareholding</t>
  </si>
  <si>
    <t>cr - dividends received</t>
  </si>
  <si>
    <t>being 10p per share (1m shares) dividend received</t>
  </si>
  <si>
    <t>Loan to Supplier</t>
  </si>
  <si>
    <t>loan value</t>
  </si>
  <si>
    <t>repay</t>
  </si>
  <si>
    <t>per 6m</t>
  </si>
  <si>
    <t>effective interest</t>
  </si>
  <si>
    <t>hold for SPPI</t>
  </si>
  <si>
    <t>hold to maturity</t>
  </si>
  <si>
    <t>cannot really sell</t>
  </si>
  <si>
    <t>held at AC</t>
  </si>
  <si>
    <t>opening asset</t>
  </si>
  <si>
    <t>effective</t>
  </si>
  <si>
    <t>nominal</t>
  </si>
  <si>
    <t>closing asset</t>
  </si>
  <si>
    <t>dr - finance cost</t>
  </si>
  <si>
    <t>being fair value gain</t>
  </si>
  <si>
    <t>&lt;&lt;&lt;&lt;so the cost of acquistion are not factored into the remeasurement as this would mean double counting them</t>
  </si>
  <si>
    <t>&lt;&lt;&lt;did well.  Good sense of classification.  Seems to be alright powering through them and trusting gut.  Although get used to using the flowcharts</t>
  </si>
  <si>
    <t>Maybury</t>
  </si>
  <si>
    <t>Loan received</t>
  </si>
  <si>
    <t>amount to be paid back</t>
  </si>
  <si>
    <t>months to charge</t>
  </si>
  <si>
    <t>interst charge to YE</t>
  </si>
  <si>
    <t>cr - bank loan</t>
  </si>
  <si>
    <t>dr - AP</t>
  </si>
  <si>
    <t>being corection to bank loan taken out on 1/2/2023</t>
  </si>
  <si>
    <t>Issued bonds</t>
  </si>
  <si>
    <t>Issued</t>
  </si>
  <si>
    <t>on</t>
  </si>
  <si>
    <t>repayabel</t>
  </si>
  <si>
    <t>each</t>
  </si>
  <si>
    <t>issue costs</t>
  </si>
  <si>
    <t xml:space="preserve">effective </t>
  </si>
  <si>
    <t>delta in costs</t>
  </si>
  <si>
    <t>paid</t>
  </si>
  <si>
    <t>Issued preference shares</t>
  </si>
  <si>
    <t xml:space="preserve">redeemed </t>
  </si>
  <si>
    <t>10% premium</t>
  </si>
  <si>
    <t>dividends payable</t>
  </si>
  <si>
    <t>open</t>
  </si>
  <si>
    <t>close</t>
  </si>
  <si>
    <t>dr - bonds</t>
  </si>
  <si>
    <t>cr - SPL - admin exp</t>
  </si>
  <si>
    <t>being correction to capitalise admin expensese</t>
  </si>
  <si>
    <t>dr  -SPL finacne cost</t>
  </si>
  <si>
    <t>cr - bonds</t>
  </si>
  <si>
    <t>adjusted opening balance</t>
  </si>
  <si>
    <t>opening balance</t>
  </si>
  <si>
    <t>closing balnce</t>
  </si>
  <si>
    <t>being correctionn to recognition of finance costs</t>
  </si>
  <si>
    <t>cr - redeemable preference shares</t>
  </si>
  <si>
    <t>being correction to recognition of redeemable preference share liability</t>
  </si>
  <si>
    <t>dr - SPL finance costs</t>
  </si>
  <si>
    <t>beign recognition of finance costs</t>
  </si>
  <si>
    <t>dr - redeemable preference shares</t>
  </si>
  <si>
    <t>cr - suspense account</t>
  </si>
  <si>
    <t>being correction to dividends paid.</t>
  </si>
  <si>
    <t>&lt;&lt;&lt;no marks for journals in this question.  Read the question</t>
  </si>
  <si>
    <t>default position for shares is FVTPL unless held for trading</t>
  </si>
  <si>
    <t>elected to clasify through OCI - add in the transaction cost as not through PL</t>
  </si>
  <si>
    <t>ignore selling costs as they have not been sold yet</t>
  </si>
  <si>
    <t>&lt;&lt;&lt;half the marks or more are coming from explanations and advice in this question</t>
  </si>
  <si>
    <t>&lt;&lt;&lt;how and why they are chosing to classify certain  assets/liabilities</t>
  </si>
  <si>
    <t>&lt;&lt;&lt;marks for stating the obvious.  Get it all down on the page</t>
  </si>
  <si>
    <t>&lt;&lt;&lt;do the chat first then the computations</t>
  </si>
  <si>
    <t>solely from payments of principal and interest SPPI</t>
  </si>
  <si>
    <t>interst received (19k) is recgonised as an increase in cash in DFP and dedcuted from the financial asset to give a closing balance of 971k</t>
  </si>
  <si>
    <t>with preference shares - consider if it is more like a liability or equity instrument</t>
  </si>
  <si>
    <t>WSE12.2</t>
  </si>
  <si>
    <t>WSE12.3</t>
  </si>
  <si>
    <t>WSE12.4</t>
  </si>
  <si>
    <t>WSE12.5</t>
  </si>
  <si>
    <t>Filpot plc</t>
  </si>
  <si>
    <t xml:space="preserve">issued </t>
  </si>
  <si>
    <t>pa in arrears</t>
  </si>
  <si>
    <t>amortised cost</t>
  </si>
  <si>
    <t>closing</t>
  </si>
  <si>
    <t>adjustment to finance cost</t>
  </si>
  <si>
    <t>Willow</t>
  </si>
  <si>
    <t>explanations and workings</t>
  </si>
  <si>
    <t>issue date</t>
  </si>
  <si>
    <t>interest paid annually on YE date</t>
  </si>
  <si>
    <t>effective inrerst rate</t>
  </si>
  <si>
    <t xml:space="preserve">issued debt </t>
  </si>
  <si>
    <t>contract to cash flows on specific dates.  Which are solely payemnt on principlle and interest SPPI</t>
  </si>
  <si>
    <t>The debentures issued are financial liabilities classified as amortised cost as the company does not designate its financial liabilities at fair value through profit or loss.</t>
  </si>
  <si>
    <t>As a financial liability which is not to be classified as Fair Value Through Profit or Loss. The debentures are classified as amortised cost</t>
  </si>
  <si>
    <t>Issue costs are always capitalised</t>
  </si>
  <si>
    <t>bond liability</t>
  </si>
  <si>
    <t>effective rate</t>
  </si>
  <si>
    <t>nominal rate</t>
  </si>
  <si>
    <t>dr - bond liabilty</t>
  </si>
  <si>
    <t>being correction of issue cost write off.  These should be rolled into the total value of the issue</t>
  </si>
  <si>
    <t>finance cost</t>
  </si>
  <si>
    <t>cr - administrative expenses</t>
  </si>
  <si>
    <t>being correction of finance cost paid out</t>
  </si>
  <si>
    <t>share prive</t>
  </si>
  <si>
    <t>direct costs</t>
  </si>
  <si>
    <t>elected to classify as FVTOCI</t>
  </si>
  <si>
    <t>impairment</t>
  </si>
  <si>
    <t>dr - asset held at FVTOCI</t>
  </si>
  <si>
    <t>being recognition of impairment in investment</t>
  </si>
  <si>
    <t>Forward contract</t>
  </si>
  <si>
    <t>increase</t>
  </si>
  <si>
    <t>dr - forward contract FVTPL</t>
  </si>
  <si>
    <t>cr - FX derivatives gain</t>
  </si>
  <si>
    <t>being increase in derivative contract based on underlying FX change</t>
  </si>
  <si>
    <t>cr - SPL admin expenses</t>
  </si>
  <si>
    <t>R2</t>
  </si>
  <si>
    <t>Non-current assets</t>
  </si>
  <si>
    <t>investment in shares</t>
  </si>
  <si>
    <t>Current assets</t>
  </si>
  <si>
    <t>Derivative asset</t>
  </si>
  <si>
    <t>Equity</t>
  </si>
  <si>
    <t>Revaluation deficit</t>
  </si>
  <si>
    <t>cr - revaluation deficit</t>
  </si>
  <si>
    <t>Non-current liabilities</t>
  </si>
  <si>
    <t>Bonds</t>
  </si>
  <si>
    <t>Dr - financial asset</t>
  </si>
  <si>
    <t>cr - SPL - finance income</t>
  </si>
  <si>
    <t>correcting journal between interest at the effective and nominal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</si>
</sst>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£&quot;#,##0.00"/>
    <numFmt numFmtId="165" formatCode="[$$-409]#,##0"/>
    <numFmt numFmtId="166" formatCode="&quot;£&quot;#,##0"/>
    <numFmt numFmtId="167" formatCode="[$$-409]#,##0.00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3" fontId="1" fillId="0" borderId="0" xfId="0" applyNumberFormat="1" applyFont="1"/>
    <xf numFmtId="164" fontId="1" fillId="0" borderId="0" xfId="0" applyNumberFormat="1" applyFont="1"/>
    <xf numFmtId="10" fontId="1" fillId="0" borderId="0" xfId="0" applyNumberFormat="1" applyFont="1"/>
    <xf numFmtId="1" fontId="1" fillId="0" borderId="0" xfId="0" applyNumberFormat="1" applyFont="1"/>
    <xf numFmtId="0" fontId="1" fillId="0" borderId="0" xfId="0" applyFont="1" applyAlignment="1">
      <alignment horizontal="right"/>
    </xf>
    <xf numFmtId="165" fontId="1" fillId="0" borderId="0" xfId="0" applyNumberFormat="1" applyFont="1"/>
    <xf numFmtId="166" fontId="1" fillId="0" borderId="0" xfId="0" applyNumberFormat="1" applyFont="1"/>
    <xf numFmtId="166" fontId="1" fillId="0" borderId="1" xfId="0" applyNumberFormat="1" applyFont="1" applyBorder="1"/>
    <xf numFmtId="0" fontId="1" fillId="0" borderId="0" xfId="0" applyFont="1" applyAlignment="1">
      <alignment wrapText="1"/>
    </xf>
    <xf numFmtId="0" fontId="1" fillId="0" borderId="0" xfId="0" applyFont="1" applyAlignment="1"/>
    <xf numFmtId="167" fontId="1" fillId="0" borderId="0" xfId="0" applyNumberFormat="1" applyFont="1"/>
    <xf numFmtId="0" fontId="1" fillId="0" borderId="0" xfId="0" quotePrefix="1" applyFont="1"/>
    <xf numFmtId="9" fontId="1" fillId="0" borderId="0" xfId="0" applyNumberFormat="1" applyFont="1"/>
    <xf numFmtId="14" fontId="1" fillId="0" borderId="0" xfId="0" applyNumberFormat="1" applyFont="1"/>
    <xf numFmtId="0" fontId="4" fillId="0" borderId="0" xfId="0" applyFont="1"/>
    <xf numFmtId="0" fontId="1" fillId="2" borderId="0" xfId="0" applyFont="1" applyFill="1"/>
    <xf numFmtId="0" fontId="1" fillId="0" borderId="0" xfId="0" applyFont="1" applyFill="1"/>
    <xf numFmtId="14" fontId="1" fillId="0" borderId="0" xfId="0" applyNumberFormat="1" applyFont="1" applyFill="1"/>
    <xf numFmtId="3" fontId="1" fillId="0" borderId="0" xfId="0" applyNumberFormat="1" applyFont="1" applyFill="1"/>
    <xf numFmtId="0" fontId="1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6</xdr:col>
      <xdr:colOff>170590</xdr:colOff>
      <xdr:row>31</xdr:row>
      <xdr:rowOff>30370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704332-54C3-49E6-17AE-36F473AE9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118" y="2073088"/>
          <a:ext cx="3630706" cy="20698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6</xdr:col>
      <xdr:colOff>170590</xdr:colOff>
      <xdr:row>62</xdr:row>
      <xdr:rowOff>1264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64B5C5-8070-9F3D-9A99-A93C6569B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321" y="5578929"/>
          <a:ext cx="3673929" cy="299483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1</xdr:rowOff>
    </xdr:from>
    <xdr:to>
      <xdr:col>6</xdr:col>
      <xdr:colOff>170590</xdr:colOff>
      <xdr:row>78</xdr:row>
      <xdr:rowOff>38121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5B3440-5E60-E315-24C4-A5554C129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5118" y="9289677"/>
          <a:ext cx="3630706" cy="223447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6403</xdr:rowOff>
    </xdr:from>
    <xdr:to>
      <xdr:col>5</xdr:col>
      <xdr:colOff>412081</xdr:colOff>
      <xdr:row>119</xdr:row>
      <xdr:rowOff>98214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D3870B-7556-1091-FEBA-73F785D62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5118" y="17297079"/>
          <a:ext cx="3148853" cy="71934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121</xdr:row>
      <xdr:rowOff>6570</xdr:rowOff>
    </xdr:from>
    <xdr:to>
      <xdr:col>6</xdr:col>
      <xdr:colOff>297782</xdr:colOff>
      <xdr:row>143</xdr:row>
      <xdr:rowOff>37879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D583F8B-20FF-7F4F-924A-AFC4DE62C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0914" y="18504777"/>
          <a:ext cx="3785902" cy="33552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154</xdr:row>
      <xdr:rowOff>1</xdr:rowOff>
    </xdr:from>
    <xdr:to>
      <xdr:col>6</xdr:col>
      <xdr:colOff>390146</xdr:colOff>
      <xdr:row>167</xdr:row>
      <xdr:rowOff>76201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937FF97-1222-7D48-0A33-811695ED2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3069551"/>
          <a:ext cx="3876296" cy="20574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183</xdr:row>
      <xdr:rowOff>0</xdr:rowOff>
    </xdr:from>
    <xdr:to>
      <xdr:col>6</xdr:col>
      <xdr:colOff>381001</xdr:colOff>
      <xdr:row>196</xdr:row>
      <xdr:rowOff>80332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49E5838-9B86-51EA-EEA7-0D882F8A6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1" y="27489150"/>
          <a:ext cx="3867150" cy="20615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6</xdr:col>
      <xdr:colOff>381000</xdr:colOff>
      <xdr:row>214</xdr:row>
      <xdr:rowOff>127932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A57CAE-AEDC-96EE-2306-1DC3C39F1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30079950"/>
          <a:ext cx="3867150" cy="22615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227</xdr:row>
      <xdr:rowOff>1</xdr:rowOff>
    </xdr:from>
    <xdr:to>
      <xdr:col>6</xdr:col>
      <xdr:colOff>419487</xdr:colOff>
      <xdr:row>237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97F773-9C36-1A4C-5849-8F2E2699D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" y="34194751"/>
          <a:ext cx="3905637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285</xdr:row>
      <xdr:rowOff>1</xdr:rowOff>
    </xdr:from>
    <xdr:to>
      <xdr:col>7</xdr:col>
      <xdr:colOff>1465</xdr:colOff>
      <xdr:row>304</xdr:row>
      <xdr:rowOff>44187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A9092A1-0DBA-9DA2-2351-8386FB0A2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00" y="43072051"/>
          <a:ext cx="4095750" cy="293978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306</xdr:row>
      <xdr:rowOff>0</xdr:rowOff>
    </xdr:from>
    <xdr:to>
      <xdr:col>7</xdr:col>
      <xdr:colOff>1</xdr:colOff>
      <xdr:row>310</xdr:row>
      <xdr:rowOff>118533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A382EE0-51FC-C939-86B3-28D64806E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1" y="46272450"/>
          <a:ext cx="4095750" cy="7281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7</xdr:col>
      <xdr:colOff>1465</xdr:colOff>
      <xdr:row>317</xdr:row>
      <xdr:rowOff>84417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FD2650D-3398-3C6B-6136-0B549734E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9600" y="47186850"/>
          <a:ext cx="4095750" cy="8464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320</xdr:row>
      <xdr:rowOff>1</xdr:rowOff>
    </xdr:from>
    <xdr:to>
      <xdr:col>7</xdr:col>
      <xdr:colOff>1465</xdr:colOff>
      <xdr:row>346</xdr:row>
      <xdr:rowOff>1623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2FE8296-B85C-535A-C48F-C70D3DB97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6136" y="49426092"/>
          <a:ext cx="4087091" cy="4047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7</xdr:col>
      <xdr:colOff>0</xdr:colOff>
      <xdr:row>410</xdr:row>
      <xdr:rowOff>212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7586F8E-9323-F525-1939-143C2BA7C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5118" y="61049647"/>
          <a:ext cx="4090147" cy="21887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7</xdr:col>
      <xdr:colOff>0</xdr:colOff>
      <xdr:row>431</xdr:row>
      <xdr:rowOff>54934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BF69956-1E50-610D-2576-D004997A9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5118" y="63559765"/>
          <a:ext cx="4090147" cy="30356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473</xdr:row>
      <xdr:rowOff>0</xdr:rowOff>
    </xdr:from>
    <xdr:to>
      <xdr:col>7</xdr:col>
      <xdr:colOff>0</xdr:colOff>
      <xdr:row>500</xdr:row>
      <xdr:rowOff>47643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E408DF9-6DD1-BCEE-6D87-1C984E70E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9600" y="72028050"/>
          <a:ext cx="4095750" cy="416244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502</xdr:row>
      <xdr:rowOff>0</xdr:rowOff>
    </xdr:from>
    <xdr:to>
      <xdr:col>7</xdr:col>
      <xdr:colOff>0</xdr:colOff>
      <xdr:row>513</xdr:row>
      <xdr:rowOff>43606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5C0AFE3-EADF-CAD2-9F98-7FA74951A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12321" y="75125036"/>
          <a:ext cx="4095750" cy="1690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94CF2-EC34-4FC7-B50A-30A211052956}">
  <dimension ref="B2:C5"/>
  <sheetViews>
    <sheetView workbookViewId="0">
      <selection activeCell="C5" sqref="C5"/>
    </sheetView>
  </sheetViews>
  <sheetFormatPr defaultRowHeight="15" x14ac:dyDescent="0.25"/>
  <cols>
    <col min="2" max="2" width="10.28515625" bestFit="1" customWidth="1"/>
  </cols>
  <sheetData>
    <row r="2" spans="2:3" x14ac:dyDescent="0.25">
      <c r="B2" s="2" t="s">
        <v>1</v>
      </c>
      <c r="C2" s="2" t="s">
        <v>263</v>
      </c>
    </row>
    <row r="3" spans="2:3" x14ac:dyDescent="0.25">
      <c r="C3" s="2" t="s">
        <v>264</v>
      </c>
    </row>
    <row r="4" spans="2:3" x14ac:dyDescent="0.25">
      <c r="C4" s="2" t="s">
        <v>265</v>
      </c>
    </row>
    <row r="5" spans="2:3" x14ac:dyDescent="0.25">
      <c r="C5" s="2" t="s">
        <v>266</v>
      </c>
    </row>
  </sheetData>
  <hyperlinks>
    <hyperlink ref="B2" location="'Module 12'!A1" display="Module 12" xr:uid="{1235909C-17A7-48F4-83B7-BED671CD1B8F}"/>
    <hyperlink ref="C2" location="WSE12.2!A1" display="WSE12.2" xr:uid="{C366901D-2569-4B71-921A-78B09D86946E}"/>
    <hyperlink ref="C3" location="WSE12.3!A1" display="WSE12.3" xr:uid="{DB312A89-3815-4D3C-BB81-D0C3B44865F1}"/>
    <hyperlink ref="C4" location="WSE12.4!A1" display="WSE12.4" xr:uid="{E4183E7E-C49C-432D-BF5D-FB0DC730A31D}"/>
    <hyperlink ref="C5" location="WSE12.5!A1" display="WSE12.5" xr:uid="{770C509C-6DC4-4B53-9401-88059A8AFD89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D74D0-60B4-4239-934A-3E5593E5DAD4}">
  <dimension ref="A1:H471"/>
  <sheetViews>
    <sheetView tabSelected="1" topLeftCell="A359" zoomScale="145" zoomScaleNormal="145" workbookViewId="0">
      <selection activeCell="B372" sqref="B372"/>
    </sheetView>
  </sheetViews>
  <sheetFormatPr defaultRowHeight="12" x14ac:dyDescent="0.2"/>
  <cols>
    <col min="1" max="2" width="9.140625" style="1"/>
    <col min="3" max="3" width="11" style="1" bestFit="1" customWidth="1"/>
    <col min="4" max="4" width="10.42578125" style="1" customWidth="1"/>
    <col min="5" max="6" width="10.85546875" style="1" bestFit="1" customWidth="1"/>
    <col min="7" max="16384" width="9.140625" style="1"/>
  </cols>
  <sheetData>
    <row r="1" spans="1:3" ht="15" x14ac:dyDescent="0.25">
      <c r="A1" s="2" t="s">
        <v>0</v>
      </c>
    </row>
    <row r="2" spans="1:3" x14ac:dyDescent="0.2">
      <c r="B2" s="1" t="s">
        <v>2</v>
      </c>
    </row>
    <row r="3" spans="1:3" x14ac:dyDescent="0.2">
      <c r="C3" s="1" t="s">
        <v>212</v>
      </c>
    </row>
    <row r="4" spans="1:3" x14ac:dyDescent="0.2">
      <c r="C4" s="1" t="s">
        <v>252</v>
      </c>
    </row>
    <row r="5" spans="1:3" x14ac:dyDescent="0.2">
      <c r="C5" s="1" t="s">
        <v>256</v>
      </c>
    </row>
    <row r="6" spans="1:3" x14ac:dyDescent="0.2">
      <c r="C6" s="1" t="s">
        <v>257</v>
      </c>
    </row>
    <row r="7" spans="1:3" x14ac:dyDescent="0.2">
      <c r="C7" s="1" t="s">
        <v>258</v>
      </c>
    </row>
    <row r="8" spans="1:3" x14ac:dyDescent="0.2">
      <c r="C8" s="1" t="s">
        <v>259</v>
      </c>
    </row>
    <row r="10" spans="1:3" x14ac:dyDescent="0.2">
      <c r="B10" s="1" t="s">
        <v>3</v>
      </c>
    </row>
    <row r="12" spans="1:3" x14ac:dyDescent="0.2">
      <c r="B12" s="1" t="s">
        <v>4</v>
      </c>
    </row>
    <row r="13" spans="1:3" x14ac:dyDescent="0.2">
      <c r="B13" s="1" t="s">
        <v>5</v>
      </c>
    </row>
    <row r="14" spans="1:3" x14ac:dyDescent="0.2">
      <c r="B14" s="1" t="s">
        <v>6</v>
      </c>
    </row>
    <row r="16" spans="1:3" x14ac:dyDescent="0.2">
      <c r="B16" s="1" t="s">
        <v>7</v>
      </c>
    </row>
    <row r="33" spans="2:2" x14ac:dyDescent="0.2">
      <c r="B33" s="1" t="s">
        <v>8</v>
      </c>
    </row>
    <row r="35" spans="2:2" x14ac:dyDescent="0.2">
      <c r="B35" s="1" t="s">
        <v>11</v>
      </c>
    </row>
    <row r="36" spans="2:2" x14ac:dyDescent="0.2">
      <c r="B36" s="1" t="s">
        <v>9</v>
      </c>
    </row>
    <row r="38" spans="2:2" x14ac:dyDescent="0.2">
      <c r="B38" s="1" t="s">
        <v>10</v>
      </c>
    </row>
    <row r="39" spans="2:2" x14ac:dyDescent="0.2">
      <c r="B39" s="1" t="s">
        <v>12</v>
      </c>
    </row>
    <row r="41" spans="2:2" x14ac:dyDescent="0.2">
      <c r="B41" s="3" t="s">
        <v>13</v>
      </c>
    </row>
    <row r="81" spans="2:3" x14ac:dyDescent="0.2">
      <c r="B81" s="1" t="s">
        <v>14</v>
      </c>
    </row>
    <row r="83" spans="2:3" x14ac:dyDescent="0.2">
      <c r="B83" s="1" t="s">
        <v>15</v>
      </c>
    </row>
    <row r="84" spans="2:3" x14ac:dyDescent="0.2">
      <c r="C84" s="8" t="s">
        <v>30</v>
      </c>
    </row>
    <row r="85" spans="2:3" x14ac:dyDescent="0.2">
      <c r="B85" s="1" t="s">
        <v>20</v>
      </c>
      <c r="C85" s="4">
        <v>2000</v>
      </c>
    </row>
    <row r="86" spans="2:3" x14ac:dyDescent="0.2">
      <c r="B86" s="1" t="s">
        <v>19</v>
      </c>
      <c r="C86" s="5">
        <v>0.5</v>
      </c>
    </row>
    <row r="87" spans="2:3" x14ac:dyDescent="0.2">
      <c r="B87" s="1" t="s">
        <v>18</v>
      </c>
      <c r="C87" s="6">
        <v>0.03</v>
      </c>
    </row>
    <row r="88" spans="2:3" x14ac:dyDescent="0.2">
      <c r="B88" s="1" t="s">
        <v>17</v>
      </c>
      <c r="C88" s="1">
        <v>2029</v>
      </c>
    </row>
    <row r="89" spans="2:3" x14ac:dyDescent="0.2">
      <c r="B89" s="1" t="s">
        <v>29</v>
      </c>
      <c r="C89" s="4">
        <v>960</v>
      </c>
    </row>
    <row r="91" spans="2:3" x14ac:dyDescent="0.2">
      <c r="B91" s="1" t="s">
        <v>21</v>
      </c>
      <c r="C91" s="4">
        <f>+C85*C86</f>
        <v>1000</v>
      </c>
    </row>
    <row r="92" spans="2:3" x14ac:dyDescent="0.2">
      <c r="B92" s="1" t="s">
        <v>22</v>
      </c>
      <c r="C92" s="4">
        <f>+C89</f>
        <v>960</v>
      </c>
    </row>
    <row r="93" spans="2:3" x14ac:dyDescent="0.2">
      <c r="B93" s="1" t="s">
        <v>23</v>
      </c>
      <c r="C93" s="4">
        <f>+C91-C92</f>
        <v>40</v>
      </c>
    </row>
    <row r="96" spans="2:3" x14ac:dyDescent="0.2">
      <c r="B96" s="1" t="s">
        <v>24</v>
      </c>
    </row>
    <row r="97" spans="2:6" x14ac:dyDescent="0.2">
      <c r="B97" s="1" t="s">
        <v>25</v>
      </c>
      <c r="E97" s="4">
        <f>+C91</f>
        <v>1000</v>
      </c>
    </row>
    <row r="98" spans="2:6" x14ac:dyDescent="0.2">
      <c r="C98" s="1" t="s">
        <v>26</v>
      </c>
      <c r="F98" s="4">
        <f>+E97</f>
        <v>1000</v>
      </c>
    </row>
    <row r="100" spans="2:6" x14ac:dyDescent="0.2">
      <c r="B100" s="1" t="s">
        <v>27</v>
      </c>
    </row>
    <row r="101" spans="2:6" x14ac:dyDescent="0.2">
      <c r="B101" s="1" t="s">
        <v>33</v>
      </c>
      <c r="E101" s="4">
        <f>+C93</f>
        <v>40</v>
      </c>
    </row>
    <row r="102" spans="2:6" x14ac:dyDescent="0.2">
      <c r="C102" s="1" t="s">
        <v>32</v>
      </c>
      <c r="F102" s="4">
        <f>+E101</f>
        <v>40</v>
      </c>
    </row>
    <row r="103" spans="2:6" x14ac:dyDescent="0.2">
      <c r="B103" s="1" t="s">
        <v>28</v>
      </c>
    </row>
    <row r="105" spans="2:6" x14ac:dyDescent="0.2">
      <c r="B105" s="1" t="s">
        <v>31</v>
      </c>
    </row>
    <row r="107" spans="2:6" x14ac:dyDescent="0.2">
      <c r="B107" s="1" t="s">
        <v>34</v>
      </c>
    </row>
    <row r="108" spans="2:6" x14ac:dyDescent="0.2">
      <c r="B108" s="1" t="s">
        <v>35</v>
      </c>
      <c r="C108" s="9">
        <v>10000000</v>
      </c>
    </row>
    <row r="109" spans="2:6" x14ac:dyDescent="0.2">
      <c r="B109" s="1" t="s">
        <v>36</v>
      </c>
      <c r="C109" s="1">
        <v>1.3</v>
      </c>
    </row>
    <row r="110" spans="2:6" x14ac:dyDescent="0.2">
      <c r="B110" s="1" t="s">
        <v>37</v>
      </c>
      <c r="C110" s="10">
        <f>+C108/C109</f>
        <v>7692307.692307692</v>
      </c>
    </row>
    <row r="112" spans="2:6" x14ac:dyDescent="0.2">
      <c r="B112" s="1" t="s">
        <v>38</v>
      </c>
      <c r="D112" s="1">
        <v>1.35</v>
      </c>
      <c r="E112" s="1">
        <v>1.27</v>
      </c>
    </row>
    <row r="113" spans="2:5" x14ac:dyDescent="0.2">
      <c r="D113" s="10">
        <f>+C108/D112</f>
        <v>7407407.4074074067</v>
      </c>
      <c r="E113" s="10">
        <f>+C108/E112</f>
        <v>7874015.7480314961</v>
      </c>
    </row>
    <row r="114" spans="2:5" ht="12.75" thickBot="1" x14ac:dyDescent="0.25">
      <c r="B114" s="1" t="s">
        <v>39</v>
      </c>
      <c r="D114" s="11">
        <f>+D113-C110</f>
        <v>-284900.2849002853</v>
      </c>
      <c r="E114" s="11">
        <f>+E113-C110</f>
        <v>181708.05572380405</v>
      </c>
    </row>
    <row r="115" spans="2:5" ht="12.75" thickTop="1" x14ac:dyDescent="0.2"/>
    <row r="117" spans="2:5" x14ac:dyDescent="0.2">
      <c r="C117" s="10"/>
    </row>
    <row r="118" spans="2:5" x14ac:dyDescent="0.2">
      <c r="C118" s="10"/>
    </row>
    <row r="146" spans="2:4" x14ac:dyDescent="0.2">
      <c r="B146" s="1" t="s">
        <v>40</v>
      </c>
    </row>
    <row r="148" spans="2:4" x14ac:dyDescent="0.2">
      <c r="B148" s="1" t="s">
        <v>42</v>
      </c>
    </row>
    <row r="150" spans="2:4" ht="36" x14ac:dyDescent="0.2">
      <c r="B150" s="12" t="s">
        <v>44</v>
      </c>
      <c r="C150" s="12" t="s">
        <v>45</v>
      </c>
      <c r="D150" s="12" t="s">
        <v>48</v>
      </c>
    </row>
    <row r="151" spans="2:4" x14ac:dyDescent="0.2">
      <c r="B151" s="1" t="s">
        <v>41</v>
      </c>
      <c r="C151" s="13" t="s">
        <v>46</v>
      </c>
      <c r="D151" s="13" t="s">
        <v>49</v>
      </c>
    </row>
    <row r="152" spans="2:4" x14ac:dyDescent="0.2">
      <c r="B152" s="1" t="s">
        <v>47</v>
      </c>
      <c r="C152" s="1" t="s">
        <v>43</v>
      </c>
      <c r="D152" s="1" t="s">
        <v>47</v>
      </c>
    </row>
    <row r="153" spans="2:4" x14ac:dyDescent="0.2">
      <c r="B153" s="1" t="s">
        <v>51</v>
      </c>
      <c r="C153" s="1" t="s">
        <v>52</v>
      </c>
      <c r="D153" s="1" t="s">
        <v>53</v>
      </c>
    </row>
    <row r="162" spans="2:8" x14ac:dyDescent="0.2">
      <c r="H162" s="1" t="s">
        <v>57</v>
      </c>
    </row>
    <row r="165" spans="2:8" x14ac:dyDescent="0.2">
      <c r="H165" s="1" t="s">
        <v>58</v>
      </c>
    </row>
    <row r="166" spans="2:8" x14ac:dyDescent="0.2">
      <c r="H166" s="3" t="s">
        <v>59</v>
      </c>
    </row>
    <row r="170" spans="2:8" x14ac:dyDescent="0.2">
      <c r="B170" s="1" t="s">
        <v>54</v>
      </c>
    </row>
    <row r="171" spans="2:8" x14ac:dyDescent="0.2">
      <c r="B171" s="1" t="s">
        <v>55</v>
      </c>
    </row>
    <row r="172" spans="2:8" x14ac:dyDescent="0.2">
      <c r="B172" s="1" t="s">
        <v>56</v>
      </c>
    </row>
    <row r="175" spans="2:8" x14ac:dyDescent="0.2">
      <c r="B175" s="1" t="s">
        <v>60</v>
      </c>
    </row>
    <row r="176" spans="2:8" x14ac:dyDescent="0.2">
      <c r="B176" s="1" t="s">
        <v>61</v>
      </c>
    </row>
    <row r="178" spans="2:2" x14ac:dyDescent="0.2">
      <c r="B178" s="1" t="s">
        <v>62</v>
      </c>
    </row>
    <row r="180" spans="2:2" x14ac:dyDescent="0.2">
      <c r="B180" s="1" t="s">
        <v>63</v>
      </c>
    </row>
    <row r="181" spans="2:2" x14ac:dyDescent="0.2">
      <c r="B181" s="1" t="s">
        <v>64</v>
      </c>
    </row>
    <row r="182" spans="2:2" x14ac:dyDescent="0.2">
      <c r="B182" s="1" t="s">
        <v>65</v>
      </c>
    </row>
    <row r="198" spans="2:2" x14ac:dyDescent="0.2">
      <c r="B198" s="1" t="s">
        <v>66</v>
      </c>
    </row>
    <row r="217" spans="2:2" x14ac:dyDescent="0.2">
      <c r="B217" s="1" t="s">
        <v>68</v>
      </c>
    </row>
    <row r="218" spans="2:2" x14ac:dyDescent="0.2">
      <c r="B218" s="1" t="s">
        <v>67</v>
      </c>
    </row>
    <row r="220" spans="2:2" x14ac:dyDescent="0.2">
      <c r="B220" s="1" t="s">
        <v>47</v>
      </c>
    </row>
    <row r="221" spans="2:2" x14ac:dyDescent="0.2">
      <c r="B221" s="1" t="s">
        <v>70</v>
      </c>
    </row>
    <row r="223" spans="2:2" x14ac:dyDescent="0.2">
      <c r="B223" s="1" t="s">
        <v>69</v>
      </c>
    </row>
    <row r="224" spans="2:2" x14ac:dyDescent="0.2">
      <c r="B224" s="1" t="s">
        <v>71</v>
      </c>
    </row>
    <row r="225" spans="2:2" x14ac:dyDescent="0.2">
      <c r="B225" s="1" t="s">
        <v>73</v>
      </c>
    </row>
    <row r="226" spans="2:2" x14ac:dyDescent="0.2">
      <c r="B226" s="1" t="s">
        <v>72</v>
      </c>
    </row>
    <row r="239" spans="2:2" x14ac:dyDescent="0.2">
      <c r="B239" s="1" t="s">
        <v>74</v>
      </c>
    </row>
    <row r="241" spans="2:6" x14ac:dyDescent="0.2">
      <c r="B241" s="15" t="s">
        <v>95</v>
      </c>
    </row>
    <row r="242" spans="2:6" x14ac:dyDescent="0.2">
      <c r="B242" s="1" t="s">
        <v>76</v>
      </c>
      <c r="C242" s="9">
        <v>10000000</v>
      </c>
    </row>
    <row r="243" spans="2:6" x14ac:dyDescent="0.2">
      <c r="B243" s="1" t="s">
        <v>36</v>
      </c>
      <c r="C243" s="14">
        <v>1.45</v>
      </c>
    </row>
    <row r="244" spans="2:6" x14ac:dyDescent="0.2">
      <c r="B244" s="1" t="s">
        <v>75</v>
      </c>
      <c r="C244" s="10">
        <v>1000</v>
      </c>
    </row>
    <row r="245" spans="2:6" x14ac:dyDescent="0.2">
      <c r="B245" s="1" t="s">
        <v>16</v>
      </c>
      <c r="C245" s="1">
        <v>0</v>
      </c>
    </row>
    <row r="247" spans="2:6" x14ac:dyDescent="0.2">
      <c r="B247" s="1" t="s">
        <v>77</v>
      </c>
    </row>
    <row r="249" spans="2:6" x14ac:dyDescent="0.2">
      <c r="B249" s="1" t="s">
        <v>78</v>
      </c>
      <c r="E249" s="10">
        <f>+C244</f>
        <v>1000</v>
      </c>
    </row>
    <row r="250" spans="2:6" x14ac:dyDescent="0.2">
      <c r="C250" s="1" t="s">
        <v>90</v>
      </c>
      <c r="F250" s="10">
        <f>+E249</f>
        <v>1000</v>
      </c>
    </row>
    <row r="251" spans="2:6" x14ac:dyDescent="0.2">
      <c r="B251" s="1" t="s">
        <v>94</v>
      </c>
    </row>
    <row r="253" spans="2:6" x14ac:dyDescent="0.2">
      <c r="B253" s="15" t="s">
        <v>79</v>
      </c>
    </row>
    <row r="255" spans="2:6" x14ac:dyDescent="0.2">
      <c r="B255" s="1" t="s">
        <v>81</v>
      </c>
      <c r="C255" s="4">
        <v>300000</v>
      </c>
      <c r="D255" s="1" t="s">
        <v>82</v>
      </c>
    </row>
    <row r="256" spans="2:6" x14ac:dyDescent="0.2">
      <c r="B256" s="1" t="s">
        <v>36</v>
      </c>
      <c r="C256" s="5">
        <v>5</v>
      </c>
      <c r="D256" s="1" t="s">
        <v>80</v>
      </c>
    </row>
    <row r="257" spans="2:6" x14ac:dyDescent="0.2">
      <c r="C257" s="10">
        <f>+C255*C256</f>
        <v>1500000</v>
      </c>
    </row>
    <row r="258" spans="2:6" x14ac:dyDescent="0.2">
      <c r="B258" s="1" t="s">
        <v>83</v>
      </c>
      <c r="C258" s="10">
        <v>15000</v>
      </c>
    </row>
    <row r="259" spans="2:6" ht="12.75" thickBot="1" x14ac:dyDescent="0.25">
      <c r="B259" s="1" t="s">
        <v>99</v>
      </c>
      <c r="C259" s="11">
        <f>SUM(C257:C258)</f>
        <v>1515000</v>
      </c>
    </row>
    <row r="260" spans="2:6" ht="12.75" thickTop="1" x14ac:dyDescent="0.2"/>
    <row r="261" spans="2:6" x14ac:dyDescent="0.2">
      <c r="B261" s="1" t="s">
        <v>78</v>
      </c>
      <c r="E261" s="10">
        <f>+C258</f>
        <v>15000</v>
      </c>
    </row>
    <row r="262" spans="2:6" x14ac:dyDescent="0.2">
      <c r="B262" s="1" t="s">
        <v>92</v>
      </c>
      <c r="E262" s="10">
        <f>+C257</f>
        <v>1500000</v>
      </c>
    </row>
    <row r="263" spans="2:6" x14ac:dyDescent="0.2">
      <c r="C263" s="1" t="s">
        <v>90</v>
      </c>
      <c r="F263" s="10">
        <f>+SUM(E261:E262)</f>
        <v>1515000</v>
      </c>
    </row>
    <row r="264" spans="2:6" x14ac:dyDescent="0.2">
      <c r="B264" s="1" t="s">
        <v>93</v>
      </c>
    </row>
    <row r="267" spans="2:6" x14ac:dyDescent="0.2">
      <c r="B267" s="15" t="s">
        <v>84</v>
      </c>
    </row>
    <row r="268" spans="2:6" x14ac:dyDescent="0.2">
      <c r="B268" s="1" t="s">
        <v>85</v>
      </c>
      <c r="C268" s="4">
        <v>5000000</v>
      </c>
      <c r="D268" s="1" t="s">
        <v>82</v>
      </c>
    </row>
    <row r="269" spans="2:6" x14ac:dyDescent="0.2">
      <c r="B269" s="1" t="s">
        <v>19</v>
      </c>
      <c r="C269" s="5">
        <v>1</v>
      </c>
    </row>
    <row r="270" spans="2:6" x14ac:dyDescent="0.2">
      <c r="C270" s="6">
        <v>3.5000000000000003E-2</v>
      </c>
      <c r="D270" s="1" t="s">
        <v>86</v>
      </c>
    </row>
    <row r="271" spans="2:6" x14ac:dyDescent="0.2">
      <c r="B271" s="1" t="s">
        <v>87</v>
      </c>
      <c r="C271" s="16">
        <v>0.25</v>
      </c>
    </row>
    <row r="272" spans="2:6" x14ac:dyDescent="0.2">
      <c r="B272" s="1" t="s">
        <v>88</v>
      </c>
      <c r="C272" s="5">
        <v>1.1000000000000001</v>
      </c>
      <c r="D272" s="1" t="s">
        <v>80</v>
      </c>
    </row>
    <row r="273" spans="2:6" x14ac:dyDescent="0.2">
      <c r="B273" s="1" t="s">
        <v>75</v>
      </c>
      <c r="C273" s="10">
        <v>45000</v>
      </c>
    </row>
    <row r="274" spans="2:6" x14ac:dyDescent="0.2">
      <c r="B274" s="1" t="s">
        <v>89</v>
      </c>
    </row>
    <row r="276" spans="2:6" x14ac:dyDescent="0.2">
      <c r="C276" s="5">
        <f>+C268*C269*(1-C271)</f>
        <v>3750000</v>
      </c>
    </row>
    <row r="277" spans="2:6" x14ac:dyDescent="0.2">
      <c r="B277" s="1" t="s">
        <v>97</v>
      </c>
      <c r="C277" s="10">
        <f>+C273</f>
        <v>45000</v>
      </c>
    </row>
    <row r="278" spans="2:6" ht="12.75" thickBot="1" x14ac:dyDescent="0.25">
      <c r="C278" s="11">
        <f>+C276-C277</f>
        <v>3705000</v>
      </c>
    </row>
    <row r="279" spans="2:6" ht="12.75" thickTop="1" x14ac:dyDescent="0.2"/>
    <row r="280" spans="2:6" x14ac:dyDescent="0.2">
      <c r="B280" s="1" t="s">
        <v>25</v>
      </c>
      <c r="E280" s="10">
        <f>+C278</f>
        <v>3705000</v>
      </c>
      <c r="F280" s="10"/>
    </row>
    <row r="281" spans="2:6" x14ac:dyDescent="0.2">
      <c r="C281" s="1" t="s">
        <v>91</v>
      </c>
      <c r="E281" s="10"/>
      <c r="F281" s="10">
        <f>+E280</f>
        <v>3705000</v>
      </c>
    </row>
    <row r="282" spans="2:6" x14ac:dyDescent="0.2">
      <c r="B282" s="1" t="s">
        <v>98</v>
      </c>
    </row>
    <row r="284" spans="2:6" x14ac:dyDescent="0.2">
      <c r="B284" s="1" t="s">
        <v>96</v>
      </c>
    </row>
    <row r="319" spans="2:2" x14ac:dyDescent="0.2">
      <c r="B319" s="3" t="s">
        <v>100</v>
      </c>
    </row>
    <row r="349" spans="2:4" x14ac:dyDescent="0.2">
      <c r="B349" s="1" t="s">
        <v>113</v>
      </c>
    </row>
    <row r="350" spans="2:4" x14ac:dyDescent="0.2">
      <c r="B350" s="1" t="s">
        <v>101</v>
      </c>
      <c r="C350" s="4">
        <v>2257</v>
      </c>
    </row>
    <row r="351" spans="2:4" x14ac:dyDescent="0.2">
      <c r="B351" s="1" t="s">
        <v>102</v>
      </c>
      <c r="C351" s="4">
        <f>0.02*C350</f>
        <v>45.14</v>
      </c>
      <c r="D351" s="1" t="s">
        <v>111</v>
      </c>
    </row>
    <row r="352" spans="2:4" x14ac:dyDescent="0.2">
      <c r="C352" s="4">
        <f>+C350-C351</f>
        <v>2211.86</v>
      </c>
      <c r="D352" s="1" t="s">
        <v>112</v>
      </c>
    </row>
    <row r="354" spans="2:6" x14ac:dyDescent="0.2">
      <c r="B354" s="1" t="s">
        <v>103</v>
      </c>
    </row>
    <row r="355" spans="2:6" x14ac:dyDescent="0.2">
      <c r="B355" s="1" t="s">
        <v>104</v>
      </c>
      <c r="C355" s="1">
        <v>600</v>
      </c>
    </row>
    <row r="356" spans="2:6" x14ac:dyDescent="0.2">
      <c r="B356" s="1" t="s">
        <v>105</v>
      </c>
      <c r="C356" s="17">
        <v>44958</v>
      </c>
    </row>
    <row r="357" spans="2:6" x14ac:dyDescent="0.2">
      <c r="B357" s="1" t="s">
        <v>106</v>
      </c>
      <c r="C357" s="16">
        <v>0.03</v>
      </c>
      <c r="D357" s="1" t="s">
        <v>108</v>
      </c>
    </row>
    <row r="358" spans="2:6" x14ac:dyDescent="0.2">
      <c r="B358" s="1" t="s">
        <v>109</v>
      </c>
      <c r="C358" s="1">
        <v>738</v>
      </c>
      <c r="D358" s="17">
        <v>46784</v>
      </c>
    </row>
    <row r="359" spans="2:6" x14ac:dyDescent="0.2">
      <c r="B359" s="1" t="s">
        <v>110</v>
      </c>
      <c r="C359" s="16">
        <v>7.0000000000000007E-2</v>
      </c>
      <c r="D359" s="1" t="s">
        <v>107</v>
      </c>
    </row>
    <row r="360" spans="2:6" x14ac:dyDescent="0.2">
      <c r="B360" s="1" t="s">
        <v>114</v>
      </c>
    </row>
    <row r="363" spans="2:6" x14ac:dyDescent="0.2">
      <c r="C363" s="1" t="s">
        <v>115</v>
      </c>
      <c r="D363" s="1" t="s">
        <v>116</v>
      </c>
      <c r="E363" s="1" t="s">
        <v>117</v>
      </c>
      <c r="F363" s="1" t="s">
        <v>118</v>
      </c>
    </row>
    <row r="364" spans="2:6" x14ac:dyDescent="0.2">
      <c r="B364" s="17">
        <v>44227</v>
      </c>
      <c r="C364" s="1">
        <f>+C355</f>
        <v>600</v>
      </c>
      <c r="D364" s="1">
        <f>+C359*C364</f>
        <v>42.000000000000007</v>
      </c>
      <c r="E364" s="1">
        <f>-C357*C364</f>
        <v>-18</v>
      </c>
      <c r="F364" s="1">
        <f>SUM(C364:E364)</f>
        <v>624</v>
      </c>
    </row>
    <row r="366" spans="2:6" x14ac:dyDescent="0.2">
      <c r="B366" s="1" t="s">
        <v>119</v>
      </c>
      <c r="E366" s="1">
        <f>+D364</f>
        <v>42.000000000000007</v>
      </c>
    </row>
    <row r="367" spans="2:6" x14ac:dyDescent="0.2">
      <c r="B367" s="1" t="s">
        <v>120</v>
      </c>
      <c r="E367" s="1">
        <f>F364</f>
        <v>624</v>
      </c>
    </row>
    <row r="369" spans="2:6" x14ac:dyDescent="0.2">
      <c r="B369" s="1" t="s">
        <v>313</v>
      </c>
      <c r="E369" s="1">
        <f>SUM(D364:E364)</f>
        <v>24.000000000000007</v>
      </c>
    </row>
    <row r="370" spans="2:6" x14ac:dyDescent="0.2">
      <c r="C370" s="1" t="s">
        <v>314</v>
      </c>
      <c r="F370" s="1">
        <f>E369</f>
        <v>24.000000000000007</v>
      </c>
    </row>
    <row r="371" spans="2:6" x14ac:dyDescent="0.2">
      <c r="B371" s="1" t="s">
        <v>315</v>
      </c>
    </row>
    <row r="373" spans="2:6" x14ac:dyDescent="0.2">
      <c r="B373" s="1" t="s">
        <v>44</v>
      </c>
    </row>
    <row r="374" spans="2:6" x14ac:dyDescent="0.2">
      <c r="C374" s="4">
        <v>100000</v>
      </c>
    </row>
    <row r="375" spans="2:6" x14ac:dyDescent="0.2">
      <c r="B375" s="1" t="s">
        <v>121</v>
      </c>
      <c r="C375" s="5">
        <v>3.6</v>
      </c>
      <c r="D375" s="1" t="s">
        <v>80</v>
      </c>
    </row>
    <row r="377" spans="2:6" x14ac:dyDescent="0.2">
      <c r="B377" s="1" t="s">
        <v>122</v>
      </c>
      <c r="C377" s="4">
        <v>3000</v>
      </c>
    </row>
    <row r="378" spans="2:6" x14ac:dyDescent="0.2">
      <c r="B378" s="17">
        <v>45657</v>
      </c>
      <c r="C378" s="5">
        <v>3.95</v>
      </c>
    </row>
    <row r="379" spans="2:6" x14ac:dyDescent="0.2">
      <c r="B379" s="1" t="s">
        <v>123</v>
      </c>
      <c r="C379" s="16">
        <v>0.03</v>
      </c>
      <c r="D379" s="1" t="s">
        <v>125</v>
      </c>
    </row>
    <row r="380" spans="2:6" x14ac:dyDescent="0.2">
      <c r="B380" s="1" t="s">
        <v>50</v>
      </c>
    </row>
    <row r="381" spans="2:6" x14ac:dyDescent="0.2">
      <c r="B381" s="1" t="s">
        <v>124</v>
      </c>
    </row>
    <row r="382" spans="2:6" x14ac:dyDescent="0.2">
      <c r="B382" s="17">
        <v>45231</v>
      </c>
      <c r="C382" s="4">
        <v>20</v>
      </c>
    </row>
    <row r="383" spans="2:6" x14ac:dyDescent="0.2">
      <c r="D383" s="8" t="s">
        <v>30</v>
      </c>
    </row>
    <row r="384" spans="2:6" x14ac:dyDescent="0.2">
      <c r="B384" s="1" t="s">
        <v>126</v>
      </c>
      <c r="D384" s="4">
        <f>+C374*C375</f>
        <v>360000</v>
      </c>
    </row>
    <row r="385" spans="2:6" x14ac:dyDescent="0.2">
      <c r="D385" s="4">
        <f>+C377</f>
        <v>3000</v>
      </c>
    </row>
    <row r="386" spans="2:6" x14ac:dyDescent="0.2">
      <c r="D386" s="4">
        <f>SUM(D384:D385)</f>
        <v>363000</v>
      </c>
    </row>
    <row r="387" spans="2:6" x14ac:dyDescent="0.2">
      <c r="B387" s="1" t="s">
        <v>127</v>
      </c>
      <c r="C387" s="1">
        <v>3.95</v>
      </c>
      <c r="D387" s="4">
        <f>+C374*C378</f>
        <v>395000</v>
      </c>
    </row>
    <row r="388" spans="2:6" x14ac:dyDescent="0.2">
      <c r="D388" s="4">
        <f>+D387-D386</f>
        <v>32000</v>
      </c>
    </row>
    <row r="389" spans="2:6" x14ac:dyDescent="0.2">
      <c r="D389" s="4"/>
    </row>
    <row r="390" spans="2:6" x14ac:dyDescent="0.2">
      <c r="D390" s="4"/>
    </row>
    <row r="391" spans="2:6" x14ac:dyDescent="0.2">
      <c r="B391" s="1" t="s">
        <v>128</v>
      </c>
      <c r="D391" s="4">
        <f>+D387</f>
        <v>395000</v>
      </c>
      <c r="F391" s="10"/>
    </row>
    <row r="392" spans="2:6" x14ac:dyDescent="0.2">
      <c r="B392" s="1" t="s">
        <v>130</v>
      </c>
      <c r="D392" s="4">
        <f>+D393</f>
        <v>32000</v>
      </c>
    </row>
    <row r="393" spans="2:6" x14ac:dyDescent="0.2">
      <c r="B393" s="1" t="s">
        <v>129</v>
      </c>
      <c r="D393" s="4">
        <f>+D388</f>
        <v>32000</v>
      </c>
    </row>
    <row r="394" spans="2:6" x14ac:dyDescent="0.2">
      <c r="B394" s="1" t="s">
        <v>131</v>
      </c>
      <c r="D394" s="4">
        <f>+C382</f>
        <v>20</v>
      </c>
    </row>
    <row r="434" spans="2:3" x14ac:dyDescent="0.2">
      <c r="B434" s="1" t="s">
        <v>132</v>
      </c>
    </row>
    <row r="435" spans="2:3" x14ac:dyDescent="0.2">
      <c r="B435" s="1" t="s">
        <v>133</v>
      </c>
      <c r="C435" s="8" t="s">
        <v>30</v>
      </c>
    </row>
    <row r="436" spans="2:3" x14ac:dyDescent="0.2">
      <c r="B436" s="1" t="s">
        <v>85</v>
      </c>
      <c r="C436" s="1">
        <v>5000</v>
      </c>
    </row>
    <row r="437" spans="2:3" x14ac:dyDescent="0.2">
      <c r="B437" s="1" t="s">
        <v>19</v>
      </c>
      <c r="C437" s="1">
        <v>0.5</v>
      </c>
    </row>
    <row r="438" spans="2:3" x14ac:dyDescent="0.2">
      <c r="B438" s="1" t="s">
        <v>149</v>
      </c>
      <c r="C438" s="1">
        <f>C436*C437</f>
        <v>2500</v>
      </c>
    </row>
    <row r="439" spans="2:3" x14ac:dyDescent="0.2">
      <c r="B439" s="1" t="s">
        <v>18</v>
      </c>
      <c r="C439" s="16">
        <v>7.0000000000000007E-2</v>
      </c>
    </row>
    <row r="440" spans="2:3" x14ac:dyDescent="0.2">
      <c r="B440" s="1" t="s">
        <v>134</v>
      </c>
      <c r="C440" s="16">
        <v>0.1</v>
      </c>
    </row>
    <row r="441" spans="2:3" x14ac:dyDescent="0.2">
      <c r="B441" s="1" t="s">
        <v>141</v>
      </c>
      <c r="C441" s="7">
        <v>120</v>
      </c>
    </row>
    <row r="442" spans="2:3" x14ac:dyDescent="0.2">
      <c r="B442" s="1" t="s">
        <v>136</v>
      </c>
      <c r="C442" s="6">
        <v>0.14299999999999999</v>
      </c>
    </row>
    <row r="443" spans="2:3" x14ac:dyDescent="0.2">
      <c r="B443" s="1" t="s">
        <v>137</v>
      </c>
    </row>
    <row r="446" spans="2:3" x14ac:dyDescent="0.2">
      <c r="B446" s="1" t="s">
        <v>138</v>
      </c>
    </row>
    <row r="447" spans="2:3" x14ac:dyDescent="0.2">
      <c r="B447" s="1" t="s">
        <v>139</v>
      </c>
      <c r="C447" s="1">
        <v>0</v>
      </c>
    </row>
    <row r="448" spans="2:3" x14ac:dyDescent="0.2">
      <c r="B448" s="1" t="s">
        <v>140</v>
      </c>
      <c r="C448" s="4">
        <v>-50</v>
      </c>
    </row>
    <row r="449" spans="2:6" x14ac:dyDescent="0.2">
      <c r="C449" s="4"/>
    </row>
    <row r="450" spans="2:6" x14ac:dyDescent="0.2">
      <c r="B450" s="1" t="s">
        <v>142</v>
      </c>
      <c r="C450" s="4">
        <f>+C436*C437*(1-C440)</f>
        <v>2250</v>
      </c>
    </row>
    <row r="451" spans="2:6" x14ac:dyDescent="0.2">
      <c r="B451" s="1" t="s">
        <v>143</v>
      </c>
      <c r="C451" s="4">
        <f>+C450-C441</f>
        <v>2130</v>
      </c>
    </row>
    <row r="454" spans="2:6" x14ac:dyDescent="0.2">
      <c r="B454" s="1" t="s">
        <v>144</v>
      </c>
      <c r="E454" s="1">
        <f>+C450</f>
        <v>2250</v>
      </c>
    </row>
    <row r="455" spans="2:6" x14ac:dyDescent="0.2">
      <c r="C455" s="1" t="s">
        <v>91</v>
      </c>
      <c r="F455" s="4">
        <f>+C451</f>
        <v>2130</v>
      </c>
    </row>
    <row r="456" spans="2:6" x14ac:dyDescent="0.2">
      <c r="C456" s="1" t="s">
        <v>145</v>
      </c>
      <c r="F456" s="7">
        <f>+C441</f>
        <v>120</v>
      </c>
    </row>
    <row r="457" spans="2:6" x14ac:dyDescent="0.2">
      <c r="B457" s="1" t="s">
        <v>146</v>
      </c>
    </row>
    <row r="459" spans="2:6" x14ac:dyDescent="0.2">
      <c r="C459" s="1" t="s">
        <v>147</v>
      </c>
      <c r="D459" s="1" t="s">
        <v>110</v>
      </c>
      <c r="E459" s="1" t="s">
        <v>117</v>
      </c>
      <c r="F459" s="1" t="s">
        <v>148</v>
      </c>
    </row>
    <row r="460" spans="2:6" x14ac:dyDescent="0.2">
      <c r="C460" s="4">
        <f>+C451</f>
        <v>2130</v>
      </c>
      <c r="D460" s="4">
        <f>+C460*C442</f>
        <v>304.58999999999997</v>
      </c>
      <c r="E460" s="4">
        <f>-C439*C438</f>
        <v>-175.00000000000003</v>
      </c>
      <c r="F460" s="4">
        <f>SUM(C460:E460)</f>
        <v>2259.59</v>
      </c>
    </row>
    <row r="462" spans="2:6" x14ac:dyDescent="0.2">
      <c r="B462" s="1" t="s">
        <v>150</v>
      </c>
      <c r="C462" s="4">
        <f>SUM(D460:E460)</f>
        <v>129.58999999999995</v>
      </c>
    </row>
    <row r="464" spans="2:6" x14ac:dyDescent="0.2">
      <c r="B464" s="1" t="s">
        <v>151</v>
      </c>
      <c r="E464" s="4">
        <f>+C462</f>
        <v>129.58999999999995</v>
      </c>
    </row>
    <row r="465" spans="2:6" x14ac:dyDescent="0.2">
      <c r="C465" s="1" t="s">
        <v>91</v>
      </c>
      <c r="F465" s="4">
        <f>+E464</f>
        <v>129.58999999999995</v>
      </c>
    </row>
    <row r="466" spans="2:6" x14ac:dyDescent="0.2">
      <c r="B466" s="1" t="s">
        <v>152</v>
      </c>
    </row>
    <row r="468" spans="2:6" x14ac:dyDescent="0.2">
      <c r="B468" s="1" t="s">
        <v>153</v>
      </c>
    </row>
    <row r="469" spans="2:6" x14ac:dyDescent="0.2">
      <c r="B469" s="1" t="s">
        <v>155</v>
      </c>
      <c r="E469" s="4">
        <f>-C448</f>
        <v>50</v>
      </c>
    </row>
    <row r="470" spans="2:6" x14ac:dyDescent="0.2">
      <c r="C470" s="1" t="s">
        <v>154</v>
      </c>
      <c r="F470" s="4">
        <f>+E469</f>
        <v>50</v>
      </c>
    </row>
    <row r="471" spans="2:6" x14ac:dyDescent="0.2">
      <c r="B471" s="1" t="s">
        <v>156</v>
      </c>
    </row>
  </sheetData>
  <hyperlinks>
    <hyperlink ref="A1" location="Main!A1" display="Main" xr:uid="{AC89AA26-7EB7-4352-9DBB-A301EAAA5DF5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63538-678C-4D75-AC00-D351639FC109}">
  <dimension ref="A1:G89"/>
  <sheetViews>
    <sheetView zoomScale="175" zoomScaleNormal="175" workbookViewId="0"/>
  </sheetViews>
  <sheetFormatPr defaultRowHeight="12" x14ac:dyDescent="0.2"/>
  <cols>
    <col min="1" max="16384" width="9.140625" style="1"/>
  </cols>
  <sheetData>
    <row r="1" spans="1:3" ht="15" x14ac:dyDescent="0.25">
      <c r="A1" s="2" t="s">
        <v>0</v>
      </c>
    </row>
    <row r="2" spans="1:3" x14ac:dyDescent="0.2">
      <c r="B2" s="1" t="s">
        <v>157</v>
      </c>
      <c r="C2" s="1" t="s">
        <v>212</v>
      </c>
    </row>
    <row r="3" spans="1:3" x14ac:dyDescent="0.2">
      <c r="C3" s="1" t="s">
        <v>252</v>
      </c>
    </row>
    <row r="4" spans="1:3" x14ac:dyDescent="0.2">
      <c r="C4" s="1" t="s">
        <v>256</v>
      </c>
    </row>
    <row r="5" spans="1:3" x14ac:dyDescent="0.2">
      <c r="C5" s="1" t="s">
        <v>257</v>
      </c>
    </row>
    <row r="6" spans="1:3" x14ac:dyDescent="0.2">
      <c r="C6" s="1" t="s">
        <v>258</v>
      </c>
    </row>
    <row r="7" spans="1:3" x14ac:dyDescent="0.2">
      <c r="C7" s="1" t="s">
        <v>259</v>
      </c>
    </row>
    <row r="8" spans="1:3" x14ac:dyDescent="0.2">
      <c r="B8" s="1" t="s">
        <v>158</v>
      </c>
      <c r="C8" s="17">
        <v>45016</v>
      </c>
    </row>
    <row r="9" spans="1:3" x14ac:dyDescent="0.2">
      <c r="B9" s="1" t="s">
        <v>159</v>
      </c>
    </row>
    <row r="11" spans="1:3" x14ac:dyDescent="0.2">
      <c r="B11" s="1" t="s">
        <v>160</v>
      </c>
    </row>
    <row r="12" spans="1:3" x14ac:dyDescent="0.2">
      <c r="C12" s="10">
        <v>2000</v>
      </c>
    </row>
    <row r="13" spans="1:3" x14ac:dyDescent="0.2">
      <c r="C13" s="17">
        <v>44986</v>
      </c>
    </row>
    <row r="14" spans="1:3" x14ac:dyDescent="0.2">
      <c r="B14" s="1" t="s">
        <v>161</v>
      </c>
      <c r="C14" s="1">
        <v>4</v>
      </c>
    </row>
    <row r="15" spans="1:3" x14ac:dyDescent="0.2">
      <c r="B15" s="1" t="s">
        <v>163</v>
      </c>
    </row>
    <row r="16" spans="1:3" x14ac:dyDescent="0.2">
      <c r="B16" s="1" t="s">
        <v>162</v>
      </c>
    </row>
    <row r="17" spans="2:6" x14ac:dyDescent="0.2">
      <c r="B17" s="1" t="s">
        <v>164</v>
      </c>
    </row>
    <row r="18" spans="2:6" x14ac:dyDescent="0.2">
      <c r="B18" s="1" t="s">
        <v>165</v>
      </c>
    </row>
    <row r="19" spans="2:6" x14ac:dyDescent="0.2">
      <c r="B19" s="1" t="s">
        <v>167</v>
      </c>
    </row>
    <row r="21" spans="2:6" x14ac:dyDescent="0.2">
      <c r="B21" s="1" t="s">
        <v>166</v>
      </c>
      <c r="E21" s="10">
        <f>+C12+C14</f>
        <v>2004</v>
      </c>
    </row>
    <row r="22" spans="2:6" x14ac:dyDescent="0.2">
      <c r="C22" s="1" t="s">
        <v>90</v>
      </c>
      <c r="F22" s="10">
        <f>+E21</f>
        <v>2004</v>
      </c>
    </row>
    <row r="23" spans="2:6" x14ac:dyDescent="0.2">
      <c r="B23" s="1" t="s">
        <v>168</v>
      </c>
    </row>
    <row r="25" spans="2:6" x14ac:dyDescent="0.2">
      <c r="B25" s="1" t="s">
        <v>169</v>
      </c>
    </row>
    <row r="26" spans="2:6" x14ac:dyDescent="0.2">
      <c r="B26" s="1" t="s">
        <v>170</v>
      </c>
      <c r="C26" s="1">
        <v>450</v>
      </c>
      <c r="D26" s="1" t="s">
        <v>82</v>
      </c>
    </row>
    <row r="27" spans="2:6" x14ac:dyDescent="0.2">
      <c r="B27" s="1" t="s">
        <v>171</v>
      </c>
      <c r="C27" s="1">
        <v>2.5</v>
      </c>
      <c r="D27" s="1" t="s">
        <v>172</v>
      </c>
    </row>
    <row r="28" spans="2:6" x14ac:dyDescent="0.2">
      <c r="B28" s="1" t="s">
        <v>173</v>
      </c>
      <c r="C28" s="1">
        <v>3</v>
      </c>
      <c r="D28" s="17">
        <v>44651</v>
      </c>
    </row>
    <row r="29" spans="2:6" x14ac:dyDescent="0.2">
      <c r="B29" s="1" t="s">
        <v>173</v>
      </c>
      <c r="C29" s="1">
        <v>3.25</v>
      </c>
      <c r="D29" s="17">
        <v>45016</v>
      </c>
    </row>
    <row r="31" spans="2:6" x14ac:dyDescent="0.2">
      <c r="B31" s="1" t="s">
        <v>174</v>
      </c>
    </row>
    <row r="32" spans="2:6" x14ac:dyDescent="0.2">
      <c r="B32" s="1" t="s">
        <v>253</v>
      </c>
    </row>
    <row r="33" spans="2:6" x14ac:dyDescent="0.2">
      <c r="B33" s="1" t="s">
        <v>175</v>
      </c>
    </row>
    <row r="34" spans="2:6" x14ac:dyDescent="0.2">
      <c r="B34" s="1" t="s">
        <v>176</v>
      </c>
    </row>
    <row r="35" spans="2:6" x14ac:dyDescent="0.2">
      <c r="B35" s="1" t="s">
        <v>177</v>
      </c>
    </row>
    <row r="36" spans="2:6" x14ac:dyDescent="0.2">
      <c r="C36" s="8" t="s">
        <v>30</v>
      </c>
    </row>
    <row r="37" spans="2:6" x14ac:dyDescent="0.2">
      <c r="C37" s="4">
        <f>+$C$26*C27</f>
        <v>1125</v>
      </c>
      <c r="D37" s="1" t="s">
        <v>139</v>
      </c>
    </row>
    <row r="38" spans="2:6" x14ac:dyDescent="0.2">
      <c r="C38" s="4">
        <f t="shared" ref="C38:C39" si="0">+$C$26*C28</f>
        <v>1350</v>
      </c>
      <c r="D38" s="17">
        <f>+D28</f>
        <v>44651</v>
      </c>
    </row>
    <row r="39" spans="2:6" x14ac:dyDescent="0.2">
      <c r="C39" s="4">
        <f t="shared" si="0"/>
        <v>1462.5</v>
      </c>
      <c r="D39" s="17">
        <f>+D29</f>
        <v>45016</v>
      </c>
    </row>
    <row r="40" spans="2:6" x14ac:dyDescent="0.2">
      <c r="B40" s="1" t="s">
        <v>178</v>
      </c>
      <c r="C40" s="4">
        <f>+C39-C38</f>
        <v>112.5</v>
      </c>
    </row>
    <row r="41" spans="2:6" x14ac:dyDescent="0.2">
      <c r="B41" s="1" t="s">
        <v>179</v>
      </c>
      <c r="C41" s="4">
        <f>+C40</f>
        <v>112.5</v>
      </c>
    </row>
    <row r="43" spans="2:6" x14ac:dyDescent="0.2">
      <c r="B43" s="1" t="s">
        <v>181</v>
      </c>
      <c r="E43" s="1">
        <f>+F44</f>
        <v>112.5</v>
      </c>
    </row>
    <row r="44" spans="2:6" x14ac:dyDescent="0.2">
      <c r="C44" s="1" t="s">
        <v>180</v>
      </c>
      <c r="F44" s="1">
        <f>+C41</f>
        <v>112.5</v>
      </c>
    </row>
    <row r="45" spans="2:6" x14ac:dyDescent="0.2">
      <c r="B45" s="1" t="s">
        <v>210</v>
      </c>
    </row>
    <row r="47" spans="2:6" x14ac:dyDescent="0.2">
      <c r="B47" s="1" t="s">
        <v>182</v>
      </c>
    </row>
    <row r="48" spans="2:6" x14ac:dyDescent="0.2">
      <c r="B48" s="1" t="s">
        <v>170</v>
      </c>
      <c r="C48" s="1">
        <v>1000</v>
      </c>
      <c r="D48" s="1" t="s">
        <v>183</v>
      </c>
      <c r="E48" s="17">
        <v>44811</v>
      </c>
    </row>
    <row r="49" spans="2:6" x14ac:dyDescent="0.2">
      <c r="C49" s="1">
        <v>3.5</v>
      </c>
      <c r="D49" s="1" t="s">
        <v>172</v>
      </c>
    </row>
    <row r="50" spans="2:6" x14ac:dyDescent="0.2">
      <c r="B50" s="1" t="s">
        <v>184</v>
      </c>
      <c r="C50" s="1">
        <f>+C48*C49</f>
        <v>3500</v>
      </c>
    </row>
    <row r="51" spans="2:6" x14ac:dyDescent="0.2">
      <c r="B51" s="1" t="s">
        <v>185</v>
      </c>
      <c r="C51" s="1">
        <v>30</v>
      </c>
    </row>
    <row r="52" spans="2:6" x14ac:dyDescent="0.2">
      <c r="B52" s="1" t="s">
        <v>173</v>
      </c>
      <c r="C52" s="1">
        <v>3.9</v>
      </c>
      <c r="D52" s="17">
        <v>40999</v>
      </c>
    </row>
    <row r="53" spans="2:6" x14ac:dyDescent="0.2">
      <c r="B53" s="1" t="s">
        <v>123</v>
      </c>
      <c r="C53" s="6">
        <v>1.4999999999999999E-2</v>
      </c>
      <c r="D53" s="1" t="s">
        <v>186</v>
      </c>
    </row>
    <row r="54" spans="2:6" x14ac:dyDescent="0.2">
      <c r="B54" s="1" t="s">
        <v>187</v>
      </c>
      <c r="C54" s="5">
        <v>0.1</v>
      </c>
      <c r="D54" s="1" t="s">
        <v>80</v>
      </c>
      <c r="E54" s="17">
        <v>44958</v>
      </c>
    </row>
    <row r="55" spans="2:6" x14ac:dyDescent="0.2">
      <c r="C55" s="5"/>
      <c r="E55" s="17"/>
    </row>
    <row r="56" spans="2:6" x14ac:dyDescent="0.2">
      <c r="C56" s="5">
        <f>+C48*C52</f>
        <v>3900</v>
      </c>
      <c r="E56" s="17"/>
    </row>
    <row r="57" spans="2:6" x14ac:dyDescent="0.2">
      <c r="C57" s="5">
        <f>+C56-F62</f>
        <v>370</v>
      </c>
    </row>
    <row r="58" spans="2:6" x14ac:dyDescent="0.2">
      <c r="B58" s="1" t="s">
        <v>254</v>
      </c>
    </row>
    <row r="59" spans="2:6" x14ac:dyDescent="0.2">
      <c r="B59" s="1" t="s">
        <v>255</v>
      </c>
    </row>
    <row r="60" spans="2:6" x14ac:dyDescent="0.2">
      <c r="B60" s="1" t="s">
        <v>188</v>
      </c>
    </row>
    <row r="61" spans="2:6" x14ac:dyDescent="0.2">
      <c r="B61" s="1" t="s">
        <v>25</v>
      </c>
      <c r="E61" s="4">
        <f>+F62</f>
        <v>3530</v>
      </c>
    </row>
    <row r="62" spans="2:6" x14ac:dyDescent="0.2">
      <c r="C62" s="1" t="s">
        <v>189</v>
      </c>
      <c r="E62" s="4"/>
      <c r="F62" s="4">
        <f>+C50+C51</f>
        <v>3530</v>
      </c>
    </row>
    <row r="63" spans="2:6" x14ac:dyDescent="0.2">
      <c r="E63" s="4"/>
      <c r="F63" s="4"/>
    </row>
    <row r="64" spans="2:6" x14ac:dyDescent="0.2">
      <c r="B64" s="1" t="s">
        <v>190</v>
      </c>
      <c r="E64" s="4"/>
      <c r="F64" s="4"/>
    </row>
    <row r="65" spans="2:7" x14ac:dyDescent="0.2">
      <c r="B65" s="1" t="s">
        <v>192</v>
      </c>
      <c r="E65" s="4">
        <f>+F66</f>
        <v>370</v>
      </c>
      <c r="F65" s="4"/>
    </row>
    <row r="66" spans="2:7" x14ac:dyDescent="0.2">
      <c r="C66" s="1" t="s">
        <v>191</v>
      </c>
      <c r="E66" s="4"/>
      <c r="F66" s="4">
        <f>+C57</f>
        <v>370</v>
      </c>
      <c r="G66" s="19" t="s">
        <v>211</v>
      </c>
    </row>
    <row r="67" spans="2:7" x14ac:dyDescent="0.2">
      <c r="B67" s="1" t="s">
        <v>193</v>
      </c>
      <c r="E67" s="4"/>
      <c r="F67" s="4"/>
    </row>
    <row r="68" spans="2:7" x14ac:dyDescent="0.2">
      <c r="E68" s="4"/>
      <c r="F68" s="4"/>
    </row>
    <row r="69" spans="2:7" x14ac:dyDescent="0.2">
      <c r="C69" s="1" t="s">
        <v>194</v>
      </c>
      <c r="E69" s="4"/>
      <c r="F69" s="4">
        <f>+C54*C48</f>
        <v>100</v>
      </c>
    </row>
    <row r="70" spans="2:7" x14ac:dyDescent="0.2">
      <c r="B70" s="1" t="s">
        <v>25</v>
      </c>
      <c r="E70" s="4">
        <f>+F69</f>
        <v>100</v>
      </c>
      <c r="F70" s="4"/>
    </row>
    <row r="71" spans="2:7" x14ac:dyDescent="0.2">
      <c r="B71" s="1" t="s">
        <v>195</v>
      </c>
      <c r="E71" s="4"/>
      <c r="F71" s="4"/>
    </row>
    <row r="74" spans="2:7" x14ac:dyDescent="0.2">
      <c r="B74" s="18" t="s">
        <v>196</v>
      </c>
      <c r="C74" s="8" t="s">
        <v>30</v>
      </c>
    </row>
    <row r="75" spans="2:7" x14ac:dyDescent="0.2">
      <c r="B75" s="1" t="s">
        <v>197</v>
      </c>
      <c r="C75" s="1">
        <v>950</v>
      </c>
      <c r="D75" s="17">
        <v>44835</v>
      </c>
    </row>
    <row r="76" spans="2:7" x14ac:dyDescent="0.2">
      <c r="B76" s="1" t="s">
        <v>198</v>
      </c>
      <c r="C76" s="1">
        <v>1200</v>
      </c>
      <c r="D76" s="17">
        <v>46660</v>
      </c>
    </row>
    <row r="77" spans="2:7" x14ac:dyDescent="0.2">
      <c r="B77" s="1" t="s">
        <v>117</v>
      </c>
      <c r="C77" s="16">
        <v>0.02</v>
      </c>
      <c r="D77" s="1" t="s">
        <v>199</v>
      </c>
    </row>
    <row r="78" spans="2:7" x14ac:dyDescent="0.2">
      <c r="B78" s="1" t="s">
        <v>200</v>
      </c>
      <c r="C78" s="6">
        <v>4.1700000000000001E-2</v>
      </c>
      <c r="D78" s="1" t="s">
        <v>199</v>
      </c>
    </row>
    <row r="80" spans="2:7" x14ac:dyDescent="0.2">
      <c r="B80" s="1" t="s">
        <v>201</v>
      </c>
    </row>
    <row r="81" spans="2:6" x14ac:dyDescent="0.2">
      <c r="B81" s="1" t="s">
        <v>202</v>
      </c>
    </row>
    <row r="82" spans="2:6" x14ac:dyDescent="0.2">
      <c r="B82" s="1" t="s">
        <v>203</v>
      </c>
    </row>
    <row r="83" spans="2:6" x14ac:dyDescent="0.2">
      <c r="B83" s="1" t="s">
        <v>204</v>
      </c>
    </row>
    <row r="85" spans="2:6" x14ac:dyDescent="0.2">
      <c r="C85" s="1" t="s">
        <v>205</v>
      </c>
      <c r="D85" s="1" t="s">
        <v>206</v>
      </c>
      <c r="E85" s="1" t="s">
        <v>207</v>
      </c>
      <c r="F85" s="1" t="s">
        <v>208</v>
      </c>
    </row>
    <row r="86" spans="2:6" x14ac:dyDescent="0.2">
      <c r="B86" s="17">
        <v>45016</v>
      </c>
      <c r="C86" s="4">
        <f>+C75</f>
        <v>950</v>
      </c>
      <c r="D86" s="4">
        <f>+C78*C86</f>
        <v>39.615000000000002</v>
      </c>
      <c r="E86" s="4">
        <f>-C77*C86</f>
        <v>-19</v>
      </c>
      <c r="F86" s="4">
        <f>SUM(C86:E86)</f>
        <v>970.61500000000001</v>
      </c>
    </row>
    <row r="88" spans="2:6" x14ac:dyDescent="0.2">
      <c r="B88" s="1" t="s">
        <v>261</v>
      </c>
    </row>
    <row r="89" spans="2:6" x14ac:dyDescent="0.2">
      <c r="B89" s="1" t="s">
        <v>260</v>
      </c>
    </row>
  </sheetData>
  <hyperlinks>
    <hyperlink ref="A1" location="Main!A1" display="Main" xr:uid="{B813D7A1-C16E-4F39-9163-95D61741922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2162B-1558-4EF9-8B36-08EA75D1F917}">
  <dimension ref="A1:F72"/>
  <sheetViews>
    <sheetView zoomScale="175" zoomScaleNormal="175" workbookViewId="0">
      <selection activeCell="A2" sqref="A2:XFD3"/>
    </sheetView>
  </sheetViews>
  <sheetFormatPr defaultRowHeight="12" x14ac:dyDescent="0.2"/>
  <cols>
    <col min="1" max="16384" width="9.140625" style="1"/>
  </cols>
  <sheetData>
    <row r="1" spans="1:6" ht="15" x14ac:dyDescent="0.25">
      <c r="A1" s="2" t="s">
        <v>0</v>
      </c>
    </row>
    <row r="2" spans="1:6" x14ac:dyDescent="0.2">
      <c r="B2" s="1" t="s">
        <v>213</v>
      </c>
    </row>
    <row r="3" spans="1:6" x14ac:dyDescent="0.2">
      <c r="B3" s="1" t="s">
        <v>158</v>
      </c>
      <c r="C3" s="17">
        <v>45169</v>
      </c>
    </row>
    <row r="5" spans="1:6" x14ac:dyDescent="0.2">
      <c r="B5" s="1" t="s">
        <v>214</v>
      </c>
    </row>
    <row r="6" spans="1:6" x14ac:dyDescent="0.2">
      <c r="B6" s="1" t="s">
        <v>197</v>
      </c>
      <c r="C6" s="1">
        <v>3200</v>
      </c>
      <c r="D6" s="17">
        <v>44958</v>
      </c>
    </row>
    <row r="7" spans="1:6" x14ac:dyDescent="0.2">
      <c r="B7" s="1" t="s">
        <v>207</v>
      </c>
      <c r="C7" s="16">
        <v>0.08</v>
      </c>
    </row>
    <row r="8" spans="1:6" x14ac:dyDescent="0.2">
      <c r="B8" s="1" t="s">
        <v>206</v>
      </c>
      <c r="C8" s="16">
        <v>0.08</v>
      </c>
    </row>
    <row r="9" spans="1:6" x14ac:dyDescent="0.2">
      <c r="B9" s="1" t="s">
        <v>215</v>
      </c>
      <c r="C9" s="1">
        <v>3200</v>
      </c>
      <c r="D9" s="17">
        <v>46784</v>
      </c>
    </row>
    <row r="11" spans="1:6" x14ac:dyDescent="0.2">
      <c r="B11" s="4">
        <v>7</v>
      </c>
      <c r="C11" s="1" t="s">
        <v>216</v>
      </c>
    </row>
    <row r="12" spans="1:6" x14ac:dyDescent="0.2">
      <c r="B12" s="1" t="s">
        <v>217</v>
      </c>
      <c r="C12" s="7">
        <f>+C6*C7*7/12</f>
        <v>149.33333333333334</v>
      </c>
    </row>
    <row r="15" spans="1:6" x14ac:dyDescent="0.2">
      <c r="B15" s="1" t="s">
        <v>209</v>
      </c>
      <c r="E15" s="7">
        <f>+C12</f>
        <v>149.33333333333334</v>
      </c>
    </row>
    <row r="16" spans="1:6" x14ac:dyDescent="0.2">
      <c r="C16" s="1" t="s">
        <v>218</v>
      </c>
      <c r="F16" s="1">
        <f>+C6</f>
        <v>3200</v>
      </c>
    </row>
    <row r="17" spans="2:5" x14ac:dyDescent="0.2">
      <c r="B17" s="1" t="s">
        <v>219</v>
      </c>
      <c r="E17" s="7">
        <f>+F16-E15</f>
        <v>3050.6666666666665</v>
      </c>
    </row>
    <row r="18" spans="2:5" x14ac:dyDescent="0.2">
      <c r="B18" s="1" t="s">
        <v>220</v>
      </c>
    </row>
    <row r="21" spans="2:5" x14ac:dyDescent="0.2">
      <c r="B21" s="1" t="s">
        <v>221</v>
      </c>
      <c r="C21" s="8" t="s">
        <v>30</v>
      </c>
    </row>
    <row r="22" spans="2:5" x14ac:dyDescent="0.2">
      <c r="B22" s="1" t="s">
        <v>222</v>
      </c>
      <c r="C22" s="1">
        <v>7000</v>
      </c>
    </row>
    <row r="23" spans="2:5" x14ac:dyDescent="0.2">
      <c r="B23" s="1" t="s">
        <v>19</v>
      </c>
      <c r="C23" s="1">
        <v>1</v>
      </c>
    </row>
    <row r="24" spans="2:5" x14ac:dyDescent="0.2">
      <c r="B24" s="1" t="s">
        <v>18</v>
      </c>
      <c r="C24" s="6">
        <v>4.4999999999999998E-2</v>
      </c>
    </row>
    <row r="25" spans="2:5" x14ac:dyDescent="0.2">
      <c r="B25" s="1" t="s">
        <v>223</v>
      </c>
      <c r="C25" s="17">
        <v>44986</v>
      </c>
    </row>
    <row r="26" spans="2:5" x14ac:dyDescent="0.2">
      <c r="B26" s="1" t="s">
        <v>224</v>
      </c>
      <c r="C26" s="1">
        <v>1.25</v>
      </c>
      <c r="D26" s="1" t="s">
        <v>225</v>
      </c>
    </row>
    <row r="27" spans="2:5" x14ac:dyDescent="0.2">
      <c r="B27" s="1" t="s">
        <v>223</v>
      </c>
      <c r="C27" s="17">
        <v>46811</v>
      </c>
    </row>
    <row r="28" spans="2:5" x14ac:dyDescent="0.2">
      <c r="B28" s="1" t="s">
        <v>226</v>
      </c>
      <c r="C28" s="1">
        <v>230</v>
      </c>
    </row>
    <row r="29" spans="2:5" x14ac:dyDescent="0.2">
      <c r="B29" s="1" t="s">
        <v>117</v>
      </c>
      <c r="C29" s="6">
        <v>2.2499999999999999E-2</v>
      </c>
      <c r="D29" s="1" t="s">
        <v>199</v>
      </c>
    </row>
    <row r="30" spans="2:5" x14ac:dyDescent="0.2">
      <c r="B30" s="1" t="s">
        <v>200</v>
      </c>
      <c r="C30" s="6">
        <v>4.6899999999999997E-2</v>
      </c>
      <c r="D30" s="1" t="s">
        <v>199</v>
      </c>
    </row>
    <row r="32" spans="2:5" x14ac:dyDescent="0.2">
      <c r="B32" s="1" t="s">
        <v>236</v>
      </c>
      <c r="E32" s="1">
        <f>+C28</f>
        <v>230</v>
      </c>
    </row>
    <row r="33" spans="2:6" x14ac:dyDescent="0.2">
      <c r="C33" s="1" t="s">
        <v>237</v>
      </c>
      <c r="F33" s="1">
        <f>+E32</f>
        <v>230</v>
      </c>
    </row>
    <row r="34" spans="2:6" x14ac:dyDescent="0.2">
      <c r="B34" s="1" t="s">
        <v>238</v>
      </c>
    </row>
    <row r="36" spans="2:6" x14ac:dyDescent="0.2">
      <c r="B36" s="1" t="s">
        <v>241</v>
      </c>
      <c r="C36" s="1">
        <f>+C22*C23</f>
        <v>7000</v>
      </c>
    </row>
    <row r="37" spans="2:6" x14ac:dyDescent="0.2">
      <c r="C37" s="1">
        <f>+C28</f>
        <v>230</v>
      </c>
    </row>
    <row r="38" spans="2:6" x14ac:dyDescent="0.2">
      <c r="C38" s="1">
        <f>+C36-C37</f>
        <v>6770</v>
      </c>
    </row>
    <row r="40" spans="2:6" s="20" customFormat="1" x14ac:dyDescent="0.2">
      <c r="C40" s="20" t="s">
        <v>242</v>
      </c>
      <c r="D40" s="20" t="s">
        <v>227</v>
      </c>
      <c r="E40" s="20" t="s">
        <v>207</v>
      </c>
      <c r="F40" s="20" t="s">
        <v>243</v>
      </c>
    </row>
    <row r="41" spans="2:6" s="20" customFormat="1" x14ac:dyDescent="0.2">
      <c r="B41" s="21">
        <v>45169</v>
      </c>
      <c r="C41" s="22">
        <f>+C38</f>
        <v>6770</v>
      </c>
      <c r="D41" s="22">
        <f>+C41*C30</f>
        <v>317.51299999999998</v>
      </c>
      <c r="E41" s="22">
        <f>-C29*C22</f>
        <v>-157.5</v>
      </c>
      <c r="F41" s="22">
        <f>SUM(C41:E41)</f>
        <v>6930.0129999999999</v>
      </c>
    </row>
    <row r="42" spans="2:6" s="20" customFormat="1" x14ac:dyDescent="0.2"/>
    <row r="43" spans="2:6" s="20" customFormat="1" x14ac:dyDescent="0.2">
      <c r="B43" s="20" t="s">
        <v>228</v>
      </c>
      <c r="C43" s="20" t="s">
        <v>229</v>
      </c>
      <c r="D43" s="22">
        <f>SUM(D41:E41)</f>
        <v>160.01299999999998</v>
      </c>
    </row>
    <row r="44" spans="2:6" s="20" customFormat="1" x14ac:dyDescent="0.2"/>
    <row r="45" spans="2:6" s="20" customFormat="1" x14ac:dyDescent="0.2"/>
    <row r="46" spans="2:6" s="20" customFormat="1" x14ac:dyDescent="0.2">
      <c r="B46" s="20" t="s">
        <v>239</v>
      </c>
      <c r="E46" s="22">
        <f>+D43</f>
        <v>160.01299999999998</v>
      </c>
    </row>
    <row r="47" spans="2:6" s="20" customFormat="1" x14ac:dyDescent="0.2">
      <c r="C47" s="20" t="s">
        <v>240</v>
      </c>
      <c r="F47" s="22">
        <f>+E46</f>
        <v>160.01299999999998</v>
      </c>
    </row>
    <row r="48" spans="2:6" x14ac:dyDescent="0.2">
      <c r="B48" s="1" t="s">
        <v>244</v>
      </c>
    </row>
    <row r="50" spans="2:6" x14ac:dyDescent="0.2">
      <c r="B50" s="1" t="s">
        <v>230</v>
      </c>
    </row>
    <row r="51" spans="2:6" x14ac:dyDescent="0.2">
      <c r="B51" s="1" t="s">
        <v>85</v>
      </c>
      <c r="C51" s="1">
        <v>2000</v>
      </c>
      <c r="D51" s="17">
        <v>44805</v>
      </c>
    </row>
    <row r="52" spans="2:6" x14ac:dyDescent="0.2">
      <c r="B52" s="1" t="s">
        <v>19</v>
      </c>
      <c r="C52" s="1">
        <v>0.5</v>
      </c>
      <c r="D52" s="17"/>
    </row>
    <row r="53" spans="2:6" x14ac:dyDescent="0.2">
      <c r="B53" s="1" t="s">
        <v>18</v>
      </c>
      <c r="C53" s="16">
        <v>0.06</v>
      </c>
    </row>
    <row r="54" spans="2:6" x14ac:dyDescent="0.2">
      <c r="B54" s="1" t="s">
        <v>231</v>
      </c>
      <c r="C54" s="1" t="s">
        <v>232</v>
      </c>
      <c r="D54" s="17">
        <v>48457</v>
      </c>
    </row>
    <row r="55" spans="2:6" x14ac:dyDescent="0.2">
      <c r="B55" s="1" t="s">
        <v>136</v>
      </c>
      <c r="C55" s="6">
        <v>6.7299999999999999E-2</v>
      </c>
      <c r="D55" s="1" t="s">
        <v>107</v>
      </c>
    </row>
    <row r="56" spans="2:6" x14ac:dyDescent="0.2">
      <c r="B56" s="1" t="s">
        <v>233</v>
      </c>
      <c r="C56" s="1">
        <f>+C51*C53</f>
        <v>120</v>
      </c>
      <c r="D56" s="17">
        <v>45169</v>
      </c>
    </row>
    <row r="57" spans="2:6" x14ac:dyDescent="0.2">
      <c r="B57" s="1" t="s">
        <v>262</v>
      </c>
    </row>
    <row r="59" spans="2:6" x14ac:dyDescent="0.2">
      <c r="B59" s="1" t="s">
        <v>135</v>
      </c>
      <c r="E59" s="4">
        <f>+C51*C52</f>
        <v>1000</v>
      </c>
      <c r="F59" s="4"/>
    </row>
    <row r="60" spans="2:6" x14ac:dyDescent="0.2">
      <c r="C60" s="1" t="s">
        <v>245</v>
      </c>
      <c r="E60" s="4"/>
      <c r="F60" s="4">
        <f>+E59</f>
        <v>1000</v>
      </c>
    </row>
    <row r="61" spans="2:6" x14ac:dyDescent="0.2">
      <c r="B61" s="1" t="s">
        <v>246</v>
      </c>
    </row>
    <row r="63" spans="2:6" x14ac:dyDescent="0.2">
      <c r="C63" s="1" t="s">
        <v>234</v>
      </c>
      <c r="D63" s="1" t="s">
        <v>206</v>
      </c>
      <c r="E63" s="1" t="s">
        <v>207</v>
      </c>
      <c r="F63" s="1" t="s">
        <v>235</v>
      </c>
    </row>
    <row r="64" spans="2:6" s="20" customFormat="1" x14ac:dyDescent="0.2">
      <c r="B64" s="21">
        <f>+C3</f>
        <v>45169</v>
      </c>
      <c r="C64" s="22">
        <f>+C51*C52</f>
        <v>1000</v>
      </c>
      <c r="D64" s="22">
        <f>+C55*C64</f>
        <v>67.3</v>
      </c>
      <c r="E64" s="22">
        <f>-+C53*(C51*C52)</f>
        <v>-60</v>
      </c>
      <c r="F64" s="22">
        <f>SUM(C64:E64)</f>
        <v>1007.3</v>
      </c>
    </row>
    <row r="65" spans="2:6" s="20" customFormat="1" x14ac:dyDescent="0.2"/>
    <row r="66" spans="2:6" s="20" customFormat="1" x14ac:dyDescent="0.2">
      <c r="B66" s="20" t="s">
        <v>247</v>
      </c>
      <c r="E66" s="22">
        <f>+D64</f>
        <v>67.3</v>
      </c>
    </row>
    <row r="67" spans="2:6" s="20" customFormat="1" x14ac:dyDescent="0.2">
      <c r="C67" s="20" t="s">
        <v>245</v>
      </c>
      <c r="F67" s="22">
        <f>+E66</f>
        <v>67.3</v>
      </c>
    </row>
    <row r="68" spans="2:6" s="20" customFormat="1" x14ac:dyDescent="0.2">
      <c r="B68" s="20" t="s">
        <v>248</v>
      </c>
    </row>
    <row r="69" spans="2:6" s="20" customFormat="1" x14ac:dyDescent="0.2"/>
    <row r="70" spans="2:6" s="20" customFormat="1" x14ac:dyDescent="0.2">
      <c r="B70" s="20" t="s">
        <v>249</v>
      </c>
      <c r="E70" s="22">
        <f>-E64</f>
        <v>60</v>
      </c>
    </row>
    <row r="71" spans="2:6" s="20" customFormat="1" x14ac:dyDescent="0.2">
      <c r="C71" s="20" t="s">
        <v>250</v>
      </c>
      <c r="F71" s="22">
        <f>+E70</f>
        <v>60</v>
      </c>
    </row>
    <row r="72" spans="2:6" s="20" customFormat="1" x14ac:dyDescent="0.2">
      <c r="B72" s="20" t="s">
        <v>251</v>
      </c>
    </row>
  </sheetData>
  <hyperlinks>
    <hyperlink ref="A1" location="Main!A1" display="Main" xr:uid="{31EBF19C-56B0-47EA-AD52-E29989B7D91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13396-F9D2-4543-9952-22517E3D4D51}">
  <dimension ref="A1:F17"/>
  <sheetViews>
    <sheetView zoomScale="205" zoomScaleNormal="205" workbookViewId="0">
      <selection activeCell="F7" sqref="F7"/>
    </sheetView>
  </sheetViews>
  <sheetFormatPr defaultRowHeight="12" x14ac:dyDescent="0.2"/>
  <cols>
    <col min="1" max="1" width="9.140625" style="1"/>
    <col min="2" max="3" width="9.42578125" style="1" bestFit="1" customWidth="1"/>
    <col min="4" max="4" width="9.140625" style="1"/>
    <col min="5" max="5" width="9.42578125" style="1" bestFit="1" customWidth="1"/>
    <col min="6" max="16384" width="9.140625" style="1"/>
  </cols>
  <sheetData>
    <row r="1" spans="1:6" ht="15" x14ac:dyDescent="0.25">
      <c r="A1" s="2" t="s">
        <v>0</v>
      </c>
    </row>
    <row r="2" spans="1:6" x14ac:dyDescent="0.2">
      <c r="B2" s="1" t="s">
        <v>267</v>
      </c>
    </row>
    <row r="3" spans="1:6" x14ac:dyDescent="0.2">
      <c r="B3" s="1" t="s">
        <v>158</v>
      </c>
      <c r="C3" s="17">
        <v>45138</v>
      </c>
    </row>
    <row r="5" spans="1:6" x14ac:dyDescent="0.2">
      <c r="B5" s="1" t="s">
        <v>268</v>
      </c>
      <c r="C5" s="1">
        <v>16000</v>
      </c>
      <c r="D5" s="1" t="s">
        <v>223</v>
      </c>
      <c r="E5" s="17">
        <v>44774</v>
      </c>
    </row>
    <row r="6" spans="1:6" x14ac:dyDescent="0.2">
      <c r="B6" s="1" t="s">
        <v>19</v>
      </c>
      <c r="C6" s="1">
        <v>1</v>
      </c>
    </row>
    <row r="7" spans="1:6" x14ac:dyDescent="0.2">
      <c r="B7" s="1" t="s">
        <v>149</v>
      </c>
      <c r="C7" s="1">
        <f>+C5*C6</f>
        <v>16000</v>
      </c>
    </row>
    <row r="8" spans="1:6" x14ac:dyDescent="0.2">
      <c r="B8" s="1" t="s">
        <v>18</v>
      </c>
      <c r="C8" s="16">
        <v>0.1</v>
      </c>
    </row>
    <row r="9" spans="1:6" x14ac:dyDescent="0.2">
      <c r="B9" s="1" t="s">
        <v>226</v>
      </c>
      <c r="C9" s="1">
        <v>400</v>
      </c>
    </row>
    <row r="10" spans="1:6" x14ac:dyDescent="0.2">
      <c r="B10" s="1" t="s">
        <v>136</v>
      </c>
      <c r="C10" s="6">
        <v>0.1168</v>
      </c>
      <c r="D10" s="1" t="s">
        <v>269</v>
      </c>
    </row>
    <row r="11" spans="1:6" x14ac:dyDescent="0.2">
      <c r="B11" s="1" t="s">
        <v>270</v>
      </c>
    </row>
    <row r="13" spans="1:6" x14ac:dyDescent="0.2">
      <c r="C13" s="1" t="s">
        <v>234</v>
      </c>
      <c r="D13" s="1" t="s">
        <v>206</v>
      </c>
      <c r="E13" s="1" t="s">
        <v>207</v>
      </c>
      <c r="F13" s="1" t="s">
        <v>271</v>
      </c>
    </row>
    <row r="14" spans="1:6" x14ac:dyDescent="0.2">
      <c r="B14" s="17">
        <v>45138</v>
      </c>
      <c r="C14" s="1">
        <f>+C7-C9</f>
        <v>15600</v>
      </c>
      <c r="D14" s="1">
        <f>+(C5-C9)*C10</f>
        <v>1822.08</v>
      </c>
      <c r="E14" s="1">
        <f>-C8*C5</f>
        <v>-1600</v>
      </c>
      <c r="F14" s="1">
        <f>SUM(C14:E14)</f>
        <v>15822.080000000002</v>
      </c>
    </row>
    <row r="16" spans="1:6" ht="12.75" thickBot="1" x14ac:dyDescent="0.25">
      <c r="B16" s="1" t="s">
        <v>272</v>
      </c>
      <c r="D16" s="23">
        <f>+D14+E14</f>
        <v>222.07999999999993</v>
      </c>
    </row>
    <row r="17" ht="12.75" thickTop="1" x14ac:dyDescent="0.2"/>
  </sheetData>
  <hyperlinks>
    <hyperlink ref="A1" location="Main!A1" display="Main" xr:uid="{39364A35-D61D-4CBF-9D03-CE0913BDE99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32BD-3B84-4893-91D9-ECC332241FB7}">
  <dimension ref="A1:F84"/>
  <sheetViews>
    <sheetView zoomScale="190" zoomScaleNormal="190" workbookViewId="0"/>
  </sheetViews>
  <sheetFormatPr defaultRowHeight="12" x14ac:dyDescent="0.2"/>
  <cols>
    <col min="1" max="2" width="9.140625" style="1"/>
    <col min="3" max="3" width="9.42578125" style="1" bestFit="1" customWidth="1"/>
    <col min="4" max="16384" width="9.140625" style="1"/>
  </cols>
  <sheetData>
    <row r="1" spans="1:4" ht="15" x14ac:dyDescent="0.25">
      <c r="A1" s="2" t="s">
        <v>0</v>
      </c>
    </row>
    <row r="2" spans="1:4" x14ac:dyDescent="0.2">
      <c r="B2" s="1" t="s">
        <v>273</v>
      </c>
    </row>
    <row r="3" spans="1:4" x14ac:dyDescent="0.2">
      <c r="B3" s="1" t="s">
        <v>274</v>
      </c>
    </row>
    <row r="4" spans="1:4" x14ac:dyDescent="0.2">
      <c r="B4" s="1" t="s">
        <v>158</v>
      </c>
      <c r="C4" s="17">
        <v>45077</v>
      </c>
    </row>
    <row r="7" spans="1:4" x14ac:dyDescent="0.2">
      <c r="B7" s="1" t="s">
        <v>221</v>
      </c>
    </row>
    <row r="8" spans="1:4" x14ac:dyDescent="0.2">
      <c r="B8" s="1" t="s">
        <v>275</v>
      </c>
      <c r="C8" s="17">
        <v>44713</v>
      </c>
    </row>
    <row r="9" spans="1:4" x14ac:dyDescent="0.2">
      <c r="B9" s="1" t="s">
        <v>20</v>
      </c>
      <c r="C9" s="1">
        <v>4000</v>
      </c>
    </row>
    <row r="10" spans="1:4" x14ac:dyDescent="0.2">
      <c r="B10" s="1" t="s">
        <v>19</v>
      </c>
      <c r="C10" s="5">
        <v>1</v>
      </c>
    </row>
    <row r="11" spans="1:4" x14ac:dyDescent="0.2">
      <c r="B11" s="1" t="s">
        <v>149</v>
      </c>
      <c r="C11" s="4">
        <f>+C9*C10</f>
        <v>4000</v>
      </c>
    </row>
    <row r="12" spans="1:4" x14ac:dyDescent="0.2">
      <c r="B12" s="1" t="s">
        <v>18</v>
      </c>
      <c r="C12" s="6">
        <v>6.5000000000000002E-2</v>
      </c>
    </row>
    <row r="13" spans="1:4" x14ac:dyDescent="0.2">
      <c r="B13" s="1" t="s">
        <v>226</v>
      </c>
      <c r="C13" s="1">
        <v>200</v>
      </c>
    </row>
    <row r="14" spans="1:4" x14ac:dyDescent="0.2">
      <c r="B14" s="1" t="s">
        <v>276</v>
      </c>
    </row>
    <row r="15" spans="1:4" x14ac:dyDescent="0.2">
      <c r="B15" s="1" t="s">
        <v>277</v>
      </c>
      <c r="C15" s="6">
        <v>0.1154</v>
      </c>
      <c r="D15" s="1" t="s">
        <v>107</v>
      </c>
    </row>
    <row r="16" spans="1:4" x14ac:dyDescent="0.2">
      <c r="B16" s="1" t="s">
        <v>278</v>
      </c>
    </row>
    <row r="17" spans="2:6" x14ac:dyDescent="0.2">
      <c r="B17" s="1" t="s">
        <v>279</v>
      </c>
    </row>
    <row r="19" spans="2:6" x14ac:dyDescent="0.2">
      <c r="B19" s="1" t="s">
        <v>280</v>
      </c>
    </row>
    <row r="20" spans="2:6" x14ac:dyDescent="0.2">
      <c r="B20" s="1" t="s">
        <v>281</v>
      </c>
    </row>
    <row r="21" spans="2:6" x14ac:dyDescent="0.2">
      <c r="B21" s="1" t="s">
        <v>282</v>
      </c>
    </row>
    <row r="22" spans="2:6" x14ac:dyDescent="0.2">
      <c r="B22" s="1" t="s">
        <v>43</v>
      </c>
    </row>
    <row r="23" spans="2:6" x14ac:dyDescent="0.2">
      <c r="C23" s="1" t="s">
        <v>234</v>
      </c>
      <c r="D23" s="1" t="s">
        <v>284</v>
      </c>
      <c r="E23" s="1" t="s">
        <v>285</v>
      </c>
      <c r="F23" s="1" t="s">
        <v>235</v>
      </c>
    </row>
    <row r="24" spans="2:6" x14ac:dyDescent="0.2">
      <c r="B24" s="1" t="s">
        <v>283</v>
      </c>
      <c r="C24" s="4">
        <f>+C9-C13</f>
        <v>3800</v>
      </c>
      <c r="D24" s="4">
        <f>+C24*C15</f>
        <v>438.52</v>
      </c>
      <c r="E24" s="4">
        <f>-+C9*C12</f>
        <v>-260</v>
      </c>
      <c r="F24" s="4">
        <f>SUM(C24:E24)</f>
        <v>3978.5200000000004</v>
      </c>
    </row>
    <row r="26" spans="2:6" x14ac:dyDescent="0.2">
      <c r="B26" s="1" t="s">
        <v>286</v>
      </c>
      <c r="E26" s="1">
        <f>+F27</f>
        <v>200</v>
      </c>
    </row>
    <row r="27" spans="2:6" x14ac:dyDescent="0.2">
      <c r="C27" s="1" t="s">
        <v>302</v>
      </c>
      <c r="F27" s="1">
        <f>+C13</f>
        <v>200</v>
      </c>
    </row>
    <row r="28" spans="2:6" x14ac:dyDescent="0.2">
      <c r="B28" s="1" t="s">
        <v>287</v>
      </c>
    </row>
    <row r="30" spans="2:6" x14ac:dyDescent="0.2">
      <c r="B30" s="1" t="s">
        <v>288</v>
      </c>
      <c r="C30" s="1">
        <f>SUM(D24:E24)</f>
        <v>178.51999999999998</v>
      </c>
    </row>
    <row r="32" spans="2:6" x14ac:dyDescent="0.2">
      <c r="B32" s="1" t="s">
        <v>209</v>
      </c>
      <c r="E32" s="1">
        <f>+F33</f>
        <v>178.51999999999998</v>
      </c>
    </row>
    <row r="33" spans="2:6" x14ac:dyDescent="0.2">
      <c r="C33" s="1" t="s">
        <v>289</v>
      </c>
      <c r="F33" s="1">
        <f>+C30</f>
        <v>178.51999999999998</v>
      </c>
    </row>
    <row r="34" spans="2:6" x14ac:dyDescent="0.2">
      <c r="B34" s="1" t="s">
        <v>290</v>
      </c>
    </row>
    <row r="37" spans="2:6" x14ac:dyDescent="0.2">
      <c r="B37" s="1" t="s">
        <v>44</v>
      </c>
    </row>
    <row r="38" spans="2:6" x14ac:dyDescent="0.2">
      <c r="C38" s="17">
        <v>44897</v>
      </c>
    </row>
    <row r="39" spans="2:6" x14ac:dyDescent="0.2">
      <c r="B39" s="1" t="s">
        <v>170</v>
      </c>
      <c r="C39" s="4">
        <v>100</v>
      </c>
    </row>
    <row r="40" spans="2:6" x14ac:dyDescent="0.2">
      <c r="B40" s="1" t="s">
        <v>291</v>
      </c>
      <c r="C40" s="1">
        <v>3</v>
      </c>
      <c r="D40" s="1" t="s">
        <v>80</v>
      </c>
    </row>
    <row r="41" spans="2:6" x14ac:dyDescent="0.2">
      <c r="B41" s="1" t="s">
        <v>149</v>
      </c>
      <c r="C41" s="4">
        <f>+C39*C40</f>
        <v>300</v>
      </c>
    </row>
    <row r="42" spans="2:6" x14ac:dyDescent="0.2">
      <c r="B42" s="1" t="s">
        <v>292</v>
      </c>
      <c r="C42" s="1">
        <v>3</v>
      </c>
    </row>
    <row r="43" spans="2:6" x14ac:dyDescent="0.2">
      <c r="B43" s="1" t="s">
        <v>293</v>
      </c>
    </row>
    <row r="44" spans="2:6" x14ac:dyDescent="0.2">
      <c r="B44" s="1" t="s">
        <v>173</v>
      </c>
      <c r="C44" s="1">
        <v>2.4</v>
      </c>
      <c r="D44" s="17">
        <v>45077</v>
      </c>
    </row>
    <row r="46" spans="2:6" x14ac:dyDescent="0.2">
      <c r="B46" s="1" t="s">
        <v>139</v>
      </c>
      <c r="C46" s="4">
        <f>+C41+C42</f>
        <v>303</v>
      </c>
    </row>
    <row r="47" spans="2:6" x14ac:dyDescent="0.2">
      <c r="B47" s="1" t="s">
        <v>173</v>
      </c>
      <c r="C47" s="1">
        <f>+C39*C44</f>
        <v>240</v>
      </c>
    </row>
    <row r="48" spans="2:6" x14ac:dyDescent="0.2">
      <c r="B48" s="1" t="s">
        <v>294</v>
      </c>
      <c r="C48" s="4">
        <f>+C47-C46</f>
        <v>-63</v>
      </c>
    </row>
    <row r="50" spans="2:6" x14ac:dyDescent="0.2">
      <c r="B50" s="1" t="s">
        <v>295</v>
      </c>
      <c r="E50" s="4">
        <f>-C48</f>
        <v>63</v>
      </c>
    </row>
    <row r="51" spans="2:6" x14ac:dyDescent="0.2">
      <c r="C51" s="1" t="s">
        <v>310</v>
      </c>
      <c r="F51" s="4">
        <f>+E50</f>
        <v>63</v>
      </c>
    </row>
    <row r="52" spans="2:6" x14ac:dyDescent="0.2">
      <c r="B52" s="1" t="s">
        <v>296</v>
      </c>
    </row>
    <row r="56" spans="2:6" x14ac:dyDescent="0.2">
      <c r="B56" s="1" t="s">
        <v>297</v>
      </c>
    </row>
    <row r="57" spans="2:6" x14ac:dyDescent="0.2">
      <c r="C57" s="17">
        <v>44988</v>
      </c>
    </row>
    <row r="58" spans="2:6" x14ac:dyDescent="0.2">
      <c r="C58" s="9">
        <v>5000</v>
      </c>
      <c r="D58" s="17">
        <v>45139</v>
      </c>
    </row>
    <row r="59" spans="2:6" x14ac:dyDescent="0.2">
      <c r="C59" s="14">
        <v>1.5</v>
      </c>
    </row>
    <row r="60" spans="2:6" x14ac:dyDescent="0.2">
      <c r="B60" s="1" t="s">
        <v>190</v>
      </c>
      <c r="C60" s="14">
        <v>1.46</v>
      </c>
    </row>
    <row r="63" spans="2:6" x14ac:dyDescent="0.2">
      <c r="B63" s="1" t="s">
        <v>139</v>
      </c>
      <c r="C63" s="5">
        <f>+C58/C59</f>
        <v>3333.3333333333335</v>
      </c>
    </row>
    <row r="64" spans="2:6" x14ac:dyDescent="0.2">
      <c r="C64" s="5">
        <f>+C58/C60</f>
        <v>3424.6575342465753</v>
      </c>
    </row>
    <row r="65" spans="2:6" x14ac:dyDescent="0.2">
      <c r="B65" s="1" t="s">
        <v>298</v>
      </c>
      <c r="C65" s="4">
        <f>+C64-C63</f>
        <v>91.324200913241839</v>
      </c>
    </row>
    <row r="68" spans="2:6" x14ac:dyDescent="0.2">
      <c r="B68" s="1" t="s">
        <v>299</v>
      </c>
      <c r="E68" s="4">
        <f>+C65</f>
        <v>91.324200913241839</v>
      </c>
    </row>
    <row r="69" spans="2:6" x14ac:dyDescent="0.2">
      <c r="C69" s="1" t="s">
        <v>300</v>
      </c>
      <c r="F69" s="4">
        <f>+E68</f>
        <v>91.324200913241839</v>
      </c>
    </row>
    <row r="70" spans="2:6" x14ac:dyDescent="0.2">
      <c r="B70" s="1" t="s">
        <v>301</v>
      </c>
    </row>
    <row r="73" spans="2:6" x14ac:dyDescent="0.2">
      <c r="B73" s="1" t="s">
        <v>303</v>
      </c>
    </row>
    <row r="74" spans="2:6" x14ac:dyDescent="0.2">
      <c r="B74" s="1" t="s">
        <v>304</v>
      </c>
    </row>
    <row r="75" spans="2:6" x14ac:dyDescent="0.2">
      <c r="B75" s="1" t="s">
        <v>305</v>
      </c>
      <c r="F75" s="1">
        <f>+C47</f>
        <v>240</v>
      </c>
    </row>
    <row r="77" spans="2:6" x14ac:dyDescent="0.2">
      <c r="B77" s="1" t="s">
        <v>306</v>
      </c>
    </row>
    <row r="78" spans="2:6" x14ac:dyDescent="0.2">
      <c r="B78" s="1" t="s">
        <v>307</v>
      </c>
      <c r="F78" s="4">
        <f>+E68</f>
        <v>91.324200913241839</v>
      </c>
    </row>
    <row r="80" spans="2:6" x14ac:dyDescent="0.2">
      <c r="B80" s="1" t="s">
        <v>308</v>
      </c>
    </row>
    <row r="81" spans="2:6" x14ac:dyDescent="0.2">
      <c r="B81" s="1" t="s">
        <v>309</v>
      </c>
      <c r="F81" s="4">
        <f>-+F51</f>
        <v>-63</v>
      </c>
    </row>
    <row r="83" spans="2:6" x14ac:dyDescent="0.2">
      <c r="B83" s="1" t="s">
        <v>311</v>
      </c>
    </row>
    <row r="84" spans="2:6" x14ac:dyDescent="0.2">
      <c r="B84" s="1" t="s">
        <v>312</v>
      </c>
      <c r="F84" s="4">
        <f>+F24</f>
        <v>3978.5200000000004</v>
      </c>
    </row>
  </sheetData>
  <hyperlinks>
    <hyperlink ref="A1" location="Main!A1" display="Main" xr:uid="{D9B9541B-4086-4844-9ADA-956E9BFABBBB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Module 12</vt:lpstr>
      <vt:lpstr>WSE12.2</vt:lpstr>
      <vt:lpstr>WSE12.3</vt:lpstr>
      <vt:lpstr>WSE12.4</vt:lpstr>
      <vt:lpstr>WSE12.5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bcornish</dc:creator>
  <cp:lastModifiedBy>Cornish, Bob</cp:lastModifiedBy>
  <dcterms:created xsi:type="dcterms:W3CDTF">2023-05-09T07:52:17Z</dcterms:created>
  <dcterms:modified xsi:type="dcterms:W3CDTF">2023-05-22T19:50:23Z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2023-05-09T07:52:18Z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3ac22106-e9a5-4242-8e1d-e33fe6f38178</vt:lpwstr>
  </property>
  <property fmtid="{D5CDD505-2E9C-101B-9397-08002B2CF9AE}" pid="8" name="MSIP_Label_ea60d57e-af5b-4752-ac57-3e4f28ca11dc_ContentBits">
    <vt:lpwstr>0</vt:lpwstr>
  </property>
</Properties>
</file>