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738" documentId="8_{FEDC218B-6930-489C-822E-738A752A3385}" xr6:coauthVersionLast="47" xr6:coauthVersionMax="47" xr10:uidLastSave="{8A29FE54-30DA-4DC1-BC5E-D135C9DA68C6}"/>
  <bookViews>
    <workbookView xWindow="-120" yWindow="-120" windowWidth="29040" windowHeight="15840" activeTab="1" xr2:uid="{E0262D06-0603-49ED-99A5-10CDDF6CAD70}"/>
  </bookViews>
  <sheets>
    <sheet name="Main" sheetId="1" r:id="rId1"/>
    <sheet name="Module 31" sheetId="2" r:id="rId2"/>
    <sheet name="WSE31.1" sheetId="4" r:id="rId3"/>
    <sheet name="WSE31.2" sheetId="5" r:id="rId4"/>
    <sheet name="WSE31.3" sheetId="3" r:id="rId5"/>
    <sheet name="WSE31.4" sheetId="6" r:id="rId6"/>
    <sheet name="WSE31.5" sheetId="7" r:id="rId7"/>
    <sheet name="WSE31.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E8" i="7"/>
  <c r="E14" i="7" s="1"/>
  <c r="E16" i="7" s="1"/>
  <c r="H15" i="7"/>
  <c r="H13" i="7"/>
  <c r="H12" i="7"/>
  <c r="H11" i="7"/>
  <c r="H10" i="7"/>
  <c r="H9" i="7"/>
  <c r="H7" i="7"/>
  <c r="H6" i="7"/>
  <c r="G13" i="7"/>
  <c r="F13" i="7"/>
  <c r="C59" i="7"/>
  <c r="D72" i="7" s="1"/>
  <c r="C58" i="7"/>
  <c r="E46" i="7"/>
  <c r="F47" i="7" s="1"/>
  <c r="F44" i="7"/>
  <c r="D54" i="7" s="1"/>
  <c r="C97" i="7"/>
  <c r="C98" i="7" s="1"/>
  <c r="C99" i="7" s="1"/>
  <c r="C100" i="7" s="1"/>
  <c r="E102" i="7" s="1"/>
  <c r="F103" i="7" s="1"/>
  <c r="D88" i="7"/>
  <c r="E87" i="7"/>
  <c r="E37" i="7"/>
  <c r="D31" i="7"/>
  <c r="F39" i="7" s="1"/>
  <c r="G9" i="7" s="1"/>
  <c r="D32" i="7"/>
  <c r="D8" i="7"/>
  <c r="D14" i="7" s="1"/>
  <c r="D16" i="7" s="1"/>
  <c r="E69" i="7" s="1"/>
  <c r="C8" i="7"/>
  <c r="C14" i="7" s="1"/>
  <c r="C16" i="7" s="1"/>
  <c r="E189" i="6"/>
  <c r="E183" i="6"/>
  <c r="F171" i="6"/>
  <c r="E190" i="6" s="1"/>
  <c r="E165" i="6"/>
  <c r="E188" i="6" s="1"/>
  <c r="F167" i="6"/>
  <c r="E166" i="6"/>
  <c r="E117" i="6"/>
  <c r="E113" i="6"/>
  <c r="E108" i="6"/>
  <c r="E107" i="6"/>
  <c r="F98" i="6"/>
  <c r="E65" i="6"/>
  <c r="F66" i="6" s="1"/>
  <c r="D49" i="6"/>
  <c r="D45" i="6"/>
  <c r="D151" i="6"/>
  <c r="D152" i="6"/>
  <c r="C135" i="6"/>
  <c r="D135" i="6" s="1"/>
  <c r="D136" i="6" s="1"/>
  <c r="D137" i="6" s="1"/>
  <c r="E142" i="6" s="1"/>
  <c r="E185" i="6" s="1"/>
  <c r="F86" i="6"/>
  <c r="C93" i="6"/>
  <c r="E84" i="6"/>
  <c r="E83" i="6"/>
  <c r="C76" i="6"/>
  <c r="E82" i="6" s="1"/>
  <c r="C75" i="6"/>
  <c r="E81" i="6" s="1"/>
  <c r="C36" i="6"/>
  <c r="C35" i="6"/>
  <c r="F27" i="6"/>
  <c r="F25" i="6"/>
  <c r="F24" i="6"/>
  <c r="F22" i="6"/>
  <c r="F21" i="6"/>
  <c r="F17" i="6"/>
  <c r="F15" i="6"/>
  <c r="F14" i="6"/>
  <c r="F13" i="6"/>
  <c r="F12" i="6"/>
  <c r="E23" i="6"/>
  <c r="E26" i="6" s="1"/>
  <c r="E28" i="6" s="1"/>
  <c r="E126" i="6" s="1"/>
  <c r="F127" i="6" s="1"/>
  <c r="E16" i="6"/>
  <c r="E18" i="6" s="1"/>
  <c r="D23" i="6"/>
  <c r="D26" i="6" s="1"/>
  <c r="D28" i="6" s="1"/>
  <c r="D46" i="6" s="1"/>
  <c r="D16" i="6"/>
  <c r="D18" i="6" s="1"/>
  <c r="C23" i="6"/>
  <c r="C26" i="6" s="1"/>
  <c r="C28" i="6" s="1"/>
  <c r="C16" i="6"/>
  <c r="C18" i="6" s="1"/>
  <c r="F81" i="5"/>
  <c r="E80" i="5"/>
  <c r="E77" i="5"/>
  <c r="E76" i="5"/>
  <c r="B127" i="5"/>
  <c r="B126" i="5"/>
  <c r="B128" i="5"/>
  <c r="B129" i="5"/>
  <c r="D119" i="5"/>
  <c r="E119" i="5" s="1"/>
  <c r="E122" i="5" s="1"/>
  <c r="F123" i="5" s="1"/>
  <c r="C111" i="5"/>
  <c r="C112" i="5" s="1"/>
  <c r="E89" i="5"/>
  <c r="D73" i="5"/>
  <c r="D75" i="5" s="1"/>
  <c r="E49" i="5"/>
  <c r="C49" i="5"/>
  <c r="E43" i="5"/>
  <c r="E35" i="5"/>
  <c r="D29" i="5"/>
  <c r="E30" i="5" s="1"/>
  <c r="E28" i="5" s="1"/>
  <c r="B30" i="5"/>
  <c r="B29" i="5"/>
  <c r="E27" i="5"/>
  <c r="F37" i="5" s="1"/>
  <c r="F18" i="5"/>
  <c r="F17" i="5"/>
  <c r="F16" i="5"/>
  <c r="F12" i="5"/>
  <c r="F11" i="5"/>
  <c r="F8" i="5"/>
  <c r="F7" i="5"/>
  <c r="F6" i="5"/>
  <c r="E19" i="5"/>
  <c r="E90" i="5" s="1"/>
  <c r="E13" i="5"/>
  <c r="E9" i="5"/>
  <c r="D19" i="5"/>
  <c r="E50" i="5" s="1"/>
  <c r="E61" i="5" s="1"/>
  <c r="F62" i="5" s="1"/>
  <c r="D13" i="5"/>
  <c r="D9" i="5"/>
  <c r="C19" i="5"/>
  <c r="C13" i="5"/>
  <c r="C9" i="5"/>
  <c r="E58" i="4"/>
  <c r="D48" i="4"/>
  <c r="F34" i="4"/>
  <c r="E33" i="4"/>
  <c r="C48" i="4"/>
  <c r="C39" i="4"/>
  <c r="D39" i="4"/>
  <c r="E29" i="4"/>
  <c r="E30" i="4" s="1"/>
  <c r="E31" i="4" s="1"/>
  <c r="E25" i="4"/>
  <c r="D8" i="4"/>
  <c r="D16" i="4" s="1"/>
  <c r="D18" i="4" s="1"/>
  <c r="E18" i="4" s="1"/>
  <c r="E19" i="4" s="1"/>
  <c r="G46" i="7"/>
  <c r="H8" i="7" l="1"/>
  <c r="H16" i="7" s="1"/>
  <c r="E71" i="7"/>
  <c r="E72" i="7" s="1"/>
  <c r="E74" i="7" s="1"/>
  <c r="F75" i="7" s="1"/>
  <c r="E70" i="7"/>
  <c r="D59" i="7"/>
  <c r="D60" i="7" s="1"/>
  <c r="E88" i="7"/>
  <c r="E90" i="7" s="1"/>
  <c r="F9" i="7" s="1"/>
  <c r="E182" i="6"/>
  <c r="E184" i="6"/>
  <c r="E109" i="6"/>
  <c r="E110" i="6" s="1"/>
  <c r="E121" i="6" s="1"/>
  <c r="D138" i="6"/>
  <c r="E146" i="6" s="1"/>
  <c r="F147" i="6" s="1"/>
  <c r="F143" i="6"/>
  <c r="E141" i="6" s="1"/>
  <c r="E114" i="6"/>
  <c r="E116" i="6" s="1"/>
  <c r="E118" i="6" s="1"/>
  <c r="E119" i="6" s="1"/>
  <c r="E122" i="6" s="1"/>
  <c r="E59" i="6"/>
  <c r="F60" i="6" s="1"/>
  <c r="E181" i="6" s="1"/>
  <c r="D93" i="6"/>
  <c r="D48" i="6"/>
  <c r="D50" i="6" s="1"/>
  <c r="D51" i="6" s="1"/>
  <c r="E53" i="6" s="1"/>
  <c r="F54" i="6" s="1"/>
  <c r="D153" i="6"/>
  <c r="E155" i="6" s="1"/>
  <c r="F156" i="6" s="1"/>
  <c r="D78" i="6"/>
  <c r="D74" i="6" s="1"/>
  <c r="C38" i="6"/>
  <c r="D39" i="6" s="1"/>
  <c r="D40" i="6" s="1"/>
  <c r="F16" i="6"/>
  <c r="F18" i="6" s="1"/>
  <c r="F23" i="6"/>
  <c r="F26" i="6" s="1"/>
  <c r="F28" i="6" s="1"/>
  <c r="E92" i="5"/>
  <c r="E94" i="5" s="1"/>
  <c r="E95" i="5" s="1"/>
  <c r="E97" i="5" s="1"/>
  <c r="F98" i="5" s="1"/>
  <c r="E126" i="5"/>
  <c r="E129" i="5"/>
  <c r="F116" i="5"/>
  <c r="E115" i="5"/>
  <c r="E128" i="5" s="1"/>
  <c r="F19" i="5"/>
  <c r="E102" i="5"/>
  <c r="E34" i="5"/>
  <c r="E51" i="5"/>
  <c r="E53" i="5" s="1"/>
  <c r="E54" i="5" s="1"/>
  <c r="E56" i="5" s="1"/>
  <c r="F57" i="5" s="1"/>
  <c r="E31" i="5"/>
  <c r="E36" i="5" s="1"/>
  <c r="F38" i="5"/>
  <c r="F13" i="5"/>
  <c r="F9" i="5"/>
  <c r="E48" i="4"/>
  <c r="E51" i="4" s="1"/>
  <c r="E57" i="4" s="1"/>
  <c r="E39" i="4"/>
  <c r="E41" i="4" s="1"/>
  <c r="F91" i="7" l="1"/>
  <c r="E187" i="6"/>
  <c r="E186" i="6"/>
  <c r="E191" i="6" s="1"/>
  <c r="E193" i="6" s="1"/>
  <c r="F194" i="6" s="1"/>
  <c r="F123" i="6"/>
  <c r="D94" i="6"/>
  <c r="E97" i="6" s="1"/>
  <c r="E96" i="6"/>
  <c r="D79" i="6"/>
  <c r="E85" i="6" s="1"/>
  <c r="F87" i="6"/>
  <c r="F103" i="5"/>
  <c r="E127" i="5" s="1"/>
  <c r="E130" i="5" s="1"/>
  <c r="E132" i="5" s="1"/>
  <c r="F133" i="5" s="1"/>
  <c r="F52" i="4"/>
  <c r="F42" i="4"/>
  <c r="E56" i="4" s="1"/>
  <c r="E60" i="4" s="1"/>
  <c r="F61" i="4" s="1"/>
  <c r="E91" i="3" l="1"/>
  <c r="E89" i="3"/>
  <c r="D77" i="3"/>
  <c r="D78" i="3" s="1"/>
  <c r="D79" i="3" s="1"/>
  <c r="E82" i="3" s="1"/>
  <c r="F83" i="3" s="1"/>
  <c r="E47" i="3"/>
  <c r="D38" i="3"/>
  <c r="D40" i="3" s="1"/>
  <c r="E40" i="3" s="1"/>
  <c r="E41" i="3" s="1"/>
  <c r="E66" i="3"/>
  <c r="E69" i="3" s="1"/>
  <c r="E30" i="3"/>
  <c r="E28" i="3"/>
  <c r="E27" i="3"/>
  <c r="E24" i="3"/>
  <c r="E20" i="3"/>
  <c r="E18" i="3"/>
  <c r="E17" i="3"/>
  <c r="E16" i="3"/>
  <c r="E11" i="3"/>
  <c r="E10" i="3"/>
  <c r="E9" i="3"/>
  <c r="E6" i="3"/>
  <c r="E5" i="3"/>
  <c r="D25" i="3"/>
  <c r="D26" i="3" s="1"/>
  <c r="D29" i="3" s="1"/>
  <c r="D31" i="3" s="1"/>
  <c r="E48" i="3" s="1"/>
  <c r="D19" i="3"/>
  <c r="D21" i="3" s="1"/>
  <c r="D12" i="3"/>
  <c r="D7" i="3"/>
  <c r="C26" i="3"/>
  <c r="C29" i="3" s="1"/>
  <c r="C31" i="3" s="1"/>
  <c r="C19" i="3"/>
  <c r="C21" i="3" s="1"/>
  <c r="C12" i="3"/>
  <c r="C7" i="3"/>
  <c r="F181" i="2"/>
  <c r="E198" i="2"/>
  <c r="E201" i="2" s="1"/>
  <c r="E188" i="2"/>
  <c r="F192" i="2" s="1"/>
  <c r="D178" i="2"/>
  <c r="E172" i="2"/>
  <c r="E168" i="2"/>
  <c r="D159" i="2"/>
  <c r="D161" i="2" s="1"/>
  <c r="E161" i="2" s="1"/>
  <c r="E158" i="2"/>
  <c r="E152" i="2"/>
  <c r="E150" i="2"/>
  <c r="E149" i="2"/>
  <c r="E148" i="2"/>
  <c r="E144" i="2"/>
  <c r="E143" i="2"/>
  <c r="E142" i="2"/>
  <c r="E139" i="2"/>
  <c r="E138" i="2"/>
  <c r="D151" i="2"/>
  <c r="D153" i="2" s="1"/>
  <c r="E169" i="2" s="1"/>
  <c r="D145" i="2"/>
  <c r="D140" i="2"/>
  <c r="C151" i="2"/>
  <c r="C153" i="2" s="1"/>
  <c r="C145" i="2"/>
  <c r="C140" i="2"/>
  <c r="D113" i="2"/>
  <c r="D115" i="2" s="1"/>
  <c r="E115" i="2" s="1"/>
  <c r="E116" i="2" s="1"/>
  <c r="D107" i="2"/>
  <c r="D109" i="2" s="1"/>
  <c r="D101" i="2"/>
  <c r="D97" i="2"/>
  <c r="C107" i="2"/>
  <c r="C109" i="2" s="1"/>
  <c r="C101" i="2"/>
  <c r="C97" i="2"/>
  <c r="E180" i="2" l="1"/>
  <c r="D187" i="2"/>
  <c r="E187" i="2" s="1"/>
  <c r="F191" i="2" s="1"/>
  <c r="E206" i="2" s="1"/>
  <c r="E208" i="2" s="1"/>
  <c r="E210" i="2" s="1"/>
  <c r="F211" i="2" s="1"/>
  <c r="E50" i="3"/>
  <c r="D57" i="3"/>
  <c r="E57" i="3" s="1"/>
  <c r="F60" i="3" s="1"/>
  <c r="E88" i="3" s="1"/>
  <c r="E25" i="3"/>
  <c r="E26" i="3" s="1"/>
  <c r="E29" i="3" s="1"/>
  <c r="E31" i="3" s="1"/>
  <c r="E19" i="3"/>
  <c r="E21" i="3" s="1"/>
  <c r="E7" i="3"/>
  <c r="E52" i="3"/>
  <c r="E53" i="3" s="1"/>
  <c r="C13" i="3"/>
  <c r="E90" i="3"/>
  <c r="F70" i="3"/>
  <c r="E12" i="3"/>
  <c r="D13" i="3"/>
  <c r="E207" i="2"/>
  <c r="F202" i="2"/>
  <c r="E171" i="2"/>
  <c r="E173" i="2" s="1"/>
  <c r="E174" i="2" s="1"/>
  <c r="F182" i="2" s="1"/>
  <c r="E190" i="2"/>
  <c r="E126" i="2"/>
  <c r="E162" i="2"/>
  <c r="E140" i="2"/>
  <c r="E151" i="2"/>
  <c r="E153" i="2" s="1"/>
  <c r="E145" i="2"/>
  <c r="E127" i="2"/>
  <c r="E13" i="3" l="1"/>
  <c r="E59" i="3"/>
  <c r="E93" i="3"/>
  <c r="F94" i="3" s="1"/>
  <c r="E128" i="2"/>
  <c r="F131" i="2" s="1"/>
  <c r="E130" i="2" l="1"/>
</calcChain>
</file>

<file path=xl/sharedStrings.xml><?xml version="1.0" encoding="utf-8"?>
<sst xmlns="http://schemas.openxmlformats.org/spreadsheetml/2006/main" count="588" uniqueCount="334">
  <si>
    <t>parent - Sub</t>
  </si>
  <si>
    <t>associate</t>
  </si>
  <si>
    <t>The existence of significant influence by an entity is usually evidenced in one or more</t>
  </si>
  <si>
    <t>of the following ways:</t>
  </si>
  <si>
    <t>• Representation on the board of directors or equivalent governing body of the</t>
  </si>
  <si>
    <t>investee;</t>
  </si>
  <si>
    <t>• Participation in policy-making processes, including participation in decisions</t>
  </si>
  <si>
    <t>about dividends or other distributions;</t>
  </si>
  <si>
    <t>• Material transactions between the entity and its investee;</t>
  </si>
  <si>
    <t>• Interchange of managerial personnel; or</t>
  </si>
  <si>
    <t>• Provision of essential technical information;</t>
  </si>
  <si>
    <t>Module 31</t>
  </si>
  <si>
    <t>Main</t>
  </si>
  <si>
    <t>Example 2</t>
  </si>
  <si>
    <t>D</t>
  </si>
  <si>
    <t>E</t>
  </si>
  <si>
    <t>F</t>
  </si>
  <si>
    <t>Share in Y</t>
  </si>
  <si>
    <t>not a joint operation as D and E, or D and F can make decisions</t>
  </si>
  <si>
    <t>JV must be a separate legal entity</t>
  </si>
  <si>
    <t>keeps its own accounting records and produces financial statements</t>
  </si>
  <si>
    <t>Cumulative share of associates/JV/s post-acquisitoin profits and OCI are accumulated in consolidated reservese</t>
  </si>
  <si>
    <t>Not a separate line the SOCI</t>
  </si>
  <si>
    <t>impair the investment of the joint venture if there is objective evidence of impairment</t>
  </si>
  <si>
    <t>Step 1:  Adjust from any gain from a bargain purchase</t>
  </si>
  <si>
    <t>dr - investment in associate/JV</t>
  </si>
  <si>
    <t>cr - SPL - Share of profit of associate/JV</t>
  </si>
  <si>
    <t>being bargain purchase in the CY</t>
  </si>
  <si>
    <t>or</t>
  </si>
  <si>
    <t>Dr - investment in associate/JV</t>
  </si>
  <si>
    <t>cr - RE</t>
  </si>
  <si>
    <t>being bargain purchase in PY</t>
  </si>
  <si>
    <t>Step 2</t>
  </si>
  <si>
    <t>Step 2:  Allocate historical profits and other gains/losses to the group</t>
  </si>
  <si>
    <t>Step 3:  Allocate share of associates/JV Cy profit/loss and other gains/losses to the grou</t>
  </si>
  <si>
    <t>Step 4:  Eliminates group share of IC transacrions and balances</t>
  </si>
  <si>
    <t>1.  Dividend are eliminated because they are replaced with the group share of profits.  The relevant journal entries are provided in Activities 1 and 2.</t>
  </si>
  <si>
    <t>2.  Trading</t>
  </si>
  <si>
    <t>Activity 1</t>
  </si>
  <si>
    <t>between 20% and 40% therefore is an associate</t>
  </si>
  <si>
    <t>PAT</t>
  </si>
  <si>
    <t>Tax</t>
  </si>
  <si>
    <t>PBT</t>
  </si>
  <si>
    <t>Finance incom</t>
  </si>
  <si>
    <t>Finance cost</t>
  </si>
  <si>
    <t>operating profit</t>
  </si>
  <si>
    <t>RE</t>
  </si>
  <si>
    <t>SC</t>
  </si>
  <si>
    <t>Other net assets</t>
  </si>
  <si>
    <t>Investment in Fair</t>
  </si>
  <si>
    <t>Investment in fair</t>
  </si>
  <si>
    <t>Group share of net assets</t>
  </si>
  <si>
    <t>gw</t>
  </si>
  <si>
    <t>Not a bargain purchase, therefore no journal</t>
  </si>
  <si>
    <t>n/a - associate acquired within the year</t>
  </si>
  <si>
    <t>Group share of CY profit</t>
  </si>
  <si>
    <t>DR - investment</t>
  </si>
  <si>
    <t>cr - SPL share of profit of associates</t>
  </si>
  <si>
    <t>being group share of CY profit</t>
  </si>
  <si>
    <t>cr investment</t>
  </si>
  <si>
    <t>dr - finance income</t>
  </si>
  <si>
    <t>being elimination of IC dividend</t>
  </si>
  <si>
    <t>Activity 2</t>
  </si>
  <si>
    <t>Final step</t>
  </si>
  <si>
    <t>Grop share of current year profit</t>
  </si>
  <si>
    <t>cr</t>
  </si>
  <si>
    <t>dr</t>
  </si>
  <si>
    <t>cr to RE</t>
  </si>
  <si>
    <t>dr - SPL</t>
  </si>
  <si>
    <t>being transfer to RE</t>
  </si>
  <si>
    <t>Scar</t>
  </si>
  <si>
    <t>Fair</t>
  </si>
  <si>
    <t>finance icneom</t>
  </si>
  <si>
    <t>finance cost</t>
  </si>
  <si>
    <t>operating progfit</t>
  </si>
  <si>
    <t>RVS</t>
  </si>
  <si>
    <t>other net assets</t>
  </si>
  <si>
    <t>inv - Fair</t>
  </si>
  <si>
    <t>Step 1: Adjust for any gain from bargain price</t>
  </si>
  <si>
    <t>Divdend paid</t>
  </si>
  <si>
    <t>increase</t>
  </si>
  <si>
    <t>Group Share</t>
  </si>
  <si>
    <t>Group share of historical revaluation increase</t>
  </si>
  <si>
    <t xml:space="preserve">dr - </t>
  </si>
  <si>
    <t>cr - RVS</t>
  </si>
  <si>
    <t>being group share of historical profit and revaluation increase</t>
  </si>
  <si>
    <t xml:space="preserve">cr - </t>
  </si>
  <si>
    <t>Group share of reval increase</t>
  </si>
  <si>
    <t>Group share of dividend</t>
  </si>
  <si>
    <t>Elimination of IC dividend</t>
  </si>
  <si>
    <t>cr  -RE</t>
  </si>
  <si>
    <t>Group share or unrealised profits needs to be corrected</t>
  </si>
  <si>
    <t>Cowan Group</t>
  </si>
  <si>
    <t>finance income</t>
  </si>
  <si>
    <t>admin</t>
  </si>
  <si>
    <t>GP</t>
  </si>
  <si>
    <t>COS</t>
  </si>
  <si>
    <t>rev</t>
  </si>
  <si>
    <t>E+L</t>
  </si>
  <si>
    <t>L</t>
  </si>
  <si>
    <t>SP</t>
  </si>
  <si>
    <t>A</t>
  </si>
  <si>
    <t>Cash</t>
  </si>
  <si>
    <t>AR</t>
  </si>
  <si>
    <t>Inventory</t>
  </si>
  <si>
    <t>inv - penman</t>
  </si>
  <si>
    <t>PPE</t>
  </si>
  <si>
    <t>JV</t>
  </si>
  <si>
    <t>Investment in penman</t>
  </si>
  <si>
    <t>unrealised profits</t>
  </si>
  <si>
    <t>this is an downstream transaction</t>
  </si>
  <si>
    <t>cr - inventories</t>
  </si>
  <si>
    <t>Sales</t>
  </si>
  <si>
    <t>unrealised profits]</t>
  </si>
  <si>
    <t>being elimination of unrealised IC profits in inventories</t>
  </si>
  <si>
    <t>shares subscirbed to on set up of JV</t>
  </si>
  <si>
    <t>Group shares of unrealised profit</t>
  </si>
  <si>
    <t>dr - SPL COS</t>
  </si>
  <si>
    <t>cr - investment in Penman</t>
  </si>
  <si>
    <t>Elimination of IC unrealised profit</t>
  </si>
  <si>
    <t>Module 31 - Consolidated Financial Statements: Associates and Joint Ventures</t>
  </si>
  <si>
    <t>Apple Ltd</t>
  </si>
  <si>
    <t>WSE31.1</t>
  </si>
  <si>
    <t>WSE31.3</t>
  </si>
  <si>
    <t>Apple</t>
  </si>
  <si>
    <t>Banana</t>
  </si>
  <si>
    <t>no. shareas</t>
  </si>
  <si>
    <t>PAR</t>
  </si>
  <si>
    <t>Investment in sub</t>
  </si>
  <si>
    <t>Dr - investment in Banana</t>
  </si>
  <si>
    <t>cr - Retained earnings</t>
  </si>
  <si>
    <t>being group share of historical profits</t>
  </si>
  <si>
    <t>Eagle Group</t>
  </si>
  <si>
    <t>Eagle</t>
  </si>
  <si>
    <t>Heron</t>
  </si>
  <si>
    <t>Sparrow</t>
  </si>
  <si>
    <t>YE</t>
  </si>
  <si>
    <t>TAX</t>
  </si>
  <si>
    <t>Finance income</t>
  </si>
  <si>
    <t>Investment in sparrow</t>
  </si>
  <si>
    <t>Investment in Heron</t>
  </si>
  <si>
    <t xml:space="preserve">Heron </t>
  </si>
  <si>
    <t>NCI</t>
  </si>
  <si>
    <t>dr- SC</t>
  </si>
  <si>
    <t>dr- RE</t>
  </si>
  <si>
    <t>dr  -gw</t>
  </si>
  <si>
    <t>cr - investment in Heron</t>
  </si>
  <si>
    <t>cr- SFP NCI</t>
  </si>
  <si>
    <t>bueiing elimaf…</t>
  </si>
  <si>
    <t>cr - gw</t>
  </si>
  <si>
    <t>dr - RE</t>
  </si>
  <si>
    <t>being historic write off of gw</t>
  </si>
  <si>
    <t>NCI share</t>
  </si>
  <si>
    <t>dr - SFP NCI</t>
  </si>
  <si>
    <t>allocation of historic profits</t>
  </si>
  <si>
    <t>dr - SPL NCI</t>
  </si>
  <si>
    <t>cr - SFP NCI</t>
  </si>
  <si>
    <t>CY profit NCI share</t>
  </si>
  <si>
    <t>Step 3: gw impairment</t>
  </si>
  <si>
    <t>Step 4:  allocate historic losses</t>
  </si>
  <si>
    <t>Step 5: CY profits</t>
  </si>
  <si>
    <t>Step 6:  IC journals</t>
  </si>
  <si>
    <t>none for Heron</t>
  </si>
  <si>
    <t>Investment in Sparrow</t>
  </si>
  <si>
    <t>Bargain purchase</t>
  </si>
  <si>
    <t>n/a</t>
  </si>
  <si>
    <t>Step 4:  allocate historic gains/losses</t>
  </si>
  <si>
    <t>Divi</t>
  </si>
  <si>
    <t>dividend</t>
  </si>
  <si>
    <t>unrealised profit</t>
  </si>
  <si>
    <t>25% unsold</t>
  </si>
  <si>
    <t>dr - SPL - share of profit of Sparrow</t>
  </si>
  <si>
    <t>being group share of unrealised profit in inventories</t>
  </si>
  <si>
    <t>dr to RE</t>
  </si>
  <si>
    <t>dr  -SPL</t>
  </si>
  <si>
    <t>dr- investment in sparrow</t>
  </si>
  <si>
    <t>gain from a bargain purchase</t>
  </si>
  <si>
    <t>being historical gain from a bargain purchase</t>
  </si>
  <si>
    <t>Group share</t>
  </si>
  <si>
    <t>cr - Share of profit of Sparrow</t>
  </si>
  <si>
    <t>dr - Investment in Sparrow</t>
  </si>
  <si>
    <t>group share of profit</t>
  </si>
  <si>
    <t>cr investment in sparrow</t>
  </si>
  <si>
    <t>WSE31.2</t>
  </si>
  <si>
    <t>WSE31.4</t>
  </si>
  <si>
    <t>Marshall Group</t>
  </si>
  <si>
    <t>Marshall</t>
  </si>
  <si>
    <t>Holt</t>
  </si>
  <si>
    <t>Polland</t>
  </si>
  <si>
    <t>Rev</t>
  </si>
  <si>
    <t>Agg</t>
  </si>
  <si>
    <t>Investment in Holt</t>
  </si>
  <si>
    <t>Check for bargain purchase</t>
  </si>
  <si>
    <t>no bargain purchase needed</t>
  </si>
  <si>
    <t>dr - SC</t>
  </si>
  <si>
    <t>dr - SP</t>
  </si>
  <si>
    <t>dr - RVS</t>
  </si>
  <si>
    <t>dr - gw</t>
  </si>
  <si>
    <t>cr - investment in Polland</t>
  </si>
  <si>
    <t>being elim of inv in sub, recog of NCI, recog of gw</t>
  </si>
  <si>
    <t>Additional purchase of shares</t>
  </si>
  <si>
    <t>investment in Polland</t>
  </si>
  <si>
    <t>Historical allocation of profits</t>
  </si>
  <si>
    <t>allocation of CY profits</t>
  </si>
  <si>
    <t>IC transactions</t>
  </si>
  <si>
    <t>Procees</t>
  </si>
  <si>
    <t>Cost</t>
  </si>
  <si>
    <t>AD</t>
  </si>
  <si>
    <t>NBV</t>
  </si>
  <si>
    <t>gain on sale</t>
  </si>
  <si>
    <t>new depreciation rate</t>
  </si>
  <si>
    <t>equivalent deprecation rate</t>
  </si>
  <si>
    <t>excessive depreciation</t>
  </si>
  <si>
    <t>Dividend paid</t>
  </si>
  <si>
    <t>Non- group share</t>
  </si>
  <si>
    <t>IC payables</t>
  </si>
  <si>
    <t>cr - AR</t>
  </si>
  <si>
    <t>dr - bank</t>
  </si>
  <si>
    <t>dr- AP</t>
  </si>
  <si>
    <t>being correctoin to IC payables/recievables inbalance</t>
  </si>
  <si>
    <t>Final Step</t>
  </si>
  <si>
    <t>Investment in Polland</t>
  </si>
  <si>
    <t>Pat</t>
  </si>
  <si>
    <t>Dividene</t>
  </si>
  <si>
    <t>dr - investment in Holt</t>
  </si>
  <si>
    <t>cr - SPL share of profit of holt</t>
  </si>
  <si>
    <t xml:space="preserve">being group share of CY profit </t>
  </si>
  <si>
    <t>Eliminate group share of IC transactions and balances</t>
  </si>
  <si>
    <t>dr - SPL admin exp</t>
  </si>
  <si>
    <t>cr - investment in Holt</t>
  </si>
  <si>
    <t>being elimination of intercompany dividend</t>
  </si>
  <si>
    <t>Loss to retained earnings</t>
  </si>
  <si>
    <t>being elimination of additional investment and reduction in NCI</t>
  </si>
  <si>
    <t>recognise any impairment of gw</t>
  </si>
  <si>
    <t>dr - SPl impairment loss</t>
  </si>
  <si>
    <t>being historical and CY impairment of gw</t>
  </si>
  <si>
    <t xml:space="preserve">RVS </t>
  </si>
  <si>
    <t xml:space="preserve">NCI </t>
  </si>
  <si>
    <t>historic RE</t>
  </si>
  <si>
    <t>CY profit</t>
  </si>
  <si>
    <t>dividend paid</t>
  </si>
  <si>
    <t>dr  -revaluation surplus</t>
  </si>
  <si>
    <t>dr  - RE</t>
  </si>
  <si>
    <t>cr - SFP - NCI</t>
  </si>
  <si>
    <t>Step 5: CY profit</t>
  </si>
  <si>
    <t>being NCI share of CY profti</t>
  </si>
  <si>
    <t>NCI share of gain</t>
  </si>
  <si>
    <t>20% of gain</t>
  </si>
  <si>
    <t>Dr - Machinery cost</t>
  </si>
  <si>
    <t>dr - gain on disposal</t>
  </si>
  <si>
    <t>cr - Machinery AD</t>
  </si>
  <si>
    <t>being elimination of IC transfer of NCA at a gain</t>
  </si>
  <si>
    <t>being NCI share of elimination of IC gain on disposal</t>
  </si>
  <si>
    <t>cr - SPL depr'n charge</t>
  </si>
  <si>
    <t>dr - Machienry AD</t>
  </si>
  <si>
    <t>being adjustment to depr'n charge</t>
  </si>
  <si>
    <t>being eliminations of IC dividend</t>
  </si>
  <si>
    <t>dr - SPL - revenue</t>
  </si>
  <si>
    <t>being eliminations of IC sales and purchases</t>
  </si>
  <si>
    <t>cr - SPL COS</t>
  </si>
  <si>
    <t>cr - SPL</t>
  </si>
  <si>
    <t>&lt;&lt;&lt;need to do more work on the eliminations.</t>
  </si>
  <si>
    <t>&lt;&lt;&lt;effectively they are the the reverse of the normal journals</t>
  </si>
  <si>
    <t>&lt;&lt;&lt;if I would have split out the parts into subs, then run through the checklist, this question would have been more successful.</t>
  </si>
  <si>
    <t>&lt;&lt;&lt;good intuiton for where things go.  The IC balances are tricky</t>
  </si>
  <si>
    <t>Advise, providing explanations, on:</t>
  </si>
  <si>
    <t>• the definition of a joint arrangement and the type of joint arrangement that Wuhan represents; and</t>
  </si>
  <si>
    <t>• the impact on the consolidated financial statements of the Nu-macs Group.</t>
  </si>
  <si>
    <t>Wuhan</t>
  </si>
  <si>
    <t>A joint arrangement is and arrangement of which two or more parties have joint control and are defined as being either a joint venture or joing operations</t>
  </si>
  <si>
    <t>The joint arrangement with Wuhan is a joing operation, there control is shares and both Nu-macs and Wuhan have rights to the assets and obligations for the liabilities of the arrangement</t>
  </si>
  <si>
    <t>A joint operation is usually not set up as a separate legal entity and Nu-macs and Wuhan provider resouces to it, for example, the high precision pneumatic ramps</t>
  </si>
  <si>
    <t>The contractual agreement between joing operators details how revenues earned by the arragement are split 60:40 and that Nu-macs and Wuhan are responsible for their own expenses</t>
  </si>
  <si>
    <t>WSE31.5</t>
  </si>
  <si>
    <t>WSE31.6</t>
  </si>
  <si>
    <t>Herschel group</t>
  </si>
  <si>
    <t>Herschel</t>
  </si>
  <si>
    <t>Burgundy</t>
  </si>
  <si>
    <t>tax</t>
  </si>
  <si>
    <t>disrt</t>
  </si>
  <si>
    <t>other income</t>
  </si>
  <si>
    <t>This is a JV</t>
  </si>
  <si>
    <t>ok, so shares were paid for in exchange for some PPE</t>
  </si>
  <si>
    <t>resid value</t>
  </si>
  <si>
    <t>FV</t>
  </si>
  <si>
    <t>remaining useful life</t>
  </si>
  <si>
    <t>months</t>
  </si>
  <si>
    <t>reval the property to FV then dispose of in exchange for shares</t>
  </si>
  <si>
    <t>reval</t>
  </si>
  <si>
    <t>cr - PPE cost</t>
  </si>
  <si>
    <t>gain on reval</t>
  </si>
  <si>
    <t>dr - PPE AD</t>
  </si>
  <si>
    <t>dr - investment in Burgundy</t>
  </si>
  <si>
    <t>being increase on reval of PPE and sale for shares</t>
  </si>
  <si>
    <t>cr - SPL gain on reval</t>
  </si>
  <si>
    <t>Herschel first</t>
  </si>
  <si>
    <t>cash</t>
  </si>
  <si>
    <t>SPL other inceom</t>
  </si>
  <si>
    <t>not a group, so not subsiduiary consolidated accounts required.   Just need a separate line</t>
  </si>
  <si>
    <t>sales</t>
  </si>
  <si>
    <t>group share</t>
  </si>
  <si>
    <t>being reversal of unrealised profits</t>
  </si>
  <si>
    <t>dr - SPL other income</t>
  </si>
  <si>
    <t>cr - investment in Burgundy</t>
  </si>
  <si>
    <t>dr - share of profit of Burgundy</t>
  </si>
  <si>
    <t>Recognition of property and subsequent depreciation (Burgundy)</t>
  </si>
  <si>
    <t>Dr - property</t>
  </si>
  <si>
    <t>cr - Share capital</t>
  </si>
  <si>
    <t>being correctiong to Burgundy's financial statements to recognise property received in  exchange for issue of capital</t>
  </si>
  <si>
    <t>dr - depr'n</t>
  </si>
  <si>
    <t>cr - Property - AD</t>
  </si>
  <si>
    <t>being Burgundy's additional depreciation charge for the year</t>
  </si>
  <si>
    <t>R1 Corrections to individual financial statements</t>
  </si>
  <si>
    <t>Equity method of accounting for JV</t>
  </si>
  <si>
    <t>Step 1:  adjust for any gain from bargain purchase</t>
  </si>
  <si>
    <t>Investment in Burgundy</t>
  </si>
  <si>
    <t>group share of net assets</t>
  </si>
  <si>
    <t>no bargain purchase or gw</t>
  </si>
  <si>
    <t>step 2:</t>
  </si>
  <si>
    <t>Allocate share of associate's historical profit/loss and other gains and losses to the group</t>
  </si>
  <si>
    <t>N/a - JV incorporated 01/08/2017</t>
  </si>
  <si>
    <t>Step 3:  Allocate CY profit/loss and other gains/losses to the group</t>
  </si>
  <si>
    <t>Draft profit for the year</t>
  </si>
  <si>
    <t>Depreciation charge</t>
  </si>
  <si>
    <t>Adjusted profit for the year</t>
  </si>
  <si>
    <t>Group share of current profit</t>
  </si>
  <si>
    <t>cr - SPL share of Burgundy profit</t>
  </si>
  <si>
    <t>being group share of current year profits</t>
  </si>
  <si>
    <t>Step 4:  Eliminate group share of IC transactions and balances</t>
  </si>
  <si>
    <t>IC divi</t>
  </si>
  <si>
    <t>IC sales and purchases</t>
  </si>
  <si>
    <t>Herschel Group, excl. Burgundy</t>
  </si>
  <si>
    <t>Share of profit of joint venture</t>
  </si>
  <si>
    <t>exclude Burgundy from the FS as not a 50% controlled entity so must not be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</si>
</sst>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1" fillId="0" borderId="4" xfId="0" applyFont="1" applyBorder="1"/>
    <xf numFmtId="14" fontId="1" fillId="0" borderId="0" xfId="0" applyNumberFormat="1" applyFont="1"/>
    <xf numFmtId="0" fontId="1" fillId="2" borderId="0" xfId="0" applyFont="1" applyFill="1"/>
    <xf numFmtId="3" fontId="1" fillId="0" borderId="0" xfId="0" applyNumberFormat="1" applyFont="1"/>
    <xf numFmtId="3" fontId="1" fillId="0" borderId="0" xfId="0" applyNumberFormat="1" applyFont="1" applyFill="1"/>
    <xf numFmtId="3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 vertical="top" wrapText="1"/>
    </xf>
    <xf numFmtId="3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6</xdr:col>
      <xdr:colOff>577708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E0DF5-8623-DEB3-98A1-409BF0EC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4723086"/>
          <a:ext cx="3632277" cy="18130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1</xdr:colOff>
      <xdr:row>62</xdr:row>
      <xdr:rowOff>21229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DB6FE-DC5B-D70C-AD39-569CECE6F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7877735"/>
          <a:ext cx="3630706" cy="15900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7</xdr:col>
      <xdr:colOff>27235</xdr:colOff>
      <xdr:row>251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F35186-4D27-A2D5-F511-4A9DA7C3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34575750"/>
          <a:ext cx="3701164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C3A-CB43-4464-ABAE-DC0ED1A9AD32}">
  <dimension ref="B2:C7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3" x14ac:dyDescent="0.25">
      <c r="B2" s="3" t="s">
        <v>11</v>
      </c>
      <c r="C2" s="3" t="s">
        <v>122</v>
      </c>
    </row>
    <row r="3" spans="2:3" x14ac:dyDescent="0.25">
      <c r="B3" s="3"/>
      <c r="C3" s="3" t="s">
        <v>183</v>
      </c>
    </row>
    <row r="4" spans="2:3" x14ac:dyDescent="0.25">
      <c r="C4" s="3" t="s">
        <v>123</v>
      </c>
    </row>
    <row r="5" spans="2:3" x14ac:dyDescent="0.25">
      <c r="C5" s="3" t="s">
        <v>184</v>
      </c>
    </row>
    <row r="6" spans="2:3" x14ac:dyDescent="0.25">
      <c r="C6" s="3" t="s">
        <v>273</v>
      </c>
    </row>
    <row r="7" spans="2:3" x14ac:dyDescent="0.25">
      <c r="C7" s="3" t="s">
        <v>274</v>
      </c>
    </row>
  </sheetData>
  <hyperlinks>
    <hyperlink ref="B2" location="'Module 31'!A1" display="Module 31" xr:uid="{F67E95B8-1989-4092-813D-EF7B33561970}"/>
    <hyperlink ref="C2" location="WSE31.1!A1" display="WSE31.1" xr:uid="{FBDFD55E-E98D-43B4-AAFC-6B0739B2958A}"/>
    <hyperlink ref="C4" location="WSE31.3!A1" display="WSE31.3" xr:uid="{E4939959-6D20-4E51-8212-4AF3FABB5A81}"/>
    <hyperlink ref="C3" location="WSE31.2!A1" display="WSE31.2" xr:uid="{6ED4FBC0-2948-439F-8AEC-5898F96A4449}"/>
    <hyperlink ref="C5" location="WSE31.4!A1" display="WSE31.4" xr:uid="{7A50D448-E301-473F-A4F0-9C1537994EC9}"/>
    <hyperlink ref="C6" location="WSE31.5!A1" display="WSE31.5" xr:uid="{B74996CA-1CD2-4F40-B76F-1852D6729732}"/>
    <hyperlink ref="C7" location="WSE31.6!A1" display="WSE31.6" xr:uid="{1CD5DB4C-5A06-43C2-9495-9830E42B119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6D1B-1138-44C9-9643-89898B1BA1CC}">
  <dimension ref="A1:F215"/>
  <sheetViews>
    <sheetView tabSelected="1" zoomScale="130" zoomScaleNormal="130" workbookViewId="0">
      <selection activeCell="B2" sqref="B2"/>
    </sheetView>
  </sheetViews>
  <sheetFormatPr defaultRowHeight="12" x14ac:dyDescent="0.2"/>
  <cols>
    <col min="1" max="16384" width="9.140625" style="1"/>
  </cols>
  <sheetData>
    <row r="1" spans="1:3" ht="15" x14ac:dyDescent="0.25">
      <c r="A1" s="3" t="s">
        <v>12</v>
      </c>
    </row>
    <row r="2" spans="1:3" x14ac:dyDescent="0.2">
      <c r="B2" s="1" t="s">
        <v>120</v>
      </c>
    </row>
    <row r="8" spans="1:3" x14ac:dyDescent="0.2">
      <c r="B8" s="1">
        <v>0</v>
      </c>
    </row>
    <row r="9" spans="1:3" x14ac:dyDescent="0.2">
      <c r="B9" s="2">
        <v>0.2</v>
      </c>
      <c r="C9" s="1" t="s">
        <v>1</v>
      </c>
    </row>
    <row r="10" spans="1:3" x14ac:dyDescent="0.2">
      <c r="B10" s="2">
        <v>0.5</v>
      </c>
      <c r="C10" s="1" t="s">
        <v>0</v>
      </c>
    </row>
    <row r="13" spans="1:3" x14ac:dyDescent="0.2">
      <c r="B13" s="1" t="s">
        <v>2</v>
      </c>
    </row>
    <row r="14" spans="1:3" x14ac:dyDescent="0.2">
      <c r="B14" s="1" t="s">
        <v>3</v>
      </c>
    </row>
    <row r="15" spans="1:3" x14ac:dyDescent="0.2">
      <c r="B15" s="1" t="s">
        <v>4</v>
      </c>
    </row>
    <row r="16" spans="1:3" x14ac:dyDescent="0.2">
      <c r="B16" s="1" t="s">
        <v>5</v>
      </c>
    </row>
    <row r="17" spans="2:3" x14ac:dyDescent="0.2">
      <c r="B17" s="1" t="s">
        <v>6</v>
      </c>
    </row>
    <row r="18" spans="2:3" x14ac:dyDescent="0.2">
      <c r="B18" s="1" t="s">
        <v>7</v>
      </c>
    </row>
    <row r="19" spans="2:3" x14ac:dyDescent="0.2">
      <c r="B19" s="1" t="s">
        <v>8</v>
      </c>
    </row>
    <row r="20" spans="2:3" x14ac:dyDescent="0.2">
      <c r="B20" s="1" t="s">
        <v>9</v>
      </c>
    </row>
    <row r="21" spans="2:3" x14ac:dyDescent="0.2">
      <c r="B21" s="1" t="s">
        <v>10</v>
      </c>
    </row>
    <row r="25" spans="2:3" x14ac:dyDescent="0.2">
      <c r="B25" s="1" t="s">
        <v>13</v>
      </c>
      <c r="C25" s="1" t="s">
        <v>17</v>
      </c>
    </row>
    <row r="26" spans="2:3" x14ac:dyDescent="0.2">
      <c r="B26" s="1" t="s">
        <v>14</v>
      </c>
      <c r="C26" s="4">
        <v>0.5</v>
      </c>
    </row>
    <row r="27" spans="2:3" x14ac:dyDescent="0.2">
      <c r="B27" s="1" t="s">
        <v>15</v>
      </c>
      <c r="C27" s="4">
        <v>0.25</v>
      </c>
    </row>
    <row r="28" spans="2:3" x14ac:dyDescent="0.2">
      <c r="B28" s="1" t="s">
        <v>16</v>
      </c>
      <c r="C28" s="4">
        <v>0.25</v>
      </c>
    </row>
    <row r="30" spans="2:3" x14ac:dyDescent="0.2">
      <c r="B30" s="1" t="s">
        <v>18</v>
      </c>
    </row>
    <row r="46" spans="2:2" x14ac:dyDescent="0.2">
      <c r="B46" s="1" t="s">
        <v>19</v>
      </c>
    </row>
    <row r="47" spans="2:2" x14ac:dyDescent="0.2">
      <c r="B47" s="1" t="s">
        <v>20</v>
      </c>
    </row>
    <row r="49" spans="2:2" x14ac:dyDescent="0.2">
      <c r="B49" s="1" t="s">
        <v>21</v>
      </c>
    </row>
    <row r="50" spans="2:2" x14ac:dyDescent="0.2">
      <c r="B50" s="1" t="s">
        <v>22</v>
      </c>
    </row>
    <row r="66" spans="2:3" x14ac:dyDescent="0.2">
      <c r="B66" s="1" t="s">
        <v>23</v>
      </c>
    </row>
    <row r="69" spans="2:3" x14ac:dyDescent="0.2">
      <c r="B69" s="1" t="s">
        <v>24</v>
      </c>
    </row>
    <row r="70" spans="2:3" x14ac:dyDescent="0.2">
      <c r="B70" s="1" t="s">
        <v>25</v>
      </c>
    </row>
    <row r="71" spans="2:3" x14ac:dyDescent="0.2">
      <c r="C71" s="1" t="s">
        <v>26</v>
      </c>
    </row>
    <row r="72" spans="2:3" x14ac:dyDescent="0.2">
      <c r="B72" s="1" t="s">
        <v>27</v>
      </c>
    </row>
    <row r="74" spans="2:3" x14ac:dyDescent="0.2">
      <c r="B74" s="1" t="s">
        <v>28</v>
      </c>
    </row>
    <row r="76" spans="2:3" x14ac:dyDescent="0.2">
      <c r="B76" s="1" t="s">
        <v>29</v>
      </c>
    </row>
    <row r="77" spans="2:3" x14ac:dyDescent="0.2">
      <c r="C77" s="1" t="s">
        <v>30</v>
      </c>
    </row>
    <row r="78" spans="2:3" x14ac:dyDescent="0.2">
      <c r="C78" s="1" t="s">
        <v>31</v>
      </c>
    </row>
    <row r="80" spans="2:3" x14ac:dyDescent="0.2">
      <c r="B80" s="1" t="s">
        <v>33</v>
      </c>
    </row>
    <row r="82" spans="2:4" x14ac:dyDescent="0.2">
      <c r="B82" s="1" t="s">
        <v>34</v>
      </c>
    </row>
    <row r="84" spans="2:4" x14ac:dyDescent="0.2">
      <c r="B84" s="1" t="s">
        <v>35</v>
      </c>
    </row>
    <row r="85" spans="2:4" x14ac:dyDescent="0.2">
      <c r="C85" s="1" t="s">
        <v>36</v>
      </c>
    </row>
    <row r="86" spans="2:4" x14ac:dyDescent="0.2">
      <c r="C86" s="1" t="s">
        <v>37</v>
      </c>
    </row>
    <row r="90" spans="2:4" x14ac:dyDescent="0.2">
      <c r="B90" s="1" t="s">
        <v>38</v>
      </c>
    </row>
    <row r="91" spans="2:4" x14ac:dyDescent="0.2">
      <c r="B91" s="1" t="s">
        <v>39</v>
      </c>
    </row>
    <row r="95" spans="2:4" x14ac:dyDescent="0.2">
      <c r="B95" s="1" t="s">
        <v>49</v>
      </c>
      <c r="C95" s="1">
        <v>75</v>
      </c>
      <c r="D95" s="1">
        <v>0</v>
      </c>
    </row>
    <row r="96" spans="2:4" x14ac:dyDescent="0.2">
      <c r="B96" s="1" t="s">
        <v>48</v>
      </c>
      <c r="C96" s="1">
        <v>446</v>
      </c>
      <c r="D96" s="1">
        <v>160</v>
      </c>
    </row>
    <row r="97" spans="2:5" x14ac:dyDescent="0.2">
      <c r="C97" s="7">
        <f>SUM(C95:C96)</f>
        <v>521</v>
      </c>
      <c r="D97" s="7">
        <f>SUM(D95:D96)</f>
        <v>160</v>
      </c>
    </row>
    <row r="99" spans="2:5" x14ac:dyDescent="0.2">
      <c r="B99" s="1" t="s">
        <v>47</v>
      </c>
      <c r="C99" s="1">
        <v>100</v>
      </c>
      <c r="D99" s="1">
        <v>50</v>
      </c>
    </row>
    <row r="100" spans="2:5" x14ac:dyDescent="0.2">
      <c r="B100" s="1" t="s">
        <v>46</v>
      </c>
      <c r="C100" s="1">
        <v>421</v>
      </c>
      <c r="D100" s="1">
        <v>110</v>
      </c>
    </row>
    <row r="101" spans="2:5" x14ac:dyDescent="0.2">
      <c r="C101" s="7">
        <f>SUM(C99:C100)</f>
        <v>521</v>
      </c>
      <c r="D101" s="7">
        <f>SUM(D99:D100)</f>
        <v>160</v>
      </c>
    </row>
    <row r="104" spans="2:5" x14ac:dyDescent="0.2">
      <c r="B104" s="1" t="s">
        <v>45</v>
      </c>
      <c r="C104" s="1">
        <v>108</v>
      </c>
      <c r="D104" s="1">
        <v>58</v>
      </c>
    </row>
    <row r="105" spans="2:5" x14ac:dyDescent="0.2">
      <c r="B105" s="1" t="s">
        <v>44</v>
      </c>
      <c r="C105" s="1">
        <v>-15</v>
      </c>
      <c r="D105" s="1">
        <v>-8</v>
      </c>
    </row>
    <row r="106" spans="2:5" x14ac:dyDescent="0.2">
      <c r="B106" s="1" t="s">
        <v>43</v>
      </c>
      <c r="C106" s="6">
        <v>12</v>
      </c>
      <c r="D106" s="6">
        <v>0</v>
      </c>
    </row>
    <row r="107" spans="2:5" x14ac:dyDescent="0.2">
      <c r="B107" s="1" t="s">
        <v>42</v>
      </c>
      <c r="C107" s="1">
        <f>SUM(C104:C106)</f>
        <v>105</v>
      </c>
      <c r="D107" s="1">
        <f>SUM(D104:D106)</f>
        <v>50</v>
      </c>
    </row>
    <row r="108" spans="2:5" x14ac:dyDescent="0.2">
      <c r="B108" s="1" t="s">
        <v>41</v>
      </c>
      <c r="C108" s="1">
        <v>-25</v>
      </c>
      <c r="D108" s="1">
        <v>-10</v>
      </c>
    </row>
    <row r="109" spans="2:5" ht="12.75" thickBot="1" x14ac:dyDescent="0.25">
      <c r="B109" s="1" t="s">
        <v>40</v>
      </c>
      <c r="C109" s="5">
        <f>SUM(C107:C108)</f>
        <v>80</v>
      </c>
      <c r="D109" s="5">
        <f>SUM(D107:D108)</f>
        <v>40</v>
      </c>
    </row>
    <row r="110" spans="2:5" ht="12.75" thickTop="1" x14ac:dyDescent="0.2"/>
    <row r="112" spans="2:5" x14ac:dyDescent="0.2">
      <c r="B112" s="1" t="s">
        <v>50</v>
      </c>
      <c r="E112" s="1">
        <v>75</v>
      </c>
    </row>
    <row r="113" spans="2:6" x14ac:dyDescent="0.2">
      <c r="B113" s="1" t="s">
        <v>47</v>
      </c>
      <c r="D113" s="1">
        <f>+D99</f>
        <v>50</v>
      </c>
    </row>
    <row r="114" spans="2:6" x14ac:dyDescent="0.2">
      <c r="B114" s="1" t="s">
        <v>46</v>
      </c>
      <c r="D114" s="1">
        <v>100</v>
      </c>
    </row>
    <row r="115" spans="2:6" x14ac:dyDescent="0.2">
      <c r="B115" s="1" t="s">
        <v>51</v>
      </c>
      <c r="C115" s="2">
        <v>0.4</v>
      </c>
      <c r="D115" s="1">
        <f>SUM(D113:D114)</f>
        <v>150</v>
      </c>
      <c r="E115" s="1">
        <f>+C115*D115</f>
        <v>60</v>
      </c>
    </row>
    <row r="116" spans="2:6" x14ac:dyDescent="0.2">
      <c r="B116" s="1" t="s">
        <v>52</v>
      </c>
      <c r="E116" s="1">
        <f>+E112-E115</f>
        <v>15</v>
      </c>
    </row>
    <row r="118" spans="2:6" x14ac:dyDescent="0.2">
      <c r="B118" s="1" t="s">
        <v>53</v>
      </c>
    </row>
    <row r="121" spans="2:6" x14ac:dyDescent="0.2">
      <c r="B121" s="1" t="s">
        <v>54</v>
      </c>
    </row>
    <row r="125" spans="2:6" x14ac:dyDescent="0.2">
      <c r="B125" s="1" t="s">
        <v>63</v>
      </c>
    </row>
    <row r="126" spans="2:6" x14ac:dyDescent="0.2">
      <c r="B126" s="1" t="s">
        <v>64</v>
      </c>
      <c r="E126" s="1">
        <f>+F191</f>
        <v>6.4</v>
      </c>
      <c r="F126" s="1" t="s">
        <v>65</v>
      </c>
    </row>
    <row r="127" spans="2:6" x14ac:dyDescent="0.2">
      <c r="E127" s="1">
        <f>+E201</f>
        <v>5.2</v>
      </c>
      <c r="F127" s="1" t="s">
        <v>66</v>
      </c>
    </row>
    <row r="128" spans="2:6" x14ac:dyDescent="0.2">
      <c r="E128" s="1">
        <f>-E126+E127</f>
        <v>-1.2000000000000002</v>
      </c>
      <c r="F128" s="1" t="s">
        <v>67</v>
      </c>
    </row>
    <row r="130" spans="2:6" x14ac:dyDescent="0.2">
      <c r="B130" s="1" t="s">
        <v>68</v>
      </c>
      <c r="E130" s="1">
        <f>-E128</f>
        <v>1.2000000000000002</v>
      </c>
    </row>
    <row r="131" spans="2:6" x14ac:dyDescent="0.2">
      <c r="C131" s="1" t="s">
        <v>30</v>
      </c>
      <c r="F131" s="1">
        <f>-E128</f>
        <v>1.2000000000000002</v>
      </c>
    </row>
    <row r="132" spans="2:6" x14ac:dyDescent="0.2">
      <c r="B132" s="1" t="s">
        <v>69</v>
      </c>
    </row>
    <row r="135" spans="2:6" x14ac:dyDescent="0.2">
      <c r="B135" s="1" t="s">
        <v>62</v>
      </c>
    </row>
    <row r="137" spans="2:6" x14ac:dyDescent="0.2">
      <c r="C137" s="1" t="s">
        <v>70</v>
      </c>
      <c r="D137" s="1" t="s">
        <v>71</v>
      </c>
    </row>
    <row r="138" spans="2:6" x14ac:dyDescent="0.2">
      <c r="B138" s="1" t="s">
        <v>77</v>
      </c>
      <c r="C138" s="1">
        <v>75</v>
      </c>
      <c r="D138" s="1">
        <v>0</v>
      </c>
      <c r="E138" s="1">
        <f>+C138+D138</f>
        <v>75</v>
      </c>
    </row>
    <row r="139" spans="2:6" x14ac:dyDescent="0.2">
      <c r="B139" s="1" t="s">
        <v>76</v>
      </c>
      <c r="C139" s="1">
        <v>466</v>
      </c>
      <c r="D139" s="1">
        <v>326</v>
      </c>
      <c r="E139" s="1">
        <f>+C139+D139</f>
        <v>792</v>
      </c>
    </row>
    <row r="140" spans="2:6" x14ac:dyDescent="0.2">
      <c r="C140" s="7">
        <f>SUM(C138:C139)</f>
        <v>541</v>
      </c>
      <c r="D140" s="7">
        <f t="shared" ref="D140:E140" si="0">SUM(D138:D139)</f>
        <v>326</v>
      </c>
      <c r="E140" s="7">
        <f t="shared" si="0"/>
        <v>867</v>
      </c>
    </row>
    <row r="142" spans="2:6" x14ac:dyDescent="0.2">
      <c r="B142" s="1" t="s">
        <v>47</v>
      </c>
      <c r="C142" s="1">
        <v>100</v>
      </c>
      <c r="D142" s="1">
        <v>50</v>
      </c>
      <c r="E142" s="1">
        <f>+C142+D142</f>
        <v>150</v>
      </c>
    </row>
    <row r="143" spans="2:6" x14ac:dyDescent="0.2">
      <c r="B143" s="1" t="s">
        <v>46</v>
      </c>
      <c r="C143" s="1">
        <v>441</v>
      </c>
      <c r="D143" s="1">
        <v>176</v>
      </c>
      <c r="E143" s="1">
        <f>+C143+D143</f>
        <v>617</v>
      </c>
    </row>
    <row r="144" spans="2:6" x14ac:dyDescent="0.2">
      <c r="B144" s="1" t="s">
        <v>75</v>
      </c>
      <c r="C144" s="1">
        <v>0</v>
      </c>
      <c r="D144" s="1">
        <v>100</v>
      </c>
      <c r="E144" s="1">
        <f>+C144+D144</f>
        <v>100</v>
      </c>
    </row>
    <row r="145" spans="2:5" x14ac:dyDescent="0.2">
      <c r="C145" s="7">
        <f>SUM(C142:C144)</f>
        <v>541</v>
      </c>
      <c r="D145" s="7">
        <f t="shared" ref="D145:E145" si="1">SUM(D142:D144)</f>
        <v>326</v>
      </c>
      <c r="E145" s="7">
        <f t="shared" si="1"/>
        <v>867</v>
      </c>
    </row>
    <row r="148" spans="2:5" x14ac:dyDescent="0.2">
      <c r="B148" s="1" t="s">
        <v>74</v>
      </c>
      <c r="C148" s="1">
        <v>57</v>
      </c>
      <c r="D148" s="1">
        <v>31</v>
      </c>
      <c r="E148" s="1">
        <f>+C148+D148</f>
        <v>88</v>
      </c>
    </row>
    <row r="149" spans="2:5" x14ac:dyDescent="0.2">
      <c r="B149" s="1" t="s">
        <v>73</v>
      </c>
      <c r="C149" s="1">
        <v>-20</v>
      </c>
      <c r="D149" s="1">
        <v>-9</v>
      </c>
      <c r="E149" s="1">
        <f>+C149+D149</f>
        <v>-29</v>
      </c>
    </row>
    <row r="150" spans="2:5" x14ac:dyDescent="0.2">
      <c r="B150" s="1" t="s">
        <v>72</v>
      </c>
      <c r="C150" s="9">
        <v>5</v>
      </c>
      <c r="D150" s="9">
        <v>0</v>
      </c>
      <c r="E150" s="9">
        <f>+C150+D150</f>
        <v>5</v>
      </c>
    </row>
    <row r="151" spans="2:5" x14ac:dyDescent="0.2">
      <c r="B151" s="1" t="s">
        <v>42</v>
      </c>
      <c r="C151" s="1">
        <f>SUM(C148:C150)</f>
        <v>42</v>
      </c>
      <c r="D151" s="1">
        <f t="shared" ref="D151:E151" si="2">SUM(D148:D150)</f>
        <v>22</v>
      </c>
      <c r="E151" s="1">
        <f t="shared" si="2"/>
        <v>64</v>
      </c>
    </row>
    <row r="152" spans="2:5" x14ac:dyDescent="0.2">
      <c r="B152" s="1" t="s">
        <v>41</v>
      </c>
      <c r="C152" s="1">
        <v>-10</v>
      </c>
      <c r="D152" s="1">
        <v>-6</v>
      </c>
      <c r="E152" s="1">
        <f>+C152+D152</f>
        <v>-16</v>
      </c>
    </row>
    <row r="153" spans="2:5" ht="12.75" thickBot="1" x14ac:dyDescent="0.25">
      <c r="B153" s="1" t="s">
        <v>40</v>
      </c>
      <c r="C153" s="5">
        <f>SUM(C151:C152)</f>
        <v>32</v>
      </c>
      <c r="D153" s="5">
        <f t="shared" ref="D153:E153" si="3">SUM(D151:D152)</f>
        <v>16</v>
      </c>
      <c r="E153" s="5">
        <f t="shared" si="3"/>
        <v>48</v>
      </c>
    </row>
    <row r="154" spans="2:5" ht="12.75" thickTop="1" x14ac:dyDescent="0.2"/>
    <row r="156" spans="2:5" x14ac:dyDescent="0.2">
      <c r="B156" s="1" t="s">
        <v>78</v>
      </c>
    </row>
    <row r="158" spans="2:5" x14ac:dyDescent="0.2">
      <c r="B158" s="1" t="s">
        <v>50</v>
      </c>
      <c r="E158" s="1">
        <f>+C138</f>
        <v>75</v>
      </c>
    </row>
    <row r="159" spans="2:5" x14ac:dyDescent="0.2">
      <c r="B159" s="1" t="s">
        <v>47</v>
      </c>
      <c r="D159" s="1">
        <f>+D142</f>
        <v>50</v>
      </c>
    </row>
    <row r="160" spans="2:5" x14ac:dyDescent="0.2">
      <c r="B160" s="1" t="s">
        <v>46</v>
      </c>
      <c r="D160" s="1">
        <v>100</v>
      </c>
    </row>
    <row r="161" spans="2:5" x14ac:dyDescent="0.2">
      <c r="B161" s="1" t="s">
        <v>51</v>
      </c>
      <c r="C161" s="2">
        <v>0.4</v>
      </c>
      <c r="D161" s="1">
        <f>SUM(D159:D160)</f>
        <v>150</v>
      </c>
      <c r="E161" s="1">
        <f>+C161*D161</f>
        <v>60</v>
      </c>
    </row>
    <row r="162" spans="2:5" x14ac:dyDescent="0.2">
      <c r="B162" s="1" t="s">
        <v>52</v>
      </c>
      <c r="E162" s="1">
        <f>+E158-E161</f>
        <v>15</v>
      </c>
    </row>
    <row r="164" spans="2:5" x14ac:dyDescent="0.2">
      <c r="B164" s="1" t="s">
        <v>53</v>
      </c>
    </row>
    <row r="166" spans="2:5" x14ac:dyDescent="0.2">
      <c r="B166" s="1" t="s">
        <v>33</v>
      </c>
    </row>
    <row r="168" spans="2:5" x14ac:dyDescent="0.2">
      <c r="B168" s="1" t="s">
        <v>46</v>
      </c>
      <c r="C168" s="10">
        <v>43738</v>
      </c>
      <c r="E168" s="1">
        <f>+D143</f>
        <v>176</v>
      </c>
    </row>
    <row r="169" spans="2:5" x14ac:dyDescent="0.2">
      <c r="B169" s="1" t="s">
        <v>40</v>
      </c>
      <c r="C169" s="10">
        <v>43738</v>
      </c>
      <c r="E169" s="1">
        <f>-+D153</f>
        <v>-16</v>
      </c>
    </row>
    <row r="170" spans="2:5" x14ac:dyDescent="0.2">
      <c r="B170" s="1" t="s">
        <v>79</v>
      </c>
      <c r="C170" s="10">
        <v>43738</v>
      </c>
      <c r="E170" s="1">
        <v>13</v>
      </c>
    </row>
    <row r="171" spans="2:5" x14ac:dyDescent="0.2">
      <c r="B171" s="1" t="s">
        <v>46</v>
      </c>
      <c r="C171" s="10">
        <v>43373</v>
      </c>
      <c r="E171" s="1">
        <f>SUM(E168:E170)</f>
        <v>173</v>
      </c>
    </row>
    <row r="172" spans="2:5" x14ac:dyDescent="0.2">
      <c r="B172" s="1" t="s">
        <v>46</v>
      </c>
      <c r="C172" s="10">
        <v>40817</v>
      </c>
      <c r="E172" s="1">
        <f>+D160</f>
        <v>100</v>
      </c>
    </row>
    <row r="173" spans="2:5" x14ac:dyDescent="0.2">
      <c r="B173" s="1" t="s">
        <v>80</v>
      </c>
      <c r="E173" s="1">
        <f>+E171-E172</f>
        <v>73</v>
      </c>
    </row>
    <row r="174" spans="2:5" ht="12.75" thickBot="1" x14ac:dyDescent="0.25">
      <c r="B174" s="1" t="s">
        <v>81</v>
      </c>
      <c r="E174" s="5">
        <f>0.4*E173</f>
        <v>29.200000000000003</v>
      </c>
    </row>
    <row r="175" spans="2:5" ht="12.75" thickTop="1" x14ac:dyDescent="0.2"/>
    <row r="177" spans="2:6" x14ac:dyDescent="0.2">
      <c r="B177" s="1" t="s">
        <v>82</v>
      </c>
    </row>
    <row r="178" spans="2:6" x14ac:dyDescent="0.2">
      <c r="B178" s="2">
        <v>0.4</v>
      </c>
      <c r="C178" s="1">
        <v>40</v>
      </c>
      <c r="D178" s="1">
        <f>+B178*C178</f>
        <v>16</v>
      </c>
    </row>
    <row r="180" spans="2:6" x14ac:dyDescent="0.2">
      <c r="B180" s="1" t="s">
        <v>83</v>
      </c>
      <c r="E180" s="13">
        <f>SUM(F180:F182)</f>
        <v>45.2</v>
      </c>
      <c r="F180" s="13"/>
    </row>
    <row r="181" spans="2:6" x14ac:dyDescent="0.2">
      <c r="C181" s="1" t="s">
        <v>84</v>
      </c>
      <c r="E181" s="13"/>
      <c r="F181" s="13">
        <f>+D178</f>
        <v>16</v>
      </c>
    </row>
    <row r="182" spans="2:6" x14ac:dyDescent="0.2">
      <c r="C182" s="1" t="s">
        <v>86</v>
      </c>
      <c r="E182" s="13"/>
      <c r="F182" s="13">
        <f>+E174</f>
        <v>29.200000000000003</v>
      </c>
    </row>
    <row r="183" spans="2:6" x14ac:dyDescent="0.2">
      <c r="B183" s="1" t="s">
        <v>85</v>
      </c>
    </row>
    <row r="185" spans="2:6" x14ac:dyDescent="0.2">
      <c r="B185" s="1" t="s">
        <v>34</v>
      </c>
    </row>
    <row r="187" spans="2:6" x14ac:dyDescent="0.2">
      <c r="B187" s="1" t="s">
        <v>55</v>
      </c>
      <c r="C187" s="2">
        <v>0.4</v>
      </c>
      <c r="D187" s="12">
        <f>+D153</f>
        <v>16</v>
      </c>
      <c r="E187" s="12">
        <f>+C187*D187</f>
        <v>6.4</v>
      </c>
      <c r="F187" s="12"/>
    </row>
    <row r="188" spans="2:6" x14ac:dyDescent="0.2">
      <c r="B188" s="1" t="s">
        <v>87</v>
      </c>
      <c r="C188" s="2">
        <v>0.4</v>
      </c>
      <c r="D188" s="12">
        <v>60</v>
      </c>
      <c r="E188" s="12">
        <f>+C188*D188</f>
        <v>24</v>
      </c>
      <c r="F188" s="12"/>
    </row>
    <row r="189" spans="2:6" x14ac:dyDescent="0.2">
      <c r="D189" s="12"/>
      <c r="E189" s="12"/>
      <c r="F189" s="12"/>
    </row>
    <row r="190" spans="2:6" x14ac:dyDescent="0.2">
      <c r="B190" s="1" t="s">
        <v>56</v>
      </c>
      <c r="D190" s="12"/>
      <c r="E190" s="12">
        <f>SUM(E187:E189)</f>
        <v>30.4</v>
      </c>
      <c r="F190" s="12"/>
    </row>
    <row r="191" spans="2:6" x14ac:dyDescent="0.2">
      <c r="C191" s="1" t="s">
        <v>57</v>
      </c>
      <c r="D191" s="12"/>
      <c r="E191" s="12"/>
      <c r="F191" s="12">
        <f>+E187</f>
        <v>6.4</v>
      </c>
    </row>
    <row r="192" spans="2:6" x14ac:dyDescent="0.2">
      <c r="C192" s="1" t="s">
        <v>84</v>
      </c>
      <c r="D192" s="12"/>
      <c r="E192" s="12"/>
      <c r="F192" s="12">
        <f>+E188</f>
        <v>24</v>
      </c>
    </row>
    <row r="193" spans="2:6" x14ac:dyDescent="0.2">
      <c r="B193" s="1" t="s">
        <v>58</v>
      </c>
      <c r="D193" s="12"/>
      <c r="E193" s="12"/>
      <c r="F193" s="12"/>
    </row>
    <row r="194" spans="2:6" x14ac:dyDescent="0.2">
      <c r="D194" s="12"/>
      <c r="E194" s="12"/>
      <c r="F194" s="12"/>
    </row>
    <row r="195" spans="2:6" x14ac:dyDescent="0.2">
      <c r="B195" s="1" t="s">
        <v>35</v>
      </c>
      <c r="D195" s="12"/>
      <c r="E195" s="12"/>
      <c r="F195" s="12"/>
    </row>
    <row r="196" spans="2:6" x14ac:dyDescent="0.2">
      <c r="C196" s="1" t="s">
        <v>36</v>
      </c>
      <c r="D196" s="12"/>
      <c r="E196" s="12"/>
      <c r="F196" s="12"/>
    </row>
    <row r="197" spans="2:6" x14ac:dyDescent="0.2">
      <c r="C197" s="1" t="s">
        <v>37</v>
      </c>
      <c r="D197" s="12"/>
      <c r="E197" s="12"/>
      <c r="F197" s="12"/>
    </row>
    <row r="198" spans="2:6" x14ac:dyDescent="0.2">
      <c r="B198" s="1" t="s">
        <v>88</v>
      </c>
      <c r="C198" s="2">
        <v>0.4</v>
      </c>
      <c r="D198" s="12">
        <v>13</v>
      </c>
      <c r="E198" s="12">
        <f>+C198*D198</f>
        <v>5.2</v>
      </c>
      <c r="F198" s="12"/>
    </row>
    <row r="199" spans="2:6" x14ac:dyDescent="0.2">
      <c r="D199" s="12"/>
      <c r="E199" s="12"/>
      <c r="F199" s="12"/>
    </row>
    <row r="200" spans="2:6" x14ac:dyDescent="0.2">
      <c r="D200" s="12"/>
      <c r="E200" s="12"/>
      <c r="F200" s="12"/>
    </row>
    <row r="201" spans="2:6" x14ac:dyDescent="0.2">
      <c r="B201" s="1" t="s">
        <v>60</v>
      </c>
      <c r="D201" s="12"/>
      <c r="E201" s="12">
        <f>+E198</f>
        <v>5.2</v>
      </c>
      <c r="F201" s="12"/>
    </row>
    <row r="202" spans="2:6" x14ac:dyDescent="0.2">
      <c r="C202" s="1" t="s">
        <v>59</v>
      </c>
      <c r="D202" s="12"/>
      <c r="E202" s="12"/>
      <c r="F202" s="12">
        <f>+E201</f>
        <v>5.2</v>
      </c>
    </row>
    <row r="203" spans="2:6" x14ac:dyDescent="0.2">
      <c r="B203" s="1" t="s">
        <v>61</v>
      </c>
      <c r="D203" s="12"/>
      <c r="E203" s="12"/>
      <c r="F203" s="12"/>
    </row>
    <row r="204" spans="2:6" x14ac:dyDescent="0.2">
      <c r="D204" s="12"/>
      <c r="E204" s="12"/>
      <c r="F204" s="12"/>
    </row>
    <row r="205" spans="2:6" x14ac:dyDescent="0.2">
      <c r="B205" s="1" t="s">
        <v>63</v>
      </c>
      <c r="D205" s="12"/>
      <c r="E205" s="12"/>
      <c r="F205" s="12"/>
    </row>
    <row r="206" spans="2:6" x14ac:dyDescent="0.2">
      <c r="B206" s="1" t="s">
        <v>55</v>
      </c>
      <c r="D206" s="12"/>
      <c r="E206" s="12">
        <f>+F191</f>
        <v>6.4</v>
      </c>
      <c r="F206" s="12" t="s">
        <v>65</v>
      </c>
    </row>
    <row r="207" spans="2:6" x14ac:dyDescent="0.2">
      <c r="B207" s="1" t="s">
        <v>89</v>
      </c>
      <c r="D207" s="12"/>
      <c r="E207" s="12">
        <f>+E201</f>
        <v>5.2</v>
      </c>
      <c r="F207" s="12" t="s">
        <v>66</v>
      </c>
    </row>
    <row r="208" spans="2:6" ht="12.75" thickBot="1" x14ac:dyDescent="0.25">
      <c r="D208" s="12"/>
      <c r="E208" s="14">
        <f>-E206+E207</f>
        <v>-1.2000000000000002</v>
      </c>
      <c r="F208" s="12"/>
    </row>
    <row r="209" spans="2:6" ht="12.75" thickTop="1" x14ac:dyDescent="0.2">
      <c r="D209" s="12"/>
      <c r="E209" s="12"/>
      <c r="F209" s="12"/>
    </row>
    <row r="210" spans="2:6" x14ac:dyDescent="0.2">
      <c r="B210" s="1" t="s">
        <v>68</v>
      </c>
      <c r="D210" s="12"/>
      <c r="E210" s="12">
        <f>-E208</f>
        <v>1.2000000000000002</v>
      </c>
      <c r="F210" s="12"/>
    </row>
    <row r="211" spans="2:6" x14ac:dyDescent="0.2">
      <c r="C211" s="1" t="s">
        <v>90</v>
      </c>
      <c r="D211" s="12"/>
      <c r="E211" s="12"/>
      <c r="F211" s="12">
        <f>+E210</f>
        <v>1.2000000000000002</v>
      </c>
    </row>
    <row r="212" spans="2:6" x14ac:dyDescent="0.2">
      <c r="B212" s="1" t="s">
        <v>69</v>
      </c>
    </row>
    <row r="215" spans="2:6" x14ac:dyDescent="0.2">
      <c r="B215" s="1" t="s">
        <v>91</v>
      </c>
    </row>
  </sheetData>
  <hyperlinks>
    <hyperlink ref="A1" location="Main!A1" display="Main" xr:uid="{8F97839E-5F8E-4589-8243-66A59C551D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AE9D-3628-4BF5-A426-4C5E93FA6B4E}">
  <dimension ref="A1:F62"/>
  <sheetViews>
    <sheetView zoomScale="130" zoomScaleNormal="130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121</v>
      </c>
    </row>
    <row r="5" spans="1:5" x14ac:dyDescent="0.2">
      <c r="C5" s="1" t="s">
        <v>124</v>
      </c>
      <c r="D5" s="1" t="s">
        <v>125</v>
      </c>
    </row>
    <row r="6" spans="1:5" x14ac:dyDescent="0.2">
      <c r="B6" s="1" t="s">
        <v>126</v>
      </c>
      <c r="D6" s="1">
        <v>6000</v>
      </c>
    </row>
    <row r="7" spans="1:5" x14ac:dyDescent="0.2">
      <c r="B7" s="1" t="s">
        <v>127</v>
      </c>
      <c r="D7" s="1">
        <v>0.25</v>
      </c>
    </row>
    <row r="8" spans="1:5" x14ac:dyDescent="0.2">
      <c r="B8" s="1" t="s">
        <v>47</v>
      </c>
      <c r="D8" s="1">
        <f>+D6*D7</f>
        <v>1500</v>
      </c>
    </row>
    <row r="12" spans="1:5" x14ac:dyDescent="0.2">
      <c r="B12" s="1" t="s">
        <v>107</v>
      </c>
    </row>
    <row r="13" spans="1:5" x14ac:dyDescent="0.2">
      <c r="B13" s="1" t="s">
        <v>78</v>
      </c>
    </row>
    <row r="14" spans="1:5" x14ac:dyDescent="0.2">
      <c r="B14" s="1" t="s">
        <v>115</v>
      </c>
    </row>
    <row r="15" spans="1:5" x14ac:dyDescent="0.2">
      <c r="B15" s="1" t="s">
        <v>128</v>
      </c>
      <c r="E15" s="12">
        <v>3000</v>
      </c>
    </row>
    <row r="16" spans="1:5" x14ac:dyDescent="0.2">
      <c r="B16" s="1" t="s">
        <v>47</v>
      </c>
      <c r="D16" s="12">
        <f>+D8</f>
        <v>1500</v>
      </c>
    </row>
    <row r="17" spans="2:5" x14ac:dyDescent="0.2">
      <c r="B17" s="1" t="s">
        <v>46</v>
      </c>
      <c r="D17" s="12">
        <v>3500</v>
      </c>
    </row>
    <row r="18" spans="2:5" x14ac:dyDescent="0.2">
      <c r="B18" s="1" t="s">
        <v>51</v>
      </c>
      <c r="C18" s="2">
        <v>0.4</v>
      </c>
      <c r="D18" s="1">
        <f>SUM(D16:D17)</f>
        <v>5000</v>
      </c>
      <c r="E18" s="1">
        <f>+C18*D18</f>
        <v>2000</v>
      </c>
    </row>
    <row r="19" spans="2:5" x14ac:dyDescent="0.2">
      <c r="B19" s="1" t="s">
        <v>52</v>
      </c>
      <c r="E19" s="1">
        <f>+E15-E18</f>
        <v>1000</v>
      </c>
    </row>
    <row r="21" spans="2:5" x14ac:dyDescent="0.2">
      <c r="B21" s="1" t="s">
        <v>53</v>
      </c>
    </row>
    <row r="23" spans="2:5" x14ac:dyDescent="0.2">
      <c r="B23" s="1" t="s">
        <v>33</v>
      </c>
    </row>
    <row r="25" spans="2:5" x14ac:dyDescent="0.2">
      <c r="B25" s="1" t="s">
        <v>46</v>
      </c>
      <c r="C25" s="10">
        <v>43830</v>
      </c>
      <c r="E25" s="12">
        <f>+E28-E26-E27</f>
        <v>8700</v>
      </c>
    </row>
    <row r="26" spans="2:5" x14ac:dyDescent="0.2">
      <c r="B26" s="1" t="s">
        <v>40</v>
      </c>
      <c r="C26" s="10">
        <v>43830</v>
      </c>
      <c r="E26" s="12">
        <v>-2200</v>
      </c>
    </row>
    <row r="27" spans="2:5" x14ac:dyDescent="0.2">
      <c r="B27" s="1" t="s">
        <v>79</v>
      </c>
      <c r="C27" s="10">
        <v>43830</v>
      </c>
      <c r="E27" s="1">
        <v>700</v>
      </c>
    </row>
    <row r="28" spans="2:5" x14ac:dyDescent="0.2">
      <c r="B28" s="1" t="s">
        <v>46</v>
      </c>
      <c r="C28" s="10">
        <v>43465</v>
      </c>
      <c r="E28" s="1">
        <v>7200</v>
      </c>
    </row>
    <row r="29" spans="2:5" x14ac:dyDescent="0.2">
      <c r="B29" s="1" t="s">
        <v>46</v>
      </c>
      <c r="C29" s="10">
        <v>40544</v>
      </c>
      <c r="E29" s="12">
        <f>+D17</f>
        <v>3500</v>
      </c>
    </row>
    <row r="30" spans="2:5" x14ac:dyDescent="0.2">
      <c r="B30" s="1" t="s">
        <v>80</v>
      </c>
      <c r="E30" s="1">
        <f>+E28-E29</f>
        <v>3700</v>
      </c>
    </row>
    <row r="31" spans="2:5" ht="12.75" thickBot="1" x14ac:dyDescent="0.25">
      <c r="B31" s="1" t="s">
        <v>81</v>
      </c>
      <c r="E31" s="5">
        <f>+C18*E30</f>
        <v>1480</v>
      </c>
    </row>
    <row r="32" spans="2:5" ht="12.75" thickTop="1" x14ac:dyDescent="0.2">
      <c r="E32" s="15"/>
    </row>
    <row r="33" spans="2:6" x14ac:dyDescent="0.2">
      <c r="B33" s="1" t="s">
        <v>129</v>
      </c>
      <c r="E33" s="15">
        <f>+E31</f>
        <v>1480</v>
      </c>
    </row>
    <row r="34" spans="2:6" x14ac:dyDescent="0.2">
      <c r="C34" s="1" t="s">
        <v>130</v>
      </c>
      <c r="E34" s="15"/>
      <c r="F34" s="1">
        <f>+E33</f>
        <v>1480</v>
      </c>
    </row>
    <row r="35" spans="2:6" x14ac:dyDescent="0.2">
      <c r="B35" s="1" t="s">
        <v>131</v>
      </c>
      <c r="E35" s="15"/>
    </row>
    <row r="37" spans="2:6" x14ac:dyDescent="0.2">
      <c r="B37" s="1" t="s">
        <v>34</v>
      </c>
    </row>
    <row r="39" spans="2:6" x14ac:dyDescent="0.2">
      <c r="B39" s="1" t="s">
        <v>55</v>
      </c>
      <c r="C39" s="2">
        <f>+C18</f>
        <v>0.4</v>
      </c>
      <c r="D39" s="12">
        <f>-E26</f>
        <v>2200</v>
      </c>
      <c r="E39" s="12">
        <f>+C39*D39</f>
        <v>880</v>
      </c>
      <c r="F39" s="12"/>
    </row>
    <row r="40" spans="2:6" x14ac:dyDescent="0.2">
      <c r="D40" s="12"/>
      <c r="E40" s="12"/>
      <c r="F40" s="12"/>
    </row>
    <row r="41" spans="2:6" x14ac:dyDescent="0.2">
      <c r="B41" s="1" t="s">
        <v>56</v>
      </c>
      <c r="D41" s="12"/>
      <c r="E41" s="12">
        <f>SUM(E39:E40)</f>
        <v>880</v>
      </c>
      <c r="F41" s="12"/>
    </row>
    <row r="42" spans="2:6" x14ac:dyDescent="0.2">
      <c r="C42" s="1" t="s">
        <v>57</v>
      </c>
      <c r="D42" s="12"/>
      <c r="E42" s="12"/>
      <c r="F42" s="12">
        <f>+E39</f>
        <v>880</v>
      </c>
    </row>
    <row r="43" spans="2:6" x14ac:dyDescent="0.2">
      <c r="B43" s="1" t="s">
        <v>58</v>
      </c>
      <c r="D43" s="12"/>
      <c r="E43" s="12"/>
      <c r="F43" s="12"/>
    </row>
    <row r="44" spans="2:6" x14ac:dyDescent="0.2">
      <c r="D44" s="12"/>
      <c r="E44" s="12"/>
      <c r="F44" s="12"/>
    </row>
    <row r="45" spans="2:6" x14ac:dyDescent="0.2">
      <c r="B45" s="1" t="s">
        <v>35</v>
      </c>
      <c r="D45" s="12"/>
      <c r="E45" s="12"/>
      <c r="F45" s="12"/>
    </row>
    <row r="46" spans="2:6" x14ac:dyDescent="0.2">
      <c r="C46" s="1" t="s">
        <v>36</v>
      </c>
      <c r="D46" s="12"/>
      <c r="E46" s="12"/>
      <c r="F46" s="12"/>
    </row>
    <row r="47" spans="2:6" x14ac:dyDescent="0.2">
      <c r="C47" s="1" t="s">
        <v>37</v>
      </c>
      <c r="D47" s="12"/>
      <c r="E47" s="12"/>
      <c r="F47" s="12"/>
    </row>
    <row r="48" spans="2:6" x14ac:dyDescent="0.2">
      <c r="B48" s="1" t="s">
        <v>88</v>
      </c>
      <c r="C48" s="2">
        <f>+C18</f>
        <v>0.4</v>
      </c>
      <c r="D48" s="12">
        <f>+E27</f>
        <v>700</v>
      </c>
      <c r="E48" s="12">
        <f>+C48*D48</f>
        <v>280</v>
      </c>
      <c r="F48" s="12"/>
    </row>
    <row r="49" spans="2:6" x14ac:dyDescent="0.2">
      <c r="D49" s="12"/>
      <c r="E49" s="12"/>
      <c r="F49" s="12"/>
    </row>
    <row r="50" spans="2:6" x14ac:dyDescent="0.2">
      <c r="D50" s="12"/>
      <c r="E50" s="12"/>
      <c r="F50" s="12"/>
    </row>
    <row r="51" spans="2:6" x14ac:dyDescent="0.2">
      <c r="B51" s="1" t="s">
        <v>60</v>
      </c>
      <c r="D51" s="12"/>
      <c r="E51" s="12">
        <f>+E48</f>
        <v>280</v>
      </c>
      <c r="F51" s="12"/>
    </row>
    <row r="52" spans="2:6" x14ac:dyDescent="0.2">
      <c r="C52" s="1" t="s">
        <v>59</v>
      </c>
      <c r="D52" s="12"/>
      <c r="E52" s="12"/>
      <c r="F52" s="12">
        <f>+E51</f>
        <v>280</v>
      </c>
    </row>
    <row r="53" spans="2:6" x14ac:dyDescent="0.2">
      <c r="B53" s="1" t="s">
        <v>61</v>
      </c>
      <c r="D53" s="12"/>
      <c r="E53" s="12"/>
      <c r="F53" s="12"/>
    </row>
    <row r="54" spans="2:6" x14ac:dyDescent="0.2">
      <c r="D54" s="12"/>
      <c r="E54" s="12"/>
      <c r="F54" s="12"/>
    </row>
    <row r="55" spans="2:6" x14ac:dyDescent="0.2">
      <c r="B55" s="1" t="s">
        <v>63</v>
      </c>
      <c r="D55" s="12"/>
      <c r="E55" s="12"/>
      <c r="F55" s="12"/>
    </row>
    <row r="56" spans="2:6" x14ac:dyDescent="0.2">
      <c r="D56" s="12"/>
      <c r="E56" s="12">
        <f>+F42</f>
        <v>880</v>
      </c>
      <c r="F56" s="12" t="s">
        <v>65</v>
      </c>
    </row>
    <row r="57" spans="2:6" x14ac:dyDescent="0.2">
      <c r="D57" s="12"/>
      <c r="E57" s="12">
        <f>+E51</f>
        <v>280</v>
      </c>
      <c r="F57" s="12" t="s">
        <v>66</v>
      </c>
    </row>
    <row r="58" spans="2:6" ht="12.75" thickBot="1" x14ac:dyDescent="0.25">
      <c r="D58" s="12"/>
      <c r="E58" s="14">
        <f>-E56+E57</f>
        <v>-600</v>
      </c>
      <c r="F58" s="12"/>
    </row>
    <row r="59" spans="2:6" ht="12.75" thickTop="1" x14ac:dyDescent="0.2">
      <c r="D59" s="12"/>
      <c r="E59" s="12"/>
      <c r="F59" s="12"/>
    </row>
    <row r="60" spans="2:6" x14ac:dyDescent="0.2">
      <c r="B60" s="1" t="s">
        <v>68</v>
      </c>
      <c r="D60" s="12"/>
      <c r="E60" s="12">
        <f>-E58</f>
        <v>600</v>
      </c>
      <c r="F60" s="12"/>
    </row>
    <row r="61" spans="2:6" x14ac:dyDescent="0.2">
      <c r="C61" s="1" t="s">
        <v>90</v>
      </c>
      <c r="D61" s="12"/>
      <c r="E61" s="12"/>
      <c r="F61" s="12">
        <f>+E60</f>
        <v>600</v>
      </c>
    </row>
    <row r="62" spans="2:6" x14ac:dyDescent="0.2">
      <c r="B62" s="1" t="s">
        <v>69</v>
      </c>
    </row>
  </sheetData>
  <hyperlinks>
    <hyperlink ref="A1" location="Main!A1" display="Main" xr:uid="{D2196BD0-53B4-46F5-BB42-75EEC20653D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D46A-F864-4D62-B3D6-3087B3FD7C48}">
  <dimension ref="A1:F134"/>
  <sheetViews>
    <sheetView zoomScale="160" zoomScaleNormal="16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132</v>
      </c>
    </row>
    <row r="3" spans="1:6" x14ac:dyDescent="0.2">
      <c r="B3" s="1" t="s">
        <v>136</v>
      </c>
      <c r="C3" s="10">
        <v>43373</v>
      </c>
    </row>
    <row r="5" spans="1:6" x14ac:dyDescent="0.2">
      <c r="C5" s="1" t="s">
        <v>133</v>
      </c>
      <c r="D5" s="1" t="s">
        <v>134</v>
      </c>
      <c r="E5" s="1" t="s">
        <v>135</v>
      </c>
    </row>
    <row r="6" spans="1:6" x14ac:dyDescent="0.2">
      <c r="B6" s="1" t="s">
        <v>140</v>
      </c>
      <c r="C6" s="1">
        <v>316</v>
      </c>
      <c r="D6" s="1">
        <v>0</v>
      </c>
      <c r="E6" s="1">
        <v>0</v>
      </c>
      <c r="F6" s="1">
        <f>+C6+D6+E6</f>
        <v>316</v>
      </c>
    </row>
    <row r="7" spans="1:6" x14ac:dyDescent="0.2">
      <c r="B7" s="1" t="s">
        <v>139</v>
      </c>
      <c r="C7" s="1">
        <v>47</v>
      </c>
      <c r="D7" s="1">
        <v>0</v>
      </c>
      <c r="E7" s="1">
        <v>0</v>
      </c>
      <c r="F7" s="1">
        <f>+C7+D7+E7</f>
        <v>47</v>
      </c>
    </row>
    <row r="8" spans="1:6" x14ac:dyDescent="0.2">
      <c r="B8" s="1" t="s">
        <v>48</v>
      </c>
      <c r="C8" s="1">
        <v>308</v>
      </c>
      <c r="D8" s="1">
        <v>441</v>
      </c>
      <c r="E8" s="1">
        <v>128</v>
      </c>
      <c r="F8" s="1">
        <f>+C8+D8+E8</f>
        <v>877</v>
      </c>
    </row>
    <row r="9" spans="1:6" x14ac:dyDescent="0.2">
      <c r="C9" s="1">
        <f>SUM(C6:C8)</f>
        <v>671</v>
      </c>
      <c r="D9" s="1">
        <f>SUM(D6:D8)</f>
        <v>441</v>
      </c>
      <c r="E9" s="1">
        <f>SUM(E6:E8)</f>
        <v>128</v>
      </c>
      <c r="F9" s="1">
        <f>SUM(F6:F8)</f>
        <v>1240</v>
      </c>
    </row>
    <row r="11" spans="1:6" x14ac:dyDescent="0.2">
      <c r="B11" s="1" t="s">
        <v>47</v>
      </c>
      <c r="C11" s="1">
        <v>220</v>
      </c>
      <c r="D11" s="1">
        <v>100</v>
      </c>
      <c r="E11" s="1">
        <v>50</v>
      </c>
      <c r="F11" s="1">
        <f>+C11+D11+E11</f>
        <v>370</v>
      </c>
    </row>
    <row r="12" spans="1:6" x14ac:dyDescent="0.2">
      <c r="B12" s="1" t="s">
        <v>46</v>
      </c>
      <c r="C12" s="1">
        <v>451</v>
      </c>
      <c r="D12" s="1">
        <v>341</v>
      </c>
      <c r="E12" s="1">
        <v>78</v>
      </c>
      <c r="F12" s="1">
        <f>+C12+D12+E12</f>
        <v>870</v>
      </c>
    </row>
    <row r="13" spans="1:6" x14ac:dyDescent="0.2">
      <c r="B13" s="1" t="s">
        <v>15</v>
      </c>
      <c r="C13" s="1">
        <f>SUM(C11:C12)</f>
        <v>671</v>
      </c>
      <c r="D13" s="1">
        <f>SUM(D11:D12)</f>
        <v>441</v>
      </c>
      <c r="E13" s="1">
        <f>SUM(E11:E12)</f>
        <v>128</v>
      </c>
      <c r="F13" s="1">
        <f>SUM(F11:F12)</f>
        <v>1240</v>
      </c>
    </row>
    <row r="16" spans="1:6" x14ac:dyDescent="0.2">
      <c r="B16" s="1" t="s">
        <v>138</v>
      </c>
      <c r="C16" s="1">
        <v>20</v>
      </c>
      <c r="D16" s="1">
        <v>5</v>
      </c>
      <c r="E16" s="1">
        <v>4</v>
      </c>
      <c r="F16" s="1">
        <f>+C16+D16+E16</f>
        <v>29</v>
      </c>
    </row>
    <row r="17" spans="2:6" x14ac:dyDescent="0.2">
      <c r="B17" s="1" t="s">
        <v>42</v>
      </c>
      <c r="C17" s="1">
        <v>127</v>
      </c>
      <c r="D17" s="1">
        <v>49</v>
      </c>
      <c r="E17" s="1">
        <v>47</v>
      </c>
      <c r="F17" s="1">
        <f>+C17+D17+E17</f>
        <v>223</v>
      </c>
    </row>
    <row r="18" spans="2:6" x14ac:dyDescent="0.2">
      <c r="B18" s="1" t="s">
        <v>137</v>
      </c>
      <c r="C18" s="1">
        <v>-42</v>
      </c>
      <c r="D18" s="1">
        <v>-23</v>
      </c>
      <c r="E18" s="1">
        <v>-15</v>
      </c>
      <c r="F18" s="1">
        <f>+C18+D18+E18</f>
        <v>-80</v>
      </c>
    </row>
    <row r="19" spans="2:6" x14ac:dyDescent="0.2">
      <c r="B19" s="1" t="s">
        <v>40</v>
      </c>
      <c r="C19" s="1">
        <f>SUM(C17:C18)</f>
        <v>85</v>
      </c>
      <c r="D19" s="1">
        <f>SUM(D17:D18)</f>
        <v>26</v>
      </c>
      <c r="E19" s="1">
        <f>SUM(E17:E18)</f>
        <v>32</v>
      </c>
      <c r="F19" s="1">
        <f>SUM(F17:F18)</f>
        <v>143</v>
      </c>
    </row>
    <row r="23" spans="2:6" x14ac:dyDescent="0.2">
      <c r="B23" s="1" t="s">
        <v>141</v>
      </c>
    </row>
    <row r="25" spans="2:6" x14ac:dyDescent="0.2">
      <c r="B25" s="1" t="s">
        <v>32</v>
      </c>
    </row>
    <row r="27" spans="2:6" x14ac:dyDescent="0.2">
      <c r="B27" s="1" t="s">
        <v>140</v>
      </c>
      <c r="E27" s="1">
        <f>+C6</f>
        <v>316</v>
      </c>
    </row>
    <row r="28" spans="2:6" x14ac:dyDescent="0.2">
      <c r="B28" s="1" t="s">
        <v>142</v>
      </c>
      <c r="D28" s="1">
        <v>0.2</v>
      </c>
      <c r="E28" s="1">
        <f>-D28*E30</f>
        <v>70</v>
      </c>
    </row>
    <row r="29" spans="2:6" x14ac:dyDescent="0.2">
      <c r="B29" s="1" t="str">
        <f>+B11</f>
        <v>SC</v>
      </c>
      <c r="D29" s="1">
        <f>+D11</f>
        <v>100</v>
      </c>
    </row>
    <row r="30" spans="2:6" x14ac:dyDescent="0.2">
      <c r="B30" s="1" t="str">
        <f>+B12</f>
        <v>RE</v>
      </c>
      <c r="D30" s="1">
        <v>250</v>
      </c>
      <c r="E30" s="1">
        <f>-SUM(D29:D30)</f>
        <v>-350</v>
      </c>
    </row>
    <row r="31" spans="2:6" x14ac:dyDescent="0.2">
      <c r="B31" s="1" t="s">
        <v>52</v>
      </c>
      <c r="E31" s="1">
        <f>SUM(E27:E30)</f>
        <v>36</v>
      </c>
    </row>
    <row r="34" spans="2:6" x14ac:dyDescent="0.2">
      <c r="B34" s="1" t="s">
        <v>143</v>
      </c>
      <c r="E34" s="1">
        <f>+D29</f>
        <v>100</v>
      </c>
    </row>
    <row r="35" spans="2:6" x14ac:dyDescent="0.2">
      <c r="B35" s="1" t="s">
        <v>144</v>
      </c>
      <c r="E35" s="1">
        <f>+D30</f>
        <v>250</v>
      </c>
    </row>
    <row r="36" spans="2:6" x14ac:dyDescent="0.2">
      <c r="B36" s="1" t="s">
        <v>145</v>
      </c>
      <c r="E36" s="1">
        <f>+E31</f>
        <v>36</v>
      </c>
    </row>
    <row r="37" spans="2:6" x14ac:dyDescent="0.2">
      <c r="C37" s="1" t="s">
        <v>146</v>
      </c>
      <c r="F37" s="1">
        <f>+E27</f>
        <v>316</v>
      </c>
    </row>
    <row r="38" spans="2:6" x14ac:dyDescent="0.2">
      <c r="C38" s="1" t="s">
        <v>147</v>
      </c>
      <c r="F38" s="1">
        <f>+E28</f>
        <v>70</v>
      </c>
    </row>
    <row r="39" spans="2:6" x14ac:dyDescent="0.2">
      <c r="B39" s="1" t="s">
        <v>148</v>
      </c>
    </row>
    <row r="41" spans="2:6" x14ac:dyDescent="0.2">
      <c r="B41" s="1" t="s">
        <v>158</v>
      </c>
    </row>
    <row r="43" spans="2:6" x14ac:dyDescent="0.2">
      <c r="B43" s="1" t="s">
        <v>150</v>
      </c>
      <c r="E43" s="1">
        <f>+F44</f>
        <v>9</v>
      </c>
    </row>
    <row r="44" spans="2:6" x14ac:dyDescent="0.2">
      <c r="C44" s="1" t="s">
        <v>149</v>
      </c>
      <c r="F44" s="1">
        <v>9</v>
      </c>
    </row>
    <row r="45" spans="2:6" x14ac:dyDescent="0.2">
      <c r="B45" s="1" t="s">
        <v>151</v>
      </c>
    </row>
    <row r="47" spans="2:6" x14ac:dyDescent="0.2">
      <c r="B47" s="1" t="s">
        <v>159</v>
      </c>
    </row>
    <row r="49" spans="2:6" x14ac:dyDescent="0.2">
      <c r="B49" s="1" t="s">
        <v>46</v>
      </c>
      <c r="C49" s="10">
        <f>+C3</f>
        <v>43373</v>
      </c>
      <c r="E49" s="1">
        <f>+D12</f>
        <v>341</v>
      </c>
    </row>
    <row r="50" spans="2:6" x14ac:dyDescent="0.2">
      <c r="B50" s="1" t="s">
        <v>40</v>
      </c>
      <c r="C50" s="10">
        <v>43373</v>
      </c>
      <c r="E50" s="1">
        <f>-D19</f>
        <v>-26</v>
      </c>
    </row>
    <row r="51" spans="2:6" x14ac:dyDescent="0.2">
      <c r="B51" s="1" t="s">
        <v>46</v>
      </c>
      <c r="C51" s="10">
        <v>43008</v>
      </c>
      <c r="E51" s="1">
        <f>SUM(E49:E50)</f>
        <v>315</v>
      </c>
    </row>
    <row r="52" spans="2:6" x14ac:dyDescent="0.2">
      <c r="B52" s="1" t="s">
        <v>46</v>
      </c>
      <c r="C52" s="10">
        <v>40817</v>
      </c>
      <c r="E52" s="1">
        <v>250</v>
      </c>
    </row>
    <row r="53" spans="2:6" x14ac:dyDescent="0.2">
      <c r="B53" s="1" t="s">
        <v>80</v>
      </c>
      <c r="E53" s="1">
        <f>+E51-E52</f>
        <v>65</v>
      </c>
    </row>
    <row r="54" spans="2:6" x14ac:dyDescent="0.2">
      <c r="B54" s="1" t="s">
        <v>152</v>
      </c>
      <c r="E54" s="1">
        <f>+D28*E53</f>
        <v>13</v>
      </c>
    </row>
    <row r="56" spans="2:6" x14ac:dyDescent="0.2">
      <c r="B56" s="1" t="s">
        <v>150</v>
      </c>
      <c r="E56" s="1">
        <f>+E54</f>
        <v>13</v>
      </c>
    </row>
    <row r="57" spans="2:6" x14ac:dyDescent="0.2">
      <c r="C57" s="1" t="s">
        <v>153</v>
      </c>
      <c r="F57" s="1">
        <f>+E56</f>
        <v>13</v>
      </c>
    </row>
    <row r="58" spans="2:6" x14ac:dyDescent="0.2">
      <c r="C58" s="1" t="s">
        <v>154</v>
      </c>
    </row>
    <row r="60" spans="2:6" x14ac:dyDescent="0.2">
      <c r="B60" s="1" t="s">
        <v>160</v>
      </c>
    </row>
    <row r="61" spans="2:6" x14ac:dyDescent="0.2">
      <c r="B61" s="1" t="s">
        <v>155</v>
      </c>
      <c r="E61" s="1">
        <f>-+D28*E50</f>
        <v>5.2</v>
      </c>
    </row>
    <row r="62" spans="2:6" x14ac:dyDescent="0.2">
      <c r="C62" s="1" t="s">
        <v>156</v>
      </c>
      <c r="F62" s="1">
        <f>+E61</f>
        <v>5.2</v>
      </c>
    </row>
    <row r="63" spans="2:6" x14ac:dyDescent="0.2">
      <c r="B63" s="1" t="s">
        <v>157</v>
      </c>
    </row>
    <row r="65" spans="2:5" x14ac:dyDescent="0.2">
      <c r="B65" s="1" t="s">
        <v>161</v>
      </c>
    </row>
    <row r="66" spans="2:5" x14ac:dyDescent="0.2">
      <c r="B66" s="1" t="s">
        <v>162</v>
      </c>
    </row>
    <row r="68" spans="2:5" s="11" customFormat="1" x14ac:dyDescent="0.2">
      <c r="B68" s="11" t="s">
        <v>135</v>
      </c>
    </row>
    <row r="69" spans="2:5" x14ac:dyDescent="0.2">
      <c r="B69" s="1" t="s">
        <v>32</v>
      </c>
    </row>
    <row r="71" spans="2:5" x14ac:dyDescent="0.2">
      <c r="B71" s="1" t="s">
        <v>163</v>
      </c>
      <c r="E71" s="1">
        <v>30</v>
      </c>
    </row>
    <row r="73" spans="2:5" x14ac:dyDescent="0.2">
      <c r="B73" s="1" t="s">
        <v>47</v>
      </c>
      <c r="D73" s="1">
        <f>+E11</f>
        <v>50</v>
      </c>
    </row>
    <row r="74" spans="2:5" x14ac:dyDescent="0.2">
      <c r="B74" s="1" t="s">
        <v>46</v>
      </c>
      <c r="D74" s="1">
        <v>35</v>
      </c>
    </row>
    <row r="75" spans="2:5" x14ac:dyDescent="0.2">
      <c r="D75" s="1">
        <f>SUM(D73:D74)</f>
        <v>85</v>
      </c>
    </row>
    <row r="76" spans="2:5" x14ac:dyDescent="0.2">
      <c r="B76" s="1" t="s">
        <v>178</v>
      </c>
      <c r="D76" s="1">
        <v>0.4</v>
      </c>
      <c r="E76" s="1">
        <f>D76*D75</f>
        <v>34</v>
      </c>
    </row>
    <row r="77" spans="2:5" x14ac:dyDescent="0.2">
      <c r="B77" s="1" t="s">
        <v>176</v>
      </c>
      <c r="E77" s="1">
        <f>+E76-E71</f>
        <v>4</v>
      </c>
    </row>
    <row r="79" spans="2:5" x14ac:dyDescent="0.2">
      <c r="B79" s="1" t="s">
        <v>164</v>
      </c>
    </row>
    <row r="80" spans="2:5" x14ac:dyDescent="0.2">
      <c r="B80" s="1" t="s">
        <v>175</v>
      </c>
      <c r="E80" s="1">
        <f>+E77</f>
        <v>4</v>
      </c>
    </row>
    <row r="81" spans="2:6" x14ac:dyDescent="0.2">
      <c r="C81" s="1" t="s">
        <v>30</v>
      </c>
      <c r="F81" s="1">
        <f>+E80</f>
        <v>4</v>
      </c>
    </row>
    <row r="82" spans="2:6" x14ac:dyDescent="0.2">
      <c r="B82" s="1" t="s">
        <v>177</v>
      </c>
    </row>
    <row r="84" spans="2:6" x14ac:dyDescent="0.2">
      <c r="B84" s="1" t="s">
        <v>158</v>
      </c>
    </row>
    <row r="85" spans="2:6" x14ac:dyDescent="0.2">
      <c r="B85" s="1" t="s">
        <v>165</v>
      </c>
    </row>
    <row r="87" spans="2:6" x14ac:dyDescent="0.2">
      <c r="B87" s="1" t="s">
        <v>166</v>
      </c>
    </row>
    <row r="89" spans="2:6" x14ac:dyDescent="0.2">
      <c r="B89" s="1" t="s">
        <v>46</v>
      </c>
      <c r="C89" s="10">
        <v>43373</v>
      </c>
      <c r="E89" s="1">
        <f>+E12</f>
        <v>78</v>
      </c>
    </row>
    <row r="90" spans="2:6" x14ac:dyDescent="0.2">
      <c r="B90" s="1" t="s">
        <v>40</v>
      </c>
      <c r="C90" s="10">
        <v>43373</v>
      </c>
      <c r="E90" s="1">
        <f>-E19</f>
        <v>-32</v>
      </c>
    </row>
    <row r="91" spans="2:6" x14ac:dyDescent="0.2">
      <c r="B91" s="1" t="s">
        <v>167</v>
      </c>
      <c r="C91" s="10">
        <v>43312</v>
      </c>
      <c r="E91" s="1">
        <v>10</v>
      </c>
    </row>
    <row r="92" spans="2:6" x14ac:dyDescent="0.2">
      <c r="B92" s="1" t="s">
        <v>46</v>
      </c>
      <c r="C92" s="10">
        <v>43008</v>
      </c>
      <c r="E92" s="1">
        <f>SUM(E89:E91)</f>
        <v>56</v>
      </c>
    </row>
    <row r="93" spans="2:6" x14ac:dyDescent="0.2">
      <c r="B93" s="1" t="s">
        <v>46</v>
      </c>
      <c r="C93" s="10">
        <v>41182</v>
      </c>
      <c r="E93" s="1">
        <v>35</v>
      </c>
    </row>
    <row r="94" spans="2:6" x14ac:dyDescent="0.2">
      <c r="B94" s="1" t="s">
        <v>80</v>
      </c>
      <c r="E94" s="1">
        <f>+E92-E93</f>
        <v>21</v>
      </c>
    </row>
    <row r="95" spans="2:6" x14ac:dyDescent="0.2">
      <c r="B95" s="1" t="s">
        <v>152</v>
      </c>
      <c r="E95" s="1">
        <f>+D76*E94</f>
        <v>8.4</v>
      </c>
    </row>
    <row r="97" spans="2:6" x14ac:dyDescent="0.2">
      <c r="B97" s="1" t="s">
        <v>180</v>
      </c>
      <c r="E97" s="12">
        <f>+E95</f>
        <v>8.4</v>
      </c>
      <c r="F97" s="12"/>
    </row>
    <row r="98" spans="2:6" x14ac:dyDescent="0.2">
      <c r="C98" s="1" t="s">
        <v>30</v>
      </c>
      <c r="E98" s="12"/>
      <c r="F98" s="12">
        <f>+E97</f>
        <v>8.4</v>
      </c>
    </row>
    <row r="99" spans="2:6" x14ac:dyDescent="0.2">
      <c r="C99" s="1" t="s">
        <v>154</v>
      </c>
      <c r="E99" s="12"/>
      <c r="F99" s="12"/>
    </row>
    <row r="100" spans="2:6" x14ac:dyDescent="0.2">
      <c r="E100" s="12"/>
      <c r="F100" s="12"/>
    </row>
    <row r="101" spans="2:6" x14ac:dyDescent="0.2">
      <c r="B101" s="1" t="s">
        <v>160</v>
      </c>
      <c r="E101" s="12"/>
      <c r="F101" s="12"/>
    </row>
    <row r="102" spans="2:6" x14ac:dyDescent="0.2">
      <c r="B102" s="1" t="s">
        <v>180</v>
      </c>
      <c r="E102" s="12">
        <f>-+D76*E90</f>
        <v>12.8</v>
      </c>
      <c r="F102" s="12"/>
    </row>
    <row r="103" spans="2:6" x14ac:dyDescent="0.2">
      <c r="C103" s="1" t="s">
        <v>179</v>
      </c>
      <c r="E103" s="12"/>
      <c r="F103" s="12">
        <f>+E102</f>
        <v>12.8</v>
      </c>
    </row>
    <row r="104" spans="2:6" x14ac:dyDescent="0.2">
      <c r="B104" s="1" t="s">
        <v>181</v>
      </c>
    </row>
    <row r="106" spans="2:6" x14ac:dyDescent="0.2">
      <c r="B106" s="1" t="s">
        <v>161</v>
      </c>
    </row>
    <row r="107" spans="2:6" x14ac:dyDescent="0.2">
      <c r="B107" s="1" t="s">
        <v>109</v>
      </c>
    </row>
    <row r="108" spans="2:6" x14ac:dyDescent="0.2">
      <c r="B108" s="1" t="s">
        <v>168</v>
      </c>
    </row>
    <row r="110" spans="2:6" x14ac:dyDescent="0.2">
      <c r="B110" s="1" t="s">
        <v>169</v>
      </c>
      <c r="C110" s="12">
        <v>8</v>
      </c>
    </row>
    <row r="111" spans="2:6" x14ac:dyDescent="0.2">
      <c r="B111" s="1" t="s">
        <v>170</v>
      </c>
      <c r="C111" s="12">
        <f>0.25*C110</f>
        <v>2</v>
      </c>
    </row>
    <row r="112" spans="2:6" x14ac:dyDescent="0.2">
      <c r="B112" s="1" t="s">
        <v>152</v>
      </c>
      <c r="C112" s="12">
        <f>+D76*C111</f>
        <v>0.8</v>
      </c>
    </row>
    <row r="115" spans="1:6" x14ac:dyDescent="0.2">
      <c r="B115" s="1" t="s">
        <v>171</v>
      </c>
      <c r="E115" s="12">
        <f>+C112</f>
        <v>0.8</v>
      </c>
    </row>
    <row r="116" spans="1:6" x14ac:dyDescent="0.2">
      <c r="C116" s="1" t="s">
        <v>111</v>
      </c>
      <c r="F116" s="12">
        <f>+C112</f>
        <v>0.8</v>
      </c>
    </row>
    <row r="117" spans="1:6" x14ac:dyDescent="0.2">
      <c r="B117" s="1" t="s">
        <v>172</v>
      </c>
    </row>
    <row r="119" spans="1:6" x14ac:dyDescent="0.2">
      <c r="B119" s="1" t="s">
        <v>88</v>
      </c>
      <c r="C119" s="2">
        <v>0.4</v>
      </c>
      <c r="D119" s="12">
        <f>+E91</f>
        <v>10</v>
      </c>
      <c r="E119" s="12">
        <f>+C119*D119</f>
        <v>4</v>
      </c>
      <c r="F119" s="12"/>
    </row>
    <row r="120" spans="1:6" x14ac:dyDescent="0.2">
      <c r="D120" s="12"/>
      <c r="E120" s="12"/>
      <c r="F120" s="12"/>
    </row>
    <row r="121" spans="1:6" x14ac:dyDescent="0.2">
      <c r="D121" s="12"/>
      <c r="E121" s="12"/>
      <c r="F121" s="12"/>
    </row>
    <row r="122" spans="1:6" x14ac:dyDescent="0.2">
      <c r="B122" s="1" t="s">
        <v>60</v>
      </c>
      <c r="D122" s="12"/>
      <c r="E122" s="12">
        <f>+E119</f>
        <v>4</v>
      </c>
      <c r="F122" s="12"/>
    </row>
    <row r="123" spans="1:6" x14ac:dyDescent="0.2">
      <c r="C123" s="1" t="s">
        <v>182</v>
      </c>
      <c r="D123" s="12"/>
      <c r="E123" s="12"/>
      <c r="F123" s="12">
        <f>+E122</f>
        <v>4</v>
      </c>
    </row>
    <row r="124" spans="1:6" x14ac:dyDescent="0.2">
      <c r="B124" s="1" t="s">
        <v>61</v>
      </c>
      <c r="D124" s="12"/>
      <c r="E124" s="12"/>
      <c r="F124" s="12"/>
    </row>
    <row r="125" spans="1:6" x14ac:dyDescent="0.2">
      <c r="B125" s="1" t="s">
        <v>63</v>
      </c>
    </row>
    <row r="126" spans="1:6" x14ac:dyDescent="0.2">
      <c r="B126" s="1" t="str">
        <f>+B61</f>
        <v>dr - SPL NCI</v>
      </c>
      <c r="E126" s="12">
        <f>+E61</f>
        <v>5.2</v>
      </c>
      <c r="F126" s="1" t="s">
        <v>66</v>
      </c>
    </row>
    <row r="127" spans="1:6" x14ac:dyDescent="0.2">
      <c r="B127" s="12" t="str">
        <f t="shared" ref="B127" si="0">+C103</f>
        <v>cr - Share of profit of Sparrow</v>
      </c>
      <c r="C127" s="12"/>
      <c r="D127" s="12"/>
      <c r="E127" s="12">
        <f>+F103</f>
        <v>12.8</v>
      </c>
      <c r="F127" s="1" t="s">
        <v>65</v>
      </c>
    </row>
    <row r="128" spans="1:6" x14ac:dyDescent="0.2">
      <c r="A128" s="12"/>
      <c r="B128" s="12" t="str">
        <f>+B115</f>
        <v>dr - SPL - share of profit of Sparrow</v>
      </c>
      <c r="C128" s="12"/>
      <c r="D128" s="12"/>
      <c r="E128" s="12">
        <f>+E115</f>
        <v>0.8</v>
      </c>
      <c r="F128" s="1" t="s">
        <v>66</v>
      </c>
    </row>
    <row r="129" spans="1:6" x14ac:dyDescent="0.2">
      <c r="A129" s="12"/>
      <c r="B129" s="12" t="str">
        <f>+B122</f>
        <v>dr - finance income</v>
      </c>
      <c r="C129" s="12"/>
      <c r="D129" s="12"/>
      <c r="E129" s="12">
        <f>+E122</f>
        <v>4</v>
      </c>
      <c r="F129" s="1" t="s">
        <v>66</v>
      </c>
    </row>
    <row r="130" spans="1:6" ht="12.75" thickBot="1" x14ac:dyDescent="0.25">
      <c r="E130" s="14">
        <f>+E126-E127+E128+E129</f>
        <v>-2.8000000000000007</v>
      </c>
      <c r="F130" s="1" t="s">
        <v>67</v>
      </c>
    </row>
    <row r="131" spans="1:6" ht="12.75" thickTop="1" x14ac:dyDescent="0.2"/>
    <row r="132" spans="1:6" x14ac:dyDescent="0.2">
      <c r="B132" s="1" t="s">
        <v>174</v>
      </c>
      <c r="E132" s="12">
        <f>-E130</f>
        <v>2.8000000000000007</v>
      </c>
      <c r="F132" s="12"/>
    </row>
    <row r="133" spans="1:6" x14ac:dyDescent="0.2">
      <c r="C133" s="1" t="s">
        <v>90</v>
      </c>
      <c r="E133" s="12"/>
      <c r="F133" s="12">
        <f>+E132</f>
        <v>2.8000000000000007</v>
      </c>
    </row>
    <row r="134" spans="1:6" x14ac:dyDescent="0.2">
      <c r="B134" s="1" t="s">
        <v>69</v>
      </c>
    </row>
  </sheetData>
  <hyperlinks>
    <hyperlink ref="A1" location="Main!A1" display="Main" xr:uid="{E1745608-13BE-4466-8891-E007DB7E2548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71-9745-44FF-8518-FC1E20162CCB}">
  <dimension ref="A1:F95"/>
  <sheetViews>
    <sheetView zoomScale="115" zoomScaleNormal="115" workbookViewId="0"/>
  </sheetViews>
  <sheetFormatPr defaultRowHeight="12" x14ac:dyDescent="0.2"/>
  <cols>
    <col min="1" max="16384" width="9.140625" style="1"/>
  </cols>
  <sheetData>
    <row r="1" spans="1:5" ht="15" x14ac:dyDescent="0.25">
      <c r="A1" s="3" t="s">
        <v>12</v>
      </c>
    </row>
    <row r="2" spans="1:5" x14ac:dyDescent="0.2">
      <c r="B2" s="1" t="s">
        <v>92</v>
      </c>
    </row>
    <row r="5" spans="1:5" x14ac:dyDescent="0.2">
      <c r="B5" s="1" t="s">
        <v>106</v>
      </c>
      <c r="C5" s="12">
        <v>4500</v>
      </c>
      <c r="D5" s="12">
        <v>900</v>
      </c>
      <c r="E5" s="12">
        <f>+C5+D5</f>
        <v>5400</v>
      </c>
    </row>
    <row r="6" spans="1:5" x14ac:dyDescent="0.2">
      <c r="B6" s="1" t="s">
        <v>105</v>
      </c>
      <c r="C6" s="12">
        <v>100</v>
      </c>
      <c r="D6" s="12">
        <v>0</v>
      </c>
      <c r="E6" s="12">
        <f>+C6+D6</f>
        <v>100</v>
      </c>
    </row>
    <row r="7" spans="1:5" x14ac:dyDescent="0.2">
      <c r="C7" s="12">
        <f>SUM(C5:C6)</f>
        <v>4600</v>
      </c>
      <c r="D7" s="12">
        <f t="shared" ref="D7:E7" si="0">SUM(D5:D6)</f>
        <v>900</v>
      </c>
      <c r="E7" s="12">
        <f t="shared" si="0"/>
        <v>5500</v>
      </c>
    </row>
    <row r="8" spans="1:5" x14ac:dyDescent="0.2">
      <c r="C8" s="12"/>
      <c r="D8" s="12"/>
      <c r="E8" s="12"/>
    </row>
    <row r="9" spans="1:5" x14ac:dyDescent="0.2">
      <c r="B9" s="1" t="s">
        <v>104</v>
      </c>
      <c r="C9" s="12">
        <v>510</v>
      </c>
      <c r="D9" s="12">
        <v>120</v>
      </c>
      <c r="E9" s="12">
        <f>+C9+D9</f>
        <v>630</v>
      </c>
    </row>
    <row r="10" spans="1:5" x14ac:dyDescent="0.2">
      <c r="B10" s="1" t="s">
        <v>103</v>
      </c>
      <c r="C10" s="12">
        <v>490</v>
      </c>
      <c r="D10" s="12">
        <v>230</v>
      </c>
      <c r="E10" s="12">
        <f>+C10+D10</f>
        <v>720</v>
      </c>
    </row>
    <row r="11" spans="1:5" x14ac:dyDescent="0.2">
      <c r="B11" s="1" t="s">
        <v>102</v>
      </c>
      <c r="C11" s="12">
        <v>120</v>
      </c>
      <c r="D11" s="12">
        <v>20</v>
      </c>
      <c r="E11" s="12">
        <f>+C11+D11</f>
        <v>140</v>
      </c>
    </row>
    <row r="12" spans="1:5" x14ac:dyDescent="0.2">
      <c r="C12" s="12">
        <f>SUM(C9:C11)</f>
        <v>1120</v>
      </c>
      <c r="D12" s="12">
        <f t="shared" ref="D12:E12" si="1">SUM(D9:D11)</f>
        <v>370</v>
      </c>
      <c r="E12" s="12">
        <f t="shared" si="1"/>
        <v>1490</v>
      </c>
    </row>
    <row r="13" spans="1:5" x14ac:dyDescent="0.2">
      <c r="B13" s="1" t="s">
        <v>101</v>
      </c>
      <c r="C13" s="12">
        <f>+C12+C7</f>
        <v>5720</v>
      </c>
      <c r="D13" s="12">
        <f t="shared" ref="D13:E13" si="2">+D12+D7</f>
        <v>1270</v>
      </c>
      <c r="E13" s="12">
        <f t="shared" si="2"/>
        <v>6990</v>
      </c>
    </row>
    <row r="14" spans="1:5" x14ac:dyDescent="0.2">
      <c r="C14" s="12"/>
      <c r="D14" s="12"/>
      <c r="E14" s="12"/>
    </row>
    <row r="15" spans="1:5" x14ac:dyDescent="0.2">
      <c r="C15" s="12"/>
      <c r="D15" s="12"/>
      <c r="E15" s="12"/>
    </row>
    <row r="16" spans="1:5" x14ac:dyDescent="0.2">
      <c r="B16" s="1" t="s">
        <v>47</v>
      </c>
      <c r="C16" s="12">
        <v>1000</v>
      </c>
      <c r="D16" s="12">
        <v>400</v>
      </c>
      <c r="E16" s="12">
        <f>+C16+D16</f>
        <v>1400</v>
      </c>
    </row>
    <row r="17" spans="2:5" x14ac:dyDescent="0.2">
      <c r="B17" s="1" t="s">
        <v>100</v>
      </c>
      <c r="C17" s="12">
        <v>800</v>
      </c>
      <c r="D17" s="12">
        <v>0</v>
      </c>
      <c r="E17" s="12">
        <f>+C17+D17</f>
        <v>800</v>
      </c>
    </row>
    <row r="18" spans="2:5" x14ac:dyDescent="0.2">
      <c r="B18" s="1" t="s">
        <v>46</v>
      </c>
      <c r="C18" s="12">
        <v>1840</v>
      </c>
      <c r="D18" s="12">
        <v>460</v>
      </c>
      <c r="E18" s="12">
        <f>+C18+D18</f>
        <v>2300</v>
      </c>
    </row>
    <row r="19" spans="2:5" x14ac:dyDescent="0.2">
      <c r="B19" s="1" t="s">
        <v>15</v>
      </c>
      <c r="C19" s="12">
        <f>SUM(C16:C18)</f>
        <v>3640</v>
      </c>
      <c r="D19" s="12">
        <f t="shared" ref="D19:E19" si="3">SUM(D16:D18)</f>
        <v>860</v>
      </c>
      <c r="E19" s="12">
        <f t="shared" si="3"/>
        <v>4500</v>
      </c>
    </row>
    <row r="20" spans="2:5" x14ac:dyDescent="0.2">
      <c r="B20" s="1" t="s">
        <v>99</v>
      </c>
      <c r="C20" s="12">
        <v>2080</v>
      </c>
      <c r="D20" s="12">
        <v>410</v>
      </c>
      <c r="E20" s="12">
        <f>+C20+D20</f>
        <v>2490</v>
      </c>
    </row>
    <row r="21" spans="2:5" x14ac:dyDescent="0.2">
      <c r="B21" s="1" t="s">
        <v>98</v>
      </c>
      <c r="C21" s="12">
        <f>SUM(C19:C20)</f>
        <v>5720</v>
      </c>
      <c r="D21" s="12">
        <f t="shared" ref="D21:E21" si="4">SUM(D19:D20)</f>
        <v>1270</v>
      </c>
      <c r="E21" s="12">
        <f t="shared" si="4"/>
        <v>6990</v>
      </c>
    </row>
    <row r="22" spans="2:5" x14ac:dyDescent="0.2">
      <c r="C22" s="12"/>
      <c r="D22" s="12"/>
      <c r="E22" s="12"/>
    </row>
    <row r="23" spans="2:5" x14ac:dyDescent="0.2">
      <c r="C23" s="12"/>
      <c r="D23" s="12"/>
      <c r="E23" s="12"/>
    </row>
    <row r="24" spans="2:5" x14ac:dyDescent="0.2">
      <c r="B24" s="1" t="s">
        <v>97</v>
      </c>
      <c r="C24" s="12">
        <v>5200</v>
      </c>
      <c r="D24" s="12">
        <v>1200</v>
      </c>
      <c r="E24" s="12">
        <f>+C24+D24</f>
        <v>6400</v>
      </c>
    </row>
    <row r="25" spans="2:5" x14ac:dyDescent="0.2">
      <c r="B25" s="1" t="s">
        <v>96</v>
      </c>
      <c r="C25" s="12">
        <v>-3500</v>
      </c>
      <c r="D25" s="12">
        <f>+-800</f>
        <v>-800</v>
      </c>
      <c r="E25" s="12">
        <f>+C25+D25</f>
        <v>-4300</v>
      </c>
    </row>
    <row r="26" spans="2:5" x14ac:dyDescent="0.2">
      <c r="B26" s="1" t="s">
        <v>95</v>
      </c>
      <c r="C26" s="12">
        <f>SUM(C24:C25)</f>
        <v>1700</v>
      </c>
      <c r="D26" s="12">
        <f t="shared" ref="D26:E26" si="5">SUM(D24:D25)</f>
        <v>400</v>
      </c>
      <c r="E26" s="12">
        <f t="shared" si="5"/>
        <v>2100</v>
      </c>
    </row>
    <row r="27" spans="2:5" x14ac:dyDescent="0.2">
      <c r="B27" s="1" t="s">
        <v>94</v>
      </c>
      <c r="C27" s="12">
        <v>-400</v>
      </c>
      <c r="D27" s="12">
        <v>-100</v>
      </c>
      <c r="E27" s="12">
        <f>+C27+D27</f>
        <v>-500</v>
      </c>
    </row>
    <row r="28" spans="2:5" x14ac:dyDescent="0.2">
      <c r="B28" s="1" t="s">
        <v>93</v>
      </c>
      <c r="C28" s="12">
        <v>40</v>
      </c>
      <c r="D28" s="12">
        <v>0</v>
      </c>
      <c r="E28" s="12">
        <f>+C28+D28</f>
        <v>40</v>
      </c>
    </row>
    <row r="29" spans="2:5" x14ac:dyDescent="0.2">
      <c r="B29" s="1" t="s">
        <v>42</v>
      </c>
      <c r="C29" s="12">
        <f>SUM(C26:C28)</f>
        <v>1340</v>
      </c>
      <c r="D29" s="12">
        <f t="shared" ref="D29:E29" si="6">SUM(D26:D28)</f>
        <v>300</v>
      </c>
      <c r="E29" s="12">
        <f t="shared" si="6"/>
        <v>1640</v>
      </c>
    </row>
    <row r="30" spans="2:5" x14ac:dyDescent="0.2">
      <c r="B30" s="1" t="s">
        <v>41</v>
      </c>
      <c r="C30" s="12">
        <v>-300</v>
      </c>
      <c r="D30" s="12">
        <v>-80</v>
      </c>
      <c r="E30" s="12">
        <f>+C30+D30</f>
        <v>-380</v>
      </c>
    </row>
    <row r="31" spans="2:5" ht="12.75" thickBot="1" x14ac:dyDescent="0.25">
      <c r="B31" s="1" t="s">
        <v>40</v>
      </c>
      <c r="C31" s="14">
        <f>SUM(C29:C30)</f>
        <v>1040</v>
      </c>
      <c r="D31" s="14">
        <f>SUM(D29:D30)</f>
        <v>220</v>
      </c>
      <c r="E31" s="14">
        <f>SUM(E29:E30)</f>
        <v>1260</v>
      </c>
    </row>
    <row r="32" spans="2:5" ht="12.75" thickTop="1" x14ac:dyDescent="0.2"/>
    <row r="34" spans="2:5" x14ac:dyDescent="0.2">
      <c r="B34" s="1" t="s">
        <v>107</v>
      </c>
    </row>
    <row r="35" spans="2:5" x14ac:dyDescent="0.2">
      <c r="B35" s="1" t="s">
        <v>78</v>
      </c>
    </row>
    <row r="36" spans="2:5" x14ac:dyDescent="0.2">
      <c r="B36" s="1" t="s">
        <v>115</v>
      </c>
    </row>
    <row r="37" spans="2:5" x14ac:dyDescent="0.2">
      <c r="B37" s="1" t="s">
        <v>108</v>
      </c>
      <c r="E37" s="12">
        <v>0</v>
      </c>
    </row>
    <row r="38" spans="2:5" x14ac:dyDescent="0.2">
      <c r="B38" s="1" t="s">
        <v>47</v>
      </c>
      <c r="D38" s="12">
        <f>+D16</f>
        <v>400</v>
      </c>
    </row>
    <row r="39" spans="2:5" x14ac:dyDescent="0.2">
      <c r="B39" s="1" t="s">
        <v>46</v>
      </c>
      <c r="D39" s="12">
        <v>0</v>
      </c>
    </row>
    <row r="40" spans="2:5" x14ac:dyDescent="0.2">
      <c r="B40" s="1" t="s">
        <v>51</v>
      </c>
      <c r="C40" s="2">
        <v>0.25</v>
      </c>
      <c r="D40" s="1">
        <f>SUM(D38:D39)</f>
        <v>400</v>
      </c>
      <c r="E40" s="1">
        <f>+C40*D40</f>
        <v>100</v>
      </c>
    </row>
    <row r="41" spans="2:5" x14ac:dyDescent="0.2">
      <c r="B41" s="1" t="s">
        <v>52</v>
      </c>
      <c r="E41" s="1">
        <f>+E37-E40</f>
        <v>-100</v>
      </c>
    </row>
    <row r="43" spans="2:5" x14ac:dyDescent="0.2">
      <c r="B43" s="1" t="s">
        <v>53</v>
      </c>
    </row>
    <row r="45" spans="2:5" x14ac:dyDescent="0.2">
      <c r="B45" s="1" t="s">
        <v>33</v>
      </c>
    </row>
    <row r="47" spans="2:5" x14ac:dyDescent="0.2">
      <c r="B47" s="1" t="s">
        <v>46</v>
      </c>
      <c r="C47" s="10">
        <v>43465</v>
      </c>
      <c r="E47" s="12">
        <f>+D18</f>
        <v>460</v>
      </c>
    </row>
    <row r="48" spans="2:5" x14ac:dyDescent="0.2">
      <c r="B48" s="1" t="s">
        <v>40</v>
      </c>
      <c r="C48" s="10">
        <v>43465</v>
      </c>
      <c r="E48" s="12">
        <f>-D31</f>
        <v>-220</v>
      </c>
    </row>
    <row r="49" spans="2:6" x14ac:dyDescent="0.2">
      <c r="B49" s="1" t="s">
        <v>79</v>
      </c>
      <c r="C49" s="10">
        <v>43434</v>
      </c>
      <c r="E49" s="1">
        <v>160</v>
      </c>
    </row>
    <row r="50" spans="2:6" x14ac:dyDescent="0.2">
      <c r="B50" s="1" t="s">
        <v>46</v>
      </c>
      <c r="C50" s="10">
        <v>43100</v>
      </c>
      <c r="E50" s="1">
        <f>SUM(E47:E49)</f>
        <v>400</v>
      </c>
    </row>
    <row r="51" spans="2:6" x14ac:dyDescent="0.2">
      <c r="B51" s="1" t="s">
        <v>46</v>
      </c>
      <c r="C51" s="10">
        <v>40544</v>
      </c>
      <c r="E51" s="1">
        <v>0</v>
      </c>
    </row>
    <row r="52" spans="2:6" x14ac:dyDescent="0.2">
      <c r="B52" s="1" t="s">
        <v>80</v>
      </c>
      <c r="E52" s="1">
        <f>+E50-E51</f>
        <v>400</v>
      </c>
    </row>
    <row r="53" spans="2:6" ht="12.75" thickBot="1" x14ac:dyDescent="0.25">
      <c r="B53" s="1" t="s">
        <v>81</v>
      </c>
      <c r="E53" s="5">
        <f>+C40*E52</f>
        <v>100</v>
      </c>
    </row>
    <row r="54" spans="2:6" ht="12.75" thickTop="1" x14ac:dyDescent="0.2"/>
    <row r="55" spans="2:6" x14ac:dyDescent="0.2">
      <c r="B55" s="1" t="s">
        <v>34</v>
      </c>
    </row>
    <row r="57" spans="2:6" x14ac:dyDescent="0.2">
      <c r="B57" s="1" t="s">
        <v>55</v>
      </c>
      <c r="C57" s="2">
        <v>0.25</v>
      </c>
      <c r="D57" s="12">
        <f>+D31</f>
        <v>220</v>
      </c>
      <c r="E57" s="12">
        <f>+C57*D57</f>
        <v>55</v>
      </c>
      <c r="F57" s="12"/>
    </row>
    <row r="58" spans="2:6" x14ac:dyDescent="0.2">
      <c r="D58" s="12"/>
      <c r="E58" s="12"/>
      <c r="F58" s="12"/>
    </row>
    <row r="59" spans="2:6" x14ac:dyDescent="0.2">
      <c r="B59" s="1" t="s">
        <v>56</v>
      </c>
      <c r="D59" s="12"/>
      <c r="E59" s="12">
        <f>SUM(E57:E58)</f>
        <v>55</v>
      </c>
      <c r="F59" s="12"/>
    </row>
    <row r="60" spans="2:6" x14ac:dyDescent="0.2">
      <c r="C60" s="1" t="s">
        <v>57</v>
      </c>
      <c r="D60" s="12"/>
      <c r="E60" s="12"/>
      <c r="F60" s="12">
        <f>+E57</f>
        <v>55</v>
      </c>
    </row>
    <row r="61" spans="2:6" x14ac:dyDescent="0.2">
      <c r="B61" s="1" t="s">
        <v>58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35</v>
      </c>
      <c r="D63" s="12"/>
      <c r="E63" s="12"/>
      <c r="F63" s="12"/>
    </row>
    <row r="64" spans="2:6" x14ac:dyDescent="0.2">
      <c r="C64" s="1" t="s">
        <v>36</v>
      </c>
      <c r="D64" s="12"/>
      <c r="E64" s="12"/>
      <c r="F64" s="12"/>
    </row>
    <row r="65" spans="2:6" x14ac:dyDescent="0.2">
      <c r="C65" s="1" t="s">
        <v>37</v>
      </c>
      <c r="D65" s="12"/>
      <c r="E65" s="12"/>
      <c r="F65" s="12"/>
    </row>
    <row r="66" spans="2:6" x14ac:dyDescent="0.2">
      <c r="B66" s="1" t="s">
        <v>88</v>
      </c>
      <c r="C66" s="2">
        <v>0.25</v>
      </c>
      <c r="D66" s="12">
        <v>160</v>
      </c>
      <c r="E66" s="12">
        <f>+C66*D66</f>
        <v>40</v>
      </c>
      <c r="F66" s="12"/>
    </row>
    <row r="67" spans="2:6" x14ac:dyDescent="0.2">
      <c r="D67" s="12"/>
      <c r="E67" s="12"/>
      <c r="F67" s="12"/>
    </row>
    <row r="68" spans="2:6" x14ac:dyDescent="0.2">
      <c r="D68" s="12"/>
      <c r="E68" s="12"/>
      <c r="F68" s="12"/>
    </row>
    <row r="69" spans="2:6" x14ac:dyDescent="0.2">
      <c r="B69" s="1" t="s">
        <v>60</v>
      </c>
      <c r="D69" s="12"/>
      <c r="E69" s="12">
        <f>+E66</f>
        <v>40</v>
      </c>
      <c r="F69" s="12"/>
    </row>
    <row r="70" spans="2:6" x14ac:dyDescent="0.2">
      <c r="C70" s="1" t="s">
        <v>59</v>
      </c>
      <c r="D70" s="12"/>
      <c r="E70" s="12"/>
      <c r="F70" s="12">
        <f>+E69</f>
        <v>40</v>
      </c>
    </row>
    <row r="71" spans="2:6" x14ac:dyDescent="0.2">
      <c r="B71" s="1" t="s">
        <v>61</v>
      </c>
      <c r="D71" s="12"/>
      <c r="E71" s="12"/>
      <c r="F71" s="12"/>
    </row>
    <row r="72" spans="2:6" x14ac:dyDescent="0.2">
      <c r="D72" s="12"/>
      <c r="E72" s="12"/>
      <c r="F72" s="12"/>
    </row>
    <row r="73" spans="2:6" x14ac:dyDescent="0.2">
      <c r="B73" s="8" t="s">
        <v>109</v>
      </c>
      <c r="D73" s="12"/>
      <c r="E73" s="12"/>
      <c r="F73" s="12"/>
    </row>
    <row r="74" spans="2:6" x14ac:dyDescent="0.2">
      <c r="B74" s="1" t="s">
        <v>110</v>
      </c>
      <c r="D74" s="12"/>
      <c r="E74" s="12"/>
      <c r="F74" s="12"/>
    </row>
    <row r="75" spans="2:6" x14ac:dyDescent="0.2">
      <c r="B75" s="1" t="s">
        <v>112</v>
      </c>
      <c r="D75" s="12">
        <v>40</v>
      </c>
      <c r="E75" s="12"/>
      <c r="F75" s="12"/>
    </row>
    <row r="76" spans="2:6" x14ac:dyDescent="0.2">
      <c r="B76" s="1" t="s">
        <v>96</v>
      </c>
      <c r="D76" s="12">
        <v>32</v>
      </c>
      <c r="E76" s="12"/>
      <c r="F76" s="12"/>
    </row>
    <row r="77" spans="2:6" x14ac:dyDescent="0.2">
      <c r="B77" s="1" t="s">
        <v>95</v>
      </c>
      <c r="D77" s="12">
        <f>+D75-D76</f>
        <v>8</v>
      </c>
      <c r="E77" s="12"/>
      <c r="F77" s="12"/>
    </row>
    <row r="78" spans="2:6" x14ac:dyDescent="0.2">
      <c r="B78" s="1" t="s">
        <v>113</v>
      </c>
      <c r="C78" s="1">
        <v>0.5</v>
      </c>
      <c r="D78" s="12">
        <f>+C78*D77</f>
        <v>4</v>
      </c>
      <c r="E78" s="12"/>
      <c r="F78" s="12"/>
    </row>
    <row r="79" spans="2:6" x14ac:dyDescent="0.2">
      <c r="B79" s="1" t="s">
        <v>116</v>
      </c>
      <c r="D79" s="12">
        <f>0.25*D78</f>
        <v>1</v>
      </c>
      <c r="E79" s="12"/>
      <c r="F79" s="12"/>
    </row>
    <row r="80" spans="2:6" x14ac:dyDescent="0.2">
      <c r="D80" s="12"/>
      <c r="E80" s="12"/>
      <c r="F80" s="12"/>
    </row>
    <row r="81" spans="2:6" x14ac:dyDescent="0.2">
      <c r="D81" s="12"/>
      <c r="E81" s="12"/>
      <c r="F81" s="12"/>
    </row>
    <row r="82" spans="2:6" x14ac:dyDescent="0.2">
      <c r="B82" s="1" t="s">
        <v>117</v>
      </c>
      <c r="D82" s="12"/>
      <c r="E82" s="12">
        <f>+D79</f>
        <v>1</v>
      </c>
      <c r="F82" s="12"/>
    </row>
    <row r="83" spans="2:6" x14ac:dyDescent="0.2">
      <c r="C83" s="1" t="s">
        <v>118</v>
      </c>
      <c r="D83" s="12"/>
      <c r="E83" s="12"/>
      <c r="F83" s="12">
        <f>+E82</f>
        <v>1</v>
      </c>
    </row>
    <row r="84" spans="2:6" x14ac:dyDescent="0.2">
      <c r="B84" s="1" t="s">
        <v>114</v>
      </c>
      <c r="D84" s="12"/>
      <c r="E84" s="12"/>
      <c r="F84" s="12"/>
    </row>
    <row r="85" spans="2:6" x14ac:dyDescent="0.2">
      <c r="D85" s="12"/>
      <c r="E85" s="12"/>
      <c r="F85" s="12"/>
    </row>
    <row r="86" spans="2:6" x14ac:dyDescent="0.2">
      <c r="D86" s="12"/>
      <c r="E86" s="12"/>
      <c r="F86" s="12"/>
    </row>
    <row r="87" spans="2:6" x14ac:dyDescent="0.2">
      <c r="B87" s="1" t="s">
        <v>63</v>
      </c>
      <c r="D87" s="12"/>
      <c r="E87" s="12"/>
      <c r="F87" s="12"/>
    </row>
    <row r="88" spans="2:6" x14ac:dyDescent="0.2">
      <c r="B88" s="1" t="s">
        <v>55</v>
      </c>
      <c r="D88" s="12"/>
      <c r="E88" s="12">
        <f>+F60</f>
        <v>55</v>
      </c>
      <c r="F88" s="12" t="s">
        <v>65</v>
      </c>
    </row>
    <row r="89" spans="2:6" x14ac:dyDescent="0.2">
      <c r="B89" s="1" t="s">
        <v>119</v>
      </c>
      <c r="D89" s="12"/>
      <c r="E89" s="12">
        <f>+E82</f>
        <v>1</v>
      </c>
      <c r="F89" s="12" t="s">
        <v>66</v>
      </c>
    </row>
    <row r="90" spans="2:6" x14ac:dyDescent="0.2">
      <c r="B90" s="1" t="s">
        <v>89</v>
      </c>
      <c r="D90" s="12"/>
      <c r="E90" s="12">
        <f>+E69</f>
        <v>40</v>
      </c>
      <c r="F90" s="12" t="s">
        <v>66</v>
      </c>
    </row>
    <row r="91" spans="2:6" ht="12.75" thickBot="1" x14ac:dyDescent="0.25">
      <c r="D91" s="12"/>
      <c r="E91" s="14">
        <f>-E88+E89+E90</f>
        <v>-14</v>
      </c>
      <c r="F91" s="12"/>
    </row>
    <row r="92" spans="2:6" ht="12.75" thickTop="1" x14ac:dyDescent="0.2">
      <c r="D92" s="12"/>
      <c r="E92" s="12"/>
      <c r="F92" s="12"/>
    </row>
    <row r="93" spans="2:6" x14ac:dyDescent="0.2">
      <c r="B93" s="1" t="s">
        <v>68</v>
      </c>
      <c r="D93" s="12"/>
      <c r="E93" s="12">
        <f>-E91</f>
        <v>14</v>
      </c>
      <c r="F93" s="12"/>
    </row>
    <row r="94" spans="2:6" x14ac:dyDescent="0.2">
      <c r="C94" s="1" t="s">
        <v>90</v>
      </c>
      <c r="D94" s="12"/>
      <c r="E94" s="12"/>
      <c r="F94" s="12">
        <f>+E93</f>
        <v>14</v>
      </c>
    </row>
    <row r="95" spans="2:6" x14ac:dyDescent="0.2">
      <c r="B95" s="1" t="s">
        <v>69</v>
      </c>
    </row>
  </sheetData>
  <hyperlinks>
    <hyperlink ref="A1" location="Main!A1" display="Main" xr:uid="{F4B3A6BF-5BCC-40C9-BF99-DB3901D19DA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9EA7-7ABB-4C21-8952-5A9EB14AB492}">
  <dimension ref="A1:F195"/>
  <sheetViews>
    <sheetView zoomScale="220" zoomScaleNormal="220" workbookViewId="0"/>
  </sheetViews>
  <sheetFormatPr defaultRowHeight="12" x14ac:dyDescent="0.2"/>
  <cols>
    <col min="1" max="16384" width="9.140625" style="1"/>
  </cols>
  <sheetData>
    <row r="1" spans="1:6" ht="15" x14ac:dyDescent="0.25">
      <c r="A1" s="3" t="s">
        <v>12</v>
      </c>
    </row>
    <row r="2" spans="1:6" x14ac:dyDescent="0.2">
      <c r="B2" s="1" t="s">
        <v>185</v>
      </c>
      <c r="C2" s="1" t="s">
        <v>261</v>
      </c>
    </row>
    <row r="3" spans="1:6" x14ac:dyDescent="0.2">
      <c r="C3" s="1" t="s">
        <v>262</v>
      </c>
    </row>
    <row r="4" spans="1:6" x14ac:dyDescent="0.2">
      <c r="C4" s="1" t="s">
        <v>263</v>
      </c>
    </row>
    <row r="5" spans="1:6" x14ac:dyDescent="0.2">
      <c r="C5" s="1" t="s">
        <v>264</v>
      </c>
    </row>
    <row r="9" spans="1:6" x14ac:dyDescent="0.2">
      <c r="B9" s="1" t="s">
        <v>136</v>
      </c>
      <c r="C9" s="10">
        <v>46022</v>
      </c>
    </row>
    <row r="11" spans="1:6" s="16" customFormat="1" x14ac:dyDescent="0.2">
      <c r="C11" s="16" t="s">
        <v>186</v>
      </c>
      <c r="D11" s="16" t="s">
        <v>187</v>
      </c>
      <c r="E11" s="16" t="s">
        <v>188</v>
      </c>
      <c r="F11" s="17" t="s">
        <v>190</v>
      </c>
    </row>
    <row r="12" spans="1:6" x14ac:dyDescent="0.2">
      <c r="B12" s="1" t="s">
        <v>47</v>
      </c>
      <c r="C12" s="12">
        <v>2000</v>
      </c>
      <c r="D12" s="12">
        <v>1000</v>
      </c>
      <c r="E12" s="12">
        <v>625</v>
      </c>
      <c r="F12" s="12">
        <f>+C12+D12+E12</f>
        <v>3625</v>
      </c>
    </row>
    <row r="13" spans="1:6" x14ac:dyDescent="0.2">
      <c r="B13" s="1" t="s">
        <v>100</v>
      </c>
      <c r="C13" s="12">
        <v>2100</v>
      </c>
      <c r="D13" s="12">
        <v>200</v>
      </c>
      <c r="E13" s="12">
        <v>700</v>
      </c>
      <c r="F13" s="12">
        <f>+C13+D13+E13</f>
        <v>3000</v>
      </c>
    </row>
    <row r="14" spans="1:6" x14ac:dyDescent="0.2">
      <c r="B14" s="1" t="s">
        <v>75</v>
      </c>
      <c r="C14" s="12">
        <v>6000</v>
      </c>
      <c r="D14" s="12">
        <v>0</v>
      </c>
      <c r="E14" s="12">
        <v>400</v>
      </c>
      <c r="F14" s="12">
        <f>+C14+D14+E14</f>
        <v>6400</v>
      </c>
    </row>
    <row r="15" spans="1:6" x14ac:dyDescent="0.2">
      <c r="B15" s="1" t="s">
        <v>46</v>
      </c>
      <c r="C15" s="12">
        <v>6100</v>
      </c>
      <c r="D15" s="12">
        <v>2600</v>
      </c>
      <c r="E15" s="12">
        <v>2375</v>
      </c>
      <c r="F15" s="12">
        <f>+C15+D15+E15</f>
        <v>11075</v>
      </c>
    </row>
    <row r="16" spans="1:6" x14ac:dyDescent="0.2">
      <c r="B16" s="1" t="s">
        <v>15</v>
      </c>
      <c r="C16" s="12">
        <f>SUM(C12:C15)</f>
        <v>16200</v>
      </c>
      <c r="D16" s="12">
        <f>SUM(D12:D15)</f>
        <v>3800</v>
      </c>
      <c r="E16" s="12">
        <f>SUM(E12:E15)</f>
        <v>4100</v>
      </c>
      <c r="F16" s="12">
        <f>SUM(F12:F15)</f>
        <v>24100</v>
      </c>
    </row>
    <row r="17" spans="2:6" x14ac:dyDescent="0.2">
      <c r="B17" s="1" t="s">
        <v>99</v>
      </c>
      <c r="C17" s="12">
        <v>6600</v>
      </c>
      <c r="D17" s="12">
        <v>1100</v>
      </c>
      <c r="E17" s="12">
        <v>1000</v>
      </c>
      <c r="F17" s="12">
        <f>+C17+D17+E17</f>
        <v>8700</v>
      </c>
    </row>
    <row r="18" spans="2:6" x14ac:dyDescent="0.2">
      <c r="B18" s="1" t="s">
        <v>98</v>
      </c>
      <c r="C18" s="12">
        <f>SUM(C16:C17)</f>
        <v>22800</v>
      </c>
      <c r="D18" s="12">
        <f>SUM(D16:D17)</f>
        <v>4900</v>
      </c>
      <c r="E18" s="12">
        <f>SUM(E16:E17)</f>
        <v>5100</v>
      </c>
      <c r="F18" s="12">
        <f>SUM(F16:F17)</f>
        <v>32800</v>
      </c>
    </row>
    <row r="19" spans="2:6" x14ac:dyDescent="0.2">
      <c r="C19" s="12"/>
      <c r="D19" s="12"/>
      <c r="E19" s="12"/>
      <c r="F19" s="12"/>
    </row>
    <row r="20" spans="2:6" s="16" customFormat="1" x14ac:dyDescent="0.2">
      <c r="C20" s="16" t="s">
        <v>186</v>
      </c>
      <c r="D20" s="16" t="s">
        <v>187</v>
      </c>
      <c r="E20" s="16" t="s">
        <v>188</v>
      </c>
      <c r="F20" s="17" t="s">
        <v>190</v>
      </c>
    </row>
    <row r="21" spans="2:6" x14ac:dyDescent="0.2">
      <c r="B21" s="1" t="s">
        <v>189</v>
      </c>
      <c r="C21" s="12">
        <v>28000</v>
      </c>
      <c r="D21" s="12">
        <v>8000</v>
      </c>
      <c r="E21" s="12">
        <v>12500</v>
      </c>
      <c r="F21" s="12">
        <f>+C21+D21+E21</f>
        <v>48500</v>
      </c>
    </row>
    <row r="22" spans="2:6" x14ac:dyDescent="0.2">
      <c r="B22" s="1" t="s">
        <v>96</v>
      </c>
      <c r="C22" s="12">
        <v>-18000</v>
      </c>
      <c r="D22" s="12">
        <v>-5000</v>
      </c>
      <c r="E22" s="12">
        <v>-6800</v>
      </c>
      <c r="F22" s="12">
        <f>+C22+D22+E22</f>
        <v>-29800</v>
      </c>
    </row>
    <row r="23" spans="2:6" x14ac:dyDescent="0.2">
      <c r="B23" s="1" t="s">
        <v>95</v>
      </c>
      <c r="C23" s="12">
        <f>SUM(C21:C22)</f>
        <v>10000</v>
      </c>
      <c r="D23" s="12">
        <f>SUM(D21:D22)</f>
        <v>3000</v>
      </c>
      <c r="E23" s="12">
        <f>SUM(E21:E22)</f>
        <v>5700</v>
      </c>
      <c r="F23" s="12">
        <f>SUM(F21:F22)</f>
        <v>18700</v>
      </c>
    </row>
    <row r="24" spans="2:6" x14ac:dyDescent="0.2">
      <c r="B24" s="1" t="s">
        <v>94</v>
      </c>
      <c r="C24" s="12">
        <v>-3500</v>
      </c>
      <c r="D24" s="12">
        <v>-800</v>
      </c>
      <c r="E24" s="12">
        <v>-2400</v>
      </c>
      <c r="F24" s="12">
        <f>+C24+D24+E24</f>
        <v>-6700</v>
      </c>
    </row>
    <row r="25" spans="2:6" x14ac:dyDescent="0.2">
      <c r="B25" s="1" t="s">
        <v>44</v>
      </c>
      <c r="C25" s="12">
        <v>-300</v>
      </c>
      <c r="D25" s="12">
        <v>-100</v>
      </c>
      <c r="E25" s="12">
        <v>-400</v>
      </c>
      <c r="F25" s="12">
        <f>+C25+D25+E25</f>
        <v>-800</v>
      </c>
    </row>
    <row r="26" spans="2:6" x14ac:dyDescent="0.2">
      <c r="B26" s="1" t="s">
        <v>42</v>
      </c>
      <c r="C26" s="12">
        <f>SUM(C23:C25)</f>
        <v>6200</v>
      </c>
      <c r="D26" s="12">
        <f>SUM(D23:D25)</f>
        <v>2100</v>
      </c>
      <c r="E26" s="12">
        <f>SUM(E23:E25)</f>
        <v>2900</v>
      </c>
      <c r="F26" s="12">
        <f>SUM(F23:F25)</f>
        <v>11200</v>
      </c>
    </row>
    <row r="27" spans="2:6" x14ac:dyDescent="0.2">
      <c r="B27" s="1" t="s">
        <v>41</v>
      </c>
      <c r="C27" s="12">
        <v>-1800</v>
      </c>
      <c r="D27" s="12">
        <v>-600</v>
      </c>
      <c r="E27" s="12">
        <v>-850</v>
      </c>
      <c r="F27" s="12">
        <f>+C27+D27+E27</f>
        <v>-3250</v>
      </c>
    </row>
    <row r="28" spans="2:6" x14ac:dyDescent="0.2">
      <c r="B28" s="1" t="s">
        <v>40</v>
      </c>
      <c r="C28" s="12">
        <f>SUM(C26:C27)</f>
        <v>4400</v>
      </c>
      <c r="D28" s="12">
        <f>SUM(D26:D27)</f>
        <v>1500</v>
      </c>
      <c r="E28" s="12">
        <f>SUM(E26:E27)</f>
        <v>2050</v>
      </c>
      <c r="F28" s="12">
        <f>SUM(F26:F27)</f>
        <v>7950</v>
      </c>
    </row>
    <row r="31" spans="2:6" x14ac:dyDescent="0.2">
      <c r="B31" s="1" t="s">
        <v>187</v>
      </c>
    </row>
    <row r="32" spans="2:6" x14ac:dyDescent="0.2">
      <c r="B32" s="1" t="s">
        <v>192</v>
      </c>
    </row>
    <row r="34" spans="2:4" x14ac:dyDescent="0.2">
      <c r="B34" s="1" t="s">
        <v>191</v>
      </c>
      <c r="D34" s="1">
        <v>1150</v>
      </c>
    </row>
    <row r="35" spans="2:4" x14ac:dyDescent="0.2">
      <c r="B35" s="1" t="s">
        <v>47</v>
      </c>
      <c r="C35" s="12">
        <f>+D12</f>
        <v>1000</v>
      </c>
    </row>
    <row r="36" spans="2:4" x14ac:dyDescent="0.2">
      <c r="B36" s="1" t="s">
        <v>100</v>
      </c>
      <c r="C36" s="12">
        <f>+D13</f>
        <v>200</v>
      </c>
    </row>
    <row r="37" spans="2:4" x14ac:dyDescent="0.2">
      <c r="B37" s="1" t="s">
        <v>46</v>
      </c>
      <c r="C37" s="12">
        <v>1800</v>
      </c>
    </row>
    <row r="38" spans="2:4" x14ac:dyDescent="0.2">
      <c r="C38" s="12">
        <f>SUM(C35:C37)</f>
        <v>3000</v>
      </c>
    </row>
    <row r="39" spans="2:4" x14ac:dyDescent="0.2">
      <c r="B39" s="1" t="s">
        <v>178</v>
      </c>
      <c r="C39" s="2">
        <v>0.3</v>
      </c>
      <c r="D39" s="1">
        <f>+C39*C38</f>
        <v>900</v>
      </c>
    </row>
    <row r="40" spans="2:4" x14ac:dyDescent="0.2">
      <c r="B40" s="1" t="s">
        <v>52</v>
      </c>
      <c r="D40" s="18">
        <f>+D34-D39</f>
        <v>250</v>
      </c>
    </row>
    <row r="42" spans="2:4" x14ac:dyDescent="0.2">
      <c r="B42" s="1" t="s">
        <v>193</v>
      </c>
    </row>
    <row r="44" spans="2:4" x14ac:dyDescent="0.2">
      <c r="B44" s="1" t="s">
        <v>202</v>
      </c>
    </row>
    <row r="45" spans="2:4" x14ac:dyDescent="0.2">
      <c r="B45" s="1" t="s">
        <v>46</v>
      </c>
      <c r="C45" s="10">
        <v>46022</v>
      </c>
      <c r="D45" s="12">
        <f>+D15</f>
        <v>2600</v>
      </c>
    </row>
    <row r="46" spans="2:4" x14ac:dyDescent="0.2">
      <c r="B46" s="1" t="s">
        <v>222</v>
      </c>
      <c r="D46" s="12">
        <f>-D28</f>
        <v>-1500</v>
      </c>
    </row>
    <row r="47" spans="2:4" x14ac:dyDescent="0.2">
      <c r="B47" s="1" t="s">
        <v>223</v>
      </c>
      <c r="D47" s="12">
        <v>800</v>
      </c>
    </row>
    <row r="48" spans="2:4" x14ac:dyDescent="0.2">
      <c r="D48" s="12">
        <f>SUM(D45:D47)</f>
        <v>1900</v>
      </c>
    </row>
    <row r="49" spans="2:6" x14ac:dyDescent="0.2">
      <c r="B49" s="1" t="s">
        <v>46</v>
      </c>
      <c r="C49" s="10">
        <v>44197</v>
      </c>
      <c r="D49" s="12">
        <f>+C37</f>
        <v>1800</v>
      </c>
    </row>
    <row r="50" spans="2:6" x14ac:dyDescent="0.2">
      <c r="D50" s="12">
        <f>+D48-D49</f>
        <v>100</v>
      </c>
    </row>
    <row r="51" spans="2:6" x14ac:dyDescent="0.2">
      <c r="D51" s="12">
        <f>+D50*C39</f>
        <v>30</v>
      </c>
    </row>
    <row r="52" spans="2:6" x14ac:dyDescent="0.2">
      <c r="D52" s="12"/>
      <c r="E52" s="12"/>
      <c r="F52" s="12"/>
    </row>
    <row r="53" spans="2:6" x14ac:dyDescent="0.2">
      <c r="B53" s="1" t="s">
        <v>224</v>
      </c>
      <c r="D53" s="12"/>
      <c r="E53" s="12">
        <f>+D51</f>
        <v>30</v>
      </c>
      <c r="F53" s="12"/>
    </row>
    <row r="54" spans="2:6" x14ac:dyDescent="0.2">
      <c r="C54" s="1" t="s">
        <v>30</v>
      </c>
      <c r="D54" s="12"/>
      <c r="E54" s="12"/>
      <c r="F54" s="12">
        <f>+E53</f>
        <v>30</v>
      </c>
    </row>
    <row r="55" spans="2:6" x14ac:dyDescent="0.2">
      <c r="D55" s="12"/>
      <c r="E55" s="12"/>
      <c r="F55" s="12"/>
    </row>
    <row r="56" spans="2:6" x14ac:dyDescent="0.2">
      <c r="D56" s="12"/>
      <c r="E56" s="12"/>
      <c r="F56" s="12"/>
    </row>
    <row r="57" spans="2:6" x14ac:dyDescent="0.2">
      <c r="B57" s="1" t="s">
        <v>203</v>
      </c>
      <c r="D57" s="12"/>
      <c r="E57" s="12"/>
      <c r="F57" s="12"/>
    </row>
    <row r="58" spans="2:6" x14ac:dyDescent="0.2">
      <c r="D58" s="12"/>
      <c r="E58" s="12"/>
      <c r="F58" s="12"/>
    </row>
    <row r="59" spans="2:6" x14ac:dyDescent="0.2">
      <c r="B59" s="1" t="s">
        <v>224</v>
      </c>
      <c r="D59" s="12"/>
      <c r="E59" s="1">
        <f>+C39*D28</f>
        <v>450</v>
      </c>
      <c r="F59" s="12"/>
    </row>
    <row r="60" spans="2:6" x14ac:dyDescent="0.2">
      <c r="C60" s="1" t="s">
        <v>225</v>
      </c>
      <c r="D60" s="12"/>
      <c r="E60" s="12"/>
      <c r="F60" s="12">
        <f>+E59</f>
        <v>450</v>
      </c>
    </row>
    <row r="61" spans="2:6" x14ac:dyDescent="0.2">
      <c r="B61" s="1" t="s">
        <v>226</v>
      </c>
      <c r="D61" s="12"/>
      <c r="E61" s="12"/>
      <c r="F61" s="12"/>
    </row>
    <row r="62" spans="2:6" x14ac:dyDescent="0.2">
      <c r="D62" s="12"/>
      <c r="E62" s="12"/>
      <c r="F62" s="12"/>
    </row>
    <row r="63" spans="2:6" x14ac:dyDescent="0.2">
      <c r="B63" s="1" t="s">
        <v>227</v>
      </c>
      <c r="D63" s="12"/>
      <c r="E63" s="12"/>
      <c r="F63" s="12"/>
    </row>
    <row r="64" spans="2:6" x14ac:dyDescent="0.2">
      <c r="D64" s="12"/>
      <c r="E64" s="12"/>
      <c r="F64" s="12"/>
    </row>
    <row r="65" spans="2:6" x14ac:dyDescent="0.2">
      <c r="B65" s="1" t="s">
        <v>228</v>
      </c>
      <c r="D65" s="12"/>
      <c r="E65" s="12">
        <f>+D47*C39</f>
        <v>240</v>
      </c>
      <c r="F65" s="12"/>
    </row>
    <row r="66" spans="2:6" x14ac:dyDescent="0.2">
      <c r="C66" s="1" t="s">
        <v>229</v>
      </c>
      <c r="F66" s="12">
        <f>+E65</f>
        <v>240</v>
      </c>
    </row>
    <row r="67" spans="2:6" x14ac:dyDescent="0.2">
      <c r="B67" s="1" t="s">
        <v>230</v>
      </c>
    </row>
    <row r="70" spans="2:6" x14ac:dyDescent="0.2">
      <c r="B70" s="1" t="s">
        <v>188</v>
      </c>
    </row>
    <row r="71" spans="2:6" x14ac:dyDescent="0.2">
      <c r="B71" s="1" t="s">
        <v>192</v>
      </c>
    </row>
    <row r="73" spans="2:6" x14ac:dyDescent="0.2">
      <c r="B73" s="1" t="s">
        <v>221</v>
      </c>
      <c r="D73" s="1">
        <v>2300</v>
      </c>
    </row>
    <row r="74" spans="2:6" x14ac:dyDescent="0.2">
      <c r="B74" s="1" t="s">
        <v>152</v>
      </c>
      <c r="C74" s="1">
        <v>0.2</v>
      </c>
      <c r="D74" s="1">
        <f>-C74*D78</f>
        <v>505</v>
      </c>
    </row>
    <row r="75" spans="2:6" x14ac:dyDescent="0.2">
      <c r="B75" s="1" t="s">
        <v>47</v>
      </c>
      <c r="C75" s="12">
        <f>+E12</f>
        <v>625</v>
      </c>
    </row>
    <row r="76" spans="2:6" x14ac:dyDescent="0.2">
      <c r="B76" s="1" t="s">
        <v>100</v>
      </c>
      <c r="C76" s="12">
        <f>+E13</f>
        <v>700</v>
      </c>
    </row>
    <row r="77" spans="2:6" x14ac:dyDescent="0.2">
      <c r="B77" s="1" t="s">
        <v>75</v>
      </c>
      <c r="C77" s="12">
        <v>200</v>
      </c>
    </row>
    <row r="78" spans="2:6" x14ac:dyDescent="0.2">
      <c r="B78" s="1" t="s">
        <v>46</v>
      </c>
      <c r="C78" s="12">
        <v>1000</v>
      </c>
      <c r="D78" s="12">
        <f>-SUM(C75:C78)</f>
        <v>-2525</v>
      </c>
    </row>
    <row r="79" spans="2:6" x14ac:dyDescent="0.2">
      <c r="B79" s="1" t="s">
        <v>52</v>
      </c>
      <c r="D79" s="1">
        <f>SUM(D72:D78)</f>
        <v>280</v>
      </c>
    </row>
    <row r="81" spans="2:6" x14ac:dyDescent="0.2">
      <c r="B81" s="1" t="s">
        <v>194</v>
      </c>
      <c r="E81" s="12">
        <f>+C75</f>
        <v>625</v>
      </c>
    </row>
    <row r="82" spans="2:6" x14ac:dyDescent="0.2">
      <c r="B82" s="1" t="s">
        <v>195</v>
      </c>
      <c r="E82" s="12">
        <f>+C76</f>
        <v>700</v>
      </c>
    </row>
    <row r="83" spans="2:6" x14ac:dyDescent="0.2">
      <c r="B83" s="1" t="s">
        <v>196</v>
      </c>
      <c r="E83" s="12">
        <f>+C77</f>
        <v>200</v>
      </c>
    </row>
    <row r="84" spans="2:6" x14ac:dyDescent="0.2">
      <c r="B84" s="1" t="s">
        <v>150</v>
      </c>
      <c r="E84" s="12">
        <f>+C78</f>
        <v>1000</v>
      </c>
    </row>
    <row r="85" spans="2:6" x14ac:dyDescent="0.2">
      <c r="B85" s="1" t="s">
        <v>197</v>
      </c>
      <c r="E85" s="1">
        <f>+D79</f>
        <v>280</v>
      </c>
    </row>
    <row r="86" spans="2:6" x14ac:dyDescent="0.2">
      <c r="C86" s="1" t="s">
        <v>198</v>
      </c>
      <c r="F86" s="1">
        <f>+D73</f>
        <v>2300</v>
      </c>
    </row>
    <row r="87" spans="2:6" x14ac:dyDescent="0.2">
      <c r="C87" s="1" t="s">
        <v>156</v>
      </c>
      <c r="F87" s="1">
        <f>+D74</f>
        <v>505</v>
      </c>
    </row>
    <row r="88" spans="2:6" x14ac:dyDescent="0.2">
      <c r="B88" s="1" t="s">
        <v>199</v>
      </c>
    </row>
    <row r="91" spans="2:6" s="19" customFormat="1" x14ac:dyDescent="0.2">
      <c r="B91" s="19" t="s">
        <v>200</v>
      </c>
    </row>
    <row r="92" spans="2:6" s="19" customFormat="1" x14ac:dyDescent="0.2">
      <c r="B92" s="19" t="s">
        <v>201</v>
      </c>
      <c r="D92" s="19">
        <v>222</v>
      </c>
    </row>
    <row r="93" spans="2:6" s="19" customFormat="1" x14ac:dyDescent="0.2">
      <c r="B93" s="19" t="s">
        <v>142</v>
      </c>
      <c r="C93" s="19">
        <f>100/2500</f>
        <v>0.04</v>
      </c>
      <c r="D93" s="19">
        <f>+C93*E16</f>
        <v>164</v>
      </c>
    </row>
    <row r="94" spans="2:6" s="19" customFormat="1" x14ac:dyDescent="0.2">
      <c r="B94" s="19" t="s">
        <v>231</v>
      </c>
      <c r="D94" s="13">
        <f>+D93-D92</f>
        <v>-58</v>
      </c>
    </row>
    <row r="95" spans="2:6" s="19" customFormat="1" x14ac:dyDescent="0.2">
      <c r="D95" s="13"/>
    </row>
    <row r="96" spans="2:6" s="19" customFormat="1" x14ac:dyDescent="0.2">
      <c r="B96" s="19" t="s">
        <v>153</v>
      </c>
      <c r="D96" s="13"/>
      <c r="E96" s="19">
        <f>+D93</f>
        <v>164</v>
      </c>
    </row>
    <row r="97" spans="2:6" s="19" customFormat="1" x14ac:dyDescent="0.2">
      <c r="B97" s="19" t="s">
        <v>150</v>
      </c>
      <c r="D97" s="13"/>
      <c r="E97" s="13">
        <f>-D94</f>
        <v>58</v>
      </c>
    </row>
    <row r="98" spans="2:6" s="19" customFormat="1" x14ac:dyDescent="0.2">
      <c r="C98" s="19" t="s">
        <v>198</v>
      </c>
      <c r="D98" s="13"/>
      <c r="F98" s="19">
        <f>+D92</f>
        <v>222</v>
      </c>
    </row>
    <row r="99" spans="2:6" s="19" customFormat="1" x14ac:dyDescent="0.2">
      <c r="B99" s="19" t="s">
        <v>232</v>
      </c>
      <c r="D99" s="13"/>
    </row>
    <row r="100" spans="2:6" s="19" customFormat="1" x14ac:dyDescent="0.2">
      <c r="D100" s="13"/>
    </row>
    <row r="101" spans="2:6" s="19" customFormat="1" x14ac:dyDescent="0.2">
      <c r="B101" s="19" t="s">
        <v>233</v>
      </c>
      <c r="D101" s="13"/>
    </row>
    <row r="102" spans="2:6" s="19" customFormat="1" x14ac:dyDescent="0.2">
      <c r="B102" s="19" t="s">
        <v>150</v>
      </c>
      <c r="D102" s="13"/>
      <c r="E102" s="19">
        <v>168</v>
      </c>
    </row>
    <row r="103" spans="2:6" s="19" customFormat="1" x14ac:dyDescent="0.2">
      <c r="B103" s="19" t="s">
        <v>234</v>
      </c>
      <c r="D103" s="13"/>
      <c r="E103" s="19">
        <v>28</v>
      </c>
    </row>
    <row r="104" spans="2:6" s="19" customFormat="1" x14ac:dyDescent="0.2">
      <c r="C104" s="19" t="s">
        <v>235</v>
      </c>
      <c r="D104" s="13"/>
      <c r="F104" s="19">
        <v>196</v>
      </c>
    </row>
    <row r="107" spans="2:6" x14ac:dyDescent="0.2">
      <c r="B107" s="1" t="s">
        <v>236</v>
      </c>
      <c r="C107" s="10">
        <v>45657</v>
      </c>
      <c r="E107" s="12">
        <f>+E14</f>
        <v>400</v>
      </c>
    </row>
    <row r="108" spans="2:6" x14ac:dyDescent="0.2">
      <c r="B108" s="1" t="s">
        <v>236</v>
      </c>
      <c r="C108" s="10">
        <v>44562</v>
      </c>
      <c r="E108" s="12">
        <f>+C77</f>
        <v>200</v>
      </c>
    </row>
    <row r="109" spans="2:6" x14ac:dyDescent="0.2">
      <c r="B109" s="1" t="s">
        <v>80</v>
      </c>
      <c r="E109" s="12">
        <f>+E107-E108</f>
        <v>200</v>
      </c>
    </row>
    <row r="110" spans="2:6" x14ac:dyDescent="0.2">
      <c r="B110" s="1" t="s">
        <v>237</v>
      </c>
      <c r="E110" s="1">
        <f>+E109*C74</f>
        <v>40</v>
      </c>
    </row>
    <row r="112" spans="2:6" x14ac:dyDescent="0.2">
      <c r="B112" s="1" t="s">
        <v>238</v>
      </c>
    </row>
    <row r="113" spans="2:6" x14ac:dyDescent="0.2">
      <c r="B113" s="1" t="s">
        <v>46</v>
      </c>
      <c r="C113" s="10">
        <v>46022</v>
      </c>
      <c r="E113" s="12">
        <f>+E15</f>
        <v>2375</v>
      </c>
    </row>
    <row r="114" spans="2:6" x14ac:dyDescent="0.2">
      <c r="B114" s="1" t="s">
        <v>239</v>
      </c>
      <c r="E114" s="12">
        <f>-E28</f>
        <v>-2050</v>
      </c>
    </row>
    <row r="115" spans="2:6" x14ac:dyDescent="0.2">
      <c r="B115" s="1" t="s">
        <v>240</v>
      </c>
      <c r="E115" s="12">
        <v>1400</v>
      </c>
    </row>
    <row r="116" spans="2:6" x14ac:dyDescent="0.2">
      <c r="B116" s="1" t="s">
        <v>46</v>
      </c>
      <c r="C116" s="10">
        <v>45657</v>
      </c>
      <c r="E116" s="12">
        <f>SUM(E113:E115)</f>
        <v>1725</v>
      </c>
    </row>
    <row r="117" spans="2:6" x14ac:dyDescent="0.2">
      <c r="B117" s="1" t="s">
        <v>46</v>
      </c>
      <c r="C117" s="10">
        <v>44562</v>
      </c>
      <c r="E117" s="12">
        <f>+C78</f>
        <v>1000</v>
      </c>
    </row>
    <row r="118" spans="2:6" x14ac:dyDescent="0.2">
      <c r="E118" s="12">
        <f>+E116-E117</f>
        <v>725</v>
      </c>
    </row>
    <row r="119" spans="2:6" x14ac:dyDescent="0.2">
      <c r="E119" s="1">
        <f>+E118*C74</f>
        <v>145</v>
      </c>
    </row>
    <row r="121" spans="2:6" x14ac:dyDescent="0.2">
      <c r="B121" s="1" t="s">
        <v>241</v>
      </c>
      <c r="E121" s="1">
        <f>+E110</f>
        <v>40</v>
      </c>
    </row>
    <row r="122" spans="2:6" x14ac:dyDescent="0.2">
      <c r="B122" s="1" t="s">
        <v>242</v>
      </c>
      <c r="E122" s="1">
        <f>+E119</f>
        <v>145</v>
      </c>
    </row>
    <row r="123" spans="2:6" x14ac:dyDescent="0.2">
      <c r="C123" s="1" t="s">
        <v>243</v>
      </c>
      <c r="F123" s="1">
        <f>SUM(E121:E122)</f>
        <v>185</v>
      </c>
    </row>
    <row r="125" spans="2:6" x14ac:dyDescent="0.2">
      <c r="B125" s="1" t="s">
        <v>244</v>
      </c>
    </row>
    <row r="126" spans="2:6" x14ac:dyDescent="0.2">
      <c r="B126" s="1" t="s">
        <v>155</v>
      </c>
      <c r="E126" s="1">
        <f>+C74*E28</f>
        <v>410</v>
      </c>
    </row>
    <row r="127" spans="2:6" x14ac:dyDescent="0.2">
      <c r="C127" s="1" t="s">
        <v>156</v>
      </c>
      <c r="F127" s="1">
        <f>+E126</f>
        <v>410</v>
      </c>
    </row>
    <row r="128" spans="2:6" x14ac:dyDescent="0.2">
      <c r="B128" s="1" t="s">
        <v>245</v>
      </c>
    </row>
    <row r="132" spans="2:6" x14ac:dyDescent="0.2">
      <c r="B132" s="1" t="s">
        <v>204</v>
      </c>
    </row>
    <row r="133" spans="2:6" x14ac:dyDescent="0.2">
      <c r="B133" s="1" t="s">
        <v>205</v>
      </c>
      <c r="C133" s="10">
        <v>45658</v>
      </c>
      <c r="D133" s="1">
        <v>175</v>
      </c>
    </row>
    <row r="134" spans="2:6" x14ac:dyDescent="0.2">
      <c r="B134" s="1" t="s">
        <v>206</v>
      </c>
      <c r="C134" s="10">
        <v>44562</v>
      </c>
      <c r="D134" s="1">
        <v>200</v>
      </c>
    </row>
    <row r="135" spans="2:6" x14ac:dyDescent="0.2">
      <c r="B135" s="1" t="s">
        <v>207</v>
      </c>
      <c r="C135" s="1">
        <f>YEARFRAC(C134,C133)</f>
        <v>3</v>
      </c>
      <c r="D135" s="1">
        <f>+D134*C135/8</f>
        <v>75</v>
      </c>
    </row>
    <row r="136" spans="2:6" x14ac:dyDescent="0.2">
      <c r="B136" s="1" t="s">
        <v>208</v>
      </c>
      <c r="D136" s="1">
        <f>+D134-D135</f>
        <v>125</v>
      </c>
    </row>
    <row r="137" spans="2:6" x14ac:dyDescent="0.2">
      <c r="B137" s="1" t="s">
        <v>209</v>
      </c>
      <c r="D137" s="1">
        <f>+D133-D136</f>
        <v>50</v>
      </c>
    </row>
    <row r="138" spans="2:6" x14ac:dyDescent="0.2">
      <c r="B138" s="1" t="s">
        <v>246</v>
      </c>
      <c r="D138" s="1">
        <f>0.2*D137</f>
        <v>10</v>
      </c>
      <c r="E138" s="1" t="s">
        <v>247</v>
      </c>
    </row>
    <row r="141" spans="2:6" x14ac:dyDescent="0.2">
      <c r="B141" s="1" t="s">
        <v>248</v>
      </c>
      <c r="E141" s="1">
        <f>+F143-E142</f>
        <v>25</v>
      </c>
    </row>
    <row r="142" spans="2:6" x14ac:dyDescent="0.2">
      <c r="B142" s="1" t="s">
        <v>249</v>
      </c>
      <c r="E142" s="1">
        <f>+D137</f>
        <v>50</v>
      </c>
    </row>
    <row r="143" spans="2:6" x14ac:dyDescent="0.2">
      <c r="C143" s="1" t="s">
        <v>250</v>
      </c>
      <c r="F143" s="1">
        <f>+D135</f>
        <v>75</v>
      </c>
    </row>
    <row r="144" spans="2:6" x14ac:dyDescent="0.2">
      <c r="B144" s="1" t="s">
        <v>251</v>
      </c>
    </row>
    <row r="146" spans="2:6" x14ac:dyDescent="0.2">
      <c r="B146" s="1" t="s">
        <v>153</v>
      </c>
      <c r="E146" s="1">
        <f>+D138</f>
        <v>10</v>
      </c>
    </row>
    <row r="147" spans="2:6" x14ac:dyDescent="0.2">
      <c r="C147" s="1" t="s">
        <v>155</v>
      </c>
      <c r="F147" s="1">
        <f>+E146</f>
        <v>10</v>
      </c>
    </row>
    <row r="148" spans="2:6" x14ac:dyDescent="0.2">
      <c r="B148" s="1" t="s">
        <v>252</v>
      </c>
    </row>
    <row r="151" spans="2:6" x14ac:dyDescent="0.2">
      <c r="B151" s="1" t="s">
        <v>210</v>
      </c>
      <c r="D151" s="1">
        <f>+D133/5</f>
        <v>35</v>
      </c>
    </row>
    <row r="152" spans="2:6" x14ac:dyDescent="0.2">
      <c r="B152" s="1" t="s">
        <v>211</v>
      </c>
      <c r="D152" s="1">
        <f>+D134/8</f>
        <v>25</v>
      </c>
    </row>
    <row r="153" spans="2:6" x14ac:dyDescent="0.2">
      <c r="B153" s="1" t="s">
        <v>212</v>
      </c>
      <c r="D153" s="1">
        <f>+D151-D152</f>
        <v>10</v>
      </c>
    </row>
    <row r="155" spans="2:6" x14ac:dyDescent="0.2">
      <c r="B155" s="1" t="s">
        <v>254</v>
      </c>
      <c r="E155" s="1">
        <f>+D153</f>
        <v>10</v>
      </c>
    </row>
    <row r="156" spans="2:6" x14ac:dyDescent="0.2">
      <c r="C156" s="1" t="s">
        <v>253</v>
      </c>
      <c r="F156" s="1">
        <f>+E155</f>
        <v>10</v>
      </c>
    </row>
    <row r="157" spans="2:6" x14ac:dyDescent="0.2">
      <c r="B157" s="1" t="s">
        <v>255</v>
      </c>
    </row>
    <row r="160" spans="2:6" x14ac:dyDescent="0.2">
      <c r="D160" s="1" t="s">
        <v>188</v>
      </c>
    </row>
    <row r="161" spans="2:6" x14ac:dyDescent="0.2">
      <c r="B161" s="1" t="s">
        <v>213</v>
      </c>
      <c r="D161" s="1">
        <v>1400</v>
      </c>
    </row>
    <row r="162" spans="2:6" x14ac:dyDescent="0.2">
      <c r="B162" s="1" t="s">
        <v>81</v>
      </c>
      <c r="D162" s="2">
        <v>0.8</v>
      </c>
    </row>
    <row r="163" spans="2:6" x14ac:dyDescent="0.2">
      <c r="B163" s="1" t="s">
        <v>214</v>
      </c>
      <c r="D163" s="2">
        <v>0.2</v>
      </c>
    </row>
    <row r="165" spans="2:6" x14ac:dyDescent="0.2">
      <c r="B165" s="1" t="s">
        <v>228</v>
      </c>
      <c r="E165" s="1">
        <f>+D161*D162</f>
        <v>1120</v>
      </c>
    </row>
    <row r="166" spans="2:6" x14ac:dyDescent="0.2">
      <c r="B166" s="1" t="s">
        <v>153</v>
      </c>
      <c r="E166" s="1">
        <f>+D161*D163</f>
        <v>280</v>
      </c>
    </row>
    <row r="167" spans="2:6" x14ac:dyDescent="0.2">
      <c r="C167" s="1" t="s">
        <v>30</v>
      </c>
      <c r="F167" s="1">
        <f>+D161</f>
        <v>1400</v>
      </c>
    </row>
    <row r="168" spans="2:6" x14ac:dyDescent="0.2">
      <c r="B168" s="1" t="s">
        <v>256</v>
      </c>
    </row>
    <row r="170" spans="2:6" x14ac:dyDescent="0.2">
      <c r="B170" s="1" t="s">
        <v>257</v>
      </c>
      <c r="E170" s="1">
        <v>36</v>
      </c>
    </row>
    <row r="171" spans="2:6" x14ac:dyDescent="0.2">
      <c r="C171" s="1" t="s">
        <v>259</v>
      </c>
      <c r="F171" s="1">
        <f>+E170</f>
        <v>36</v>
      </c>
    </row>
    <row r="172" spans="2:6" x14ac:dyDescent="0.2">
      <c r="B172" s="1" t="s">
        <v>258</v>
      </c>
    </row>
    <row r="174" spans="2:6" x14ac:dyDescent="0.2">
      <c r="B174" s="1" t="s">
        <v>215</v>
      </c>
    </row>
    <row r="175" spans="2:6" x14ac:dyDescent="0.2">
      <c r="B175" s="1" t="s">
        <v>217</v>
      </c>
      <c r="E175" s="1">
        <v>5</v>
      </c>
    </row>
    <row r="176" spans="2:6" x14ac:dyDescent="0.2">
      <c r="B176" s="1" t="s">
        <v>218</v>
      </c>
      <c r="E176" s="1">
        <v>31</v>
      </c>
    </row>
    <row r="177" spans="2:6" x14ac:dyDescent="0.2">
      <c r="C177" s="1" t="s">
        <v>216</v>
      </c>
      <c r="F177" s="1">
        <v>36</v>
      </c>
    </row>
    <row r="178" spans="2:6" x14ac:dyDescent="0.2">
      <c r="B178" s="1" t="s">
        <v>219</v>
      </c>
    </row>
    <row r="181" spans="2:6" x14ac:dyDescent="0.2">
      <c r="B181" s="1" t="s">
        <v>220</v>
      </c>
      <c r="E181" s="12">
        <f>+F60</f>
        <v>450</v>
      </c>
      <c r="F181" s="1" t="s">
        <v>65</v>
      </c>
    </row>
    <row r="182" spans="2:6" x14ac:dyDescent="0.2">
      <c r="E182" s="12">
        <f>+E65</f>
        <v>240</v>
      </c>
      <c r="F182" s="1" t="s">
        <v>66</v>
      </c>
    </row>
    <row r="183" spans="2:6" x14ac:dyDescent="0.2">
      <c r="E183" s="1">
        <f>+E103</f>
        <v>28</v>
      </c>
      <c r="F183" s="1" t="s">
        <v>66</v>
      </c>
    </row>
    <row r="184" spans="2:6" x14ac:dyDescent="0.2">
      <c r="E184" s="1">
        <f>+E126</f>
        <v>410</v>
      </c>
      <c r="F184" s="1" t="s">
        <v>66</v>
      </c>
    </row>
    <row r="185" spans="2:6" x14ac:dyDescent="0.2">
      <c r="E185" s="1">
        <f>+E142</f>
        <v>50</v>
      </c>
      <c r="F185" s="1" t="s">
        <v>66</v>
      </c>
    </row>
    <row r="186" spans="2:6" x14ac:dyDescent="0.2">
      <c r="E186" s="1">
        <f>+F147</f>
        <v>10</v>
      </c>
      <c r="F186" s="1" t="s">
        <v>65</v>
      </c>
    </row>
    <row r="187" spans="2:6" x14ac:dyDescent="0.2">
      <c r="E187" s="1">
        <f>+F147</f>
        <v>10</v>
      </c>
      <c r="F187" s="1" t="s">
        <v>65</v>
      </c>
    </row>
    <row r="188" spans="2:6" x14ac:dyDescent="0.2">
      <c r="E188" s="1">
        <f>+E165</f>
        <v>1120</v>
      </c>
      <c r="F188" s="1" t="s">
        <v>66</v>
      </c>
    </row>
    <row r="189" spans="2:6" x14ac:dyDescent="0.2">
      <c r="E189" s="1">
        <f>+E170</f>
        <v>36</v>
      </c>
      <c r="F189" s="1" t="s">
        <v>66</v>
      </c>
    </row>
    <row r="190" spans="2:6" x14ac:dyDescent="0.2">
      <c r="E190" s="1">
        <f>+F171</f>
        <v>36</v>
      </c>
      <c r="F190" s="1" t="s">
        <v>65</v>
      </c>
    </row>
    <row r="191" spans="2:6" ht="12.75" thickBot="1" x14ac:dyDescent="0.25">
      <c r="E191" s="14">
        <f>-E181+E182+E183+E184+E185-E186-E187+E188+E189-E190</f>
        <v>1378</v>
      </c>
      <c r="F191" s="1" t="s">
        <v>173</v>
      </c>
    </row>
    <row r="192" spans="2:6" ht="12.75" thickTop="1" x14ac:dyDescent="0.2"/>
    <row r="193" spans="2:6" x14ac:dyDescent="0.2">
      <c r="B193" s="1" t="s">
        <v>242</v>
      </c>
      <c r="E193" s="12">
        <f>+E191</f>
        <v>1378</v>
      </c>
    </row>
    <row r="194" spans="2:6" x14ac:dyDescent="0.2">
      <c r="C194" s="1" t="s">
        <v>260</v>
      </c>
      <c r="F194" s="12">
        <f>+E193</f>
        <v>1378</v>
      </c>
    </row>
    <row r="195" spans="2:6" x14ac:dyDescent="0.2">
      <c r="B195" s="1" t="s">
        <v>69</v>
      </c>
    </row>
  </sheetData>
  <hyperlinks>
    <hyperlink ref="A1" location="Main!A1" display="Main" xr:uid="{B5E69F4A-6322-45E4-99F0-C1119D1B7DBA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358C-F4A9-4AAE-910F-7B2F80E8541D}">
  <dimension ref="A1:H104"/>
  <sheetViews>
    <sheetView zoomScale="220" zoomScaleNormal="220" workbookViewId="0"/>
  </sheetViews>
  <sheetFormatPr defaultRowHeight="12" x14ac:dyDescent="0.2"/>
  <cols>
    <col min="1" max="16384" width="9.140625" style="1"/>
  </cols>
  <sheetData>
    <row r="1" spans="1:8" ht="15" x14ac:dyDescent="0.25">
      <c r="A1" s="3" t="s">
        <v>12</v>
      </c>
    </row>
    <row r="2" spans="1:8" x14ac:dyDescent="0.2">
      <c r="B2" s="1" t="s">
        <v>275</v>
      </c>
    </row>
    <row r="3" spans="1:8" x14ac:dyDescent="0.2">
      <c r="B3" s="1" t="s">
        <v>136</v>
      </c>
      <c r="C3" s="10">
        <v>43312</v>
      </c>
      <c r="E3" s="1" t="s">
        <v>333</v>
      </c>
    </row>
    <row r="5" spans="1:8" x14ac:dyDescent="0.2">
      <c r="C5" s="1" t="s">
        <v>276</v>
      </c>
      <c r="D5" s="1" t="s">
        <v>277</v>
      </c>
      <c r="E5" s="1" t="s">
        <v>331</v>
      </c>
    </row>
    <row r="6" spans="1:8" x14ac:dyDescent="0.2">
      <c r="B6" s="1" t="s">
        <v>189</v>
      </c>
      <c r="C6" s="12">
        <v>52333</v>
      </c>
      <c r="D6" s="12">
        <v>6521</v>
      </c>
      <c r="E6" s="12">
        <v>52333</v>
      </c>
      <c r="H6" s="12">
        <f>+E6-F6+G6</f>
        <v>52333</v>
      </c>
    </row>
    <row r="7" spans="1:8" x14ac:dyDescent="0.2">
      <c r="B7" s="1" t="s">
        <v>96</v>
      </c>
      <c r="C7" s="12">
        <v>-32113</v>
      </c>
      <c r="D7" s="12">
        <v>-2400</v>
      </c>
      <c r="E7" s="12">
        <v>-32113</v>
      </c>
      <c r="H7" s="12">
        <f>+E7-F7+G7</f>
        <v>-32113</v>
      </c>
    </row>
    <row r="8" spans="1:8" x14ac:dyDescent="0.2">
      <c r="B8" s="1" t="s">
        <v>95</v>
      </c>
      <c r="C8" s="12">
        <f>SUM(C6:C7)</f>
        <v>20220</v>
      </c>
      <c r="D8" s="12">
        <f>SUM(D6:D7)</f>
        <v>4121</v>
      </c>
      <c r="E8" s="12">
        <f>SUM(E6:E7)</f>
        <v>20220</v>
      </c>
      <c r="H8" s="12">
        <f>SUM(H6:H7)</f>
        <v>20220</v>
      </c>
    </row>
    <row r="9" spans="1:8" x14ac:dyDescent="0.2">
      <c r="B9" s="1" t="s">
        <v>280</v>
      </c>
      <c r="C9" s="12">
        <v>1883</v>
      </c>
      <c r="D9" s="12">
        <v>0</v>
      </c>
      <c r="E9" s="12">
        <v>1883</v>
      </c>
      <c r="F9" s="1">
        <f>+E90</f>
        <v>75</v>
      </c>
      <c r="G9" s="1">
        <f>+F39</f>
        <v>25</v>
      </c>
      <c r="H9" s="12">
        <f>+E9-F9+G9</f>
        <v>1833</v>
      </c>
    </row>
    <row r="10" spans="1:8" x14ac:dyDescent="0.2">
      <c r="B10" s="1" t="s">
        <v>279</v>
      </c>
      <c r="C10" s="12">
        <v>-4076</v>
      </c>
      <c r="D10" s="12">
        <v>-575</v>
      </c>
      <c r="E10" s="12">
        <v>-4076</v>
      </c>
      <c r="H10" s="12">
        <f>+E10-F10+G10</f>
        <v>-4076</v>
      </c>
    </row>
    <row r="11" spans="1:8" x14ac:dyDescent="0.2">
      <c r="B11" s="1" t="s">
        <v>94</v>
      </c>
      <c r="C11" s="12">
        <v>-9725</v>
      </c>
      <c r="D11" s="12">
        <v>-1010</v>
      </c>
      <c r="E11" s="12">
        <v>-9725</v>
      </c>
      <c r="H11" s="12">
        <f>+E11-F11+G11</f>
        <v>-9725</v>
      </c>
    </row>
    <row r="12" spans="1:8" x14ac:dyDescent="0.2">
      <c r="B12" s="1" t="s">
        <v>73</v>
      </c>
      <c r="C12" s="12">
        <v>-2003</v>
      </c>
      <c r="D12" s="12">
        <v>-24</v>
      </c>
      <c r="E12" s="12">
        <v>-2003</v>
      </c>
      <c r="H12" s="12">
        <f>+E12-F12+G12</f>
        <v>-2003</v>
      </c>
    </row>
    <row r="13" spans="1:8" x14ac:dyDescent="0.2">
      <c r="B13" s="1" t="s">
        <v>332</v>
      </c>
      <c r="C13" s="12"/>
      <c r="D13" s="12"/>
      <c r="E13" s="12"/>
      <c r="F13" s="12">
        <f>+E102</f>
        <v>4.166666666666667</v>
      </c>
      <c r="G13" s="1">
        <f>+F75</f>
        <v>687</v>
      </c>
      <c r="H13" s="12">
        <f>+E13-F13+G13</f>
        <v>682.83333333333337</v>
      </c>
    </row>
    <row r="14" spans="1:8" x14ac:dyDescent="0.2">
      <c r="B14" s="1" t="s">
        <v>42</v>
      </c>
      <c r="C14" s="12">
        <f>SUM(C8:C12)</f>
        <v>6299</v>
      </c>
      <c r="D14" s="12">
        <f>SUM(D8:D12)</f>
        <v>2512</v>
      </c>
      <c r="E14" s="12">
        <f>SUM(E8:E12)</f>
        <v>6299</v>
      </c>
      <c r="H14" s="12">
        <f>SUM(H8:H13)</f>
        <v>6931.833333333333</v>
      </c>
    </row>
    <row r="15" spans="1:8" x14ac:dyDescent="0.2">
      <c r="B15" s="1" t="s">
        <v>278</v>
      </c>
      <c r="C15" s="12">
        <v>-1201</v>
      </c>
      <c r="D15" s="12">
        <v>-401</v>
      </c>
      <c r="E15" s="12">
        <v>-1201</v>
      </c>
      <c r="H15" s="12">
        <f>+E15-F15+G15</f>
        <v>-1201</v>
      </c>
    </row>
    <row r="16" spans="1:8" x14ac:dyDescent="0.2">
      <c r="B16" s="1" t="s">
        <v>40</v>
      </c>
      <c r="C16" s="12">
        <f>SUM(C14:C15)</f>
        <v>5098</v>
      </c>
      <c r="D16" s="12">
        <f>SUM(D14:D15)</f>
        <v>2111</v>
      </c>
      <c r="E16" s="12">
        <f>SUM(E14:E15)</f>
        <v>5098</v>
      </c>
      <c r="H16" s="12">
        <f>SUM(H14:H15)</f>
        <v>5730.833333333333</v>
      </c>
    </row>
    <row r="18" spans="2:5" x14ac:dyDescent="0.2">
      <c r="B18" s="1" t="s">
        <v>295</v>
      </c>
    </row>
    <row r="19" spans="2:5" x14ac:dyDescent="0.2">
      <c r="B19" s="1" t="s">
        <v>281</v>
      </c>
    </row>
    <row r="20" spans="2:5" x14ac:dyDescent="0.2">
      <c r="B20" s="1" t="s">
        <v>298</v>
      </c>
    </row>
    <row r="22" spans="2:5" x14ac:dyDescent="0.2">
      <c r="B22" s="1" t="s">
        <v>312</v>
      </c>
    </row>
    <row r="23" spans="2:5" x14ac:dyDescent="0.2">
      <c r="B23" s="1" t="s">
        <v>282</v>
      </c>
    </row>
    <row r="25" spans="2:5" x14ac:dyDescent="0.2">
      <c r="B25" s="1" t="s">
        <v>106</v>
      </c>
    </row>
    <row r="26" spans="2:5" x14ac:dyDescent="0.2">
      <c r="B26" s="1" t="s">
        <v>206</v>
      </c>
      <c r="D26" s="1">
        <v>300</v>
      </c>
    </row>
    <row r="27" spans="2:5" x14ac:dyDescent="0.2">
      <c r="B27" s="1" t="s">
        <v>283</v>
      </c>
      <c r="D27" s="1">
        <v>0</v>
      </c>
    </row>
    <row r="28" spans="2:5" x14ac:dyDescent="0.2">
      <c r="B28" s="1" t="s">
        <v>207</v>
      </c>
      <c r="D28" s="1">
        <v>225</v>
      </c>
    </row>
    <row r="29" spans="2:5" x14ac:dyDescent="0.2">
      <c r="B29" s="1" t="s">
        <v>208</v>
      </c>
      <c r="C29" s="10">
        <v>42948</v>
      </c>
      <c r="D29" s="1">
        <v>75</v>
      </c>
    </row>
    <row r="30" spans="2:5" x14ac:dyDescent="0.2">
      <c r="B30" s="1" t="s">
        <v>284</v>
      </c>
      <c r="C30" s="10">
        <v>42948</v>
      </c>
      <c r="D30" s="1">
        <v>100</v>
      </c>
    </row>
    <row r="31" spans="2:5" x14ac:dyDescent="0.2">
      <c r="B31" s="1" t="s">
        <v>290</v>
      </c>
      <c r="C31" s="10"/>
      <c r="D31" s="1">
        <f>+D30-D29</f>
        <v>25</v>
      </c>
    </row>
    <row r="32" spans="2:5" x14ac:dyDescent="0.2">
      <c r="B32" s="1" t="s">
        <v>285</v>
      </c>
      <c r="D32" s="1">
        <f>2*12</f>
        <v>24</v>
      </c>
      <c r="E32" s="1" t="s">
        <v>286</v>
      </c>
    </row>
    <row r="33" spans="2:7" x14ac:dyDescent="0.2">
      <c r="B33" s="1" t="s">
        <v>287</v>
      </c>
    </row>
    <row r="35" spans="2:7" x14ac:dyDescent="0.2">
      <c r="B35" s="1" t="s">
        <v>288</v>
      </c>
    </row>
    <row r="36" spans="2:7" x14ac:dyDescent="0.2">
      <c r="B36" s="1" t="s">
        <v>292</v>
      </c>
      <c r="E36" s="1">
        <v>100</v>
      </c>
    </row>
    <row r="37" spans="2:7" x14ac:dyDescent="0.2">
      <c r="B37" s="1" t="s">
        <v>291</v>
      </c>
      <c r="E37" s="1">
        <f>+D28</f>
        <v>225</v>
      </c>
    </row>
    <row r="38" spans="2:7" x14ac:dyDescent="0.2">
      <c r="C38" s="1" t="s">
        <v>289</v>
      </c>
      <c r="F38" s="1">
        <v>300</v>
      </c>
    </row>
    <row r="39" spans="2:7" x14ac:dyDescent="0.2">
      <c r="C39" s="1" t="s">
        <v>294</v>
      </c>
      <c r="F39" s="1">
        <f>+D31</f>
        <v>25</v>
      </c>
    </row>
    <row r="40" spans="2:7" x14ac:dyDescent="0.2">
      <c r="B40" s="1" t="s">
        <v>293</v>
      </c>
    </row>
    <row r="42" spans="2:7" x14ac:dyDescent="0.2">
      <c r="B42" s="1" t="s">
        <v>305</v>
      </c>
    </row>
    <row r="43" spans="2:7" x14ac:dyDescent="0.2">
      <c r="B43" s="1" t="s">
        <v>306</v>
      </c>
      <c r="E43" s="1">
        <v>100</v>
      </c>
    </row>
    <row r="44" spans="2:7" x14ac:dyDescent="0.2">
      <c r="C44" s="1" t="s">
        <v>307</v>
      </c>
      <c r="F44" s="1">
        <f>+E43</f>
        <v>100</v>
      </c>
    </row>
    <row r="45" spans="2:7" x14ac:dyDescent="0.2">
      <c r="B45" s="1" t="s">
        <v>308</v>
      </c>
    </row>
    <row r="46" spans="2:7" x14ac:dyDescent="0.2">
      <c r="B46" s="1" t="s">
        <v>309</v>
      </c>
      <c r="E46" s="1">
        <f>+E43/2</f>
        <v>50</v>
      </c>
      <c r="G46" s="1" t="str">
        <f ca="1">+_xlfn.FORMULATEXT(E46)</f>
        <v>=+E43/2</v>
      </c>
    </row>
    <row r="47" spans="2:7" x14ac:dyDescent="0.2">
      <c r="C47" s="1" t="s">
        <v>310</v>
      </c>
      <c r="F47" s="1">
        <f>+E46</f>
        <v>50</v>
      </c>
    </row>
    <row r="48" spans="2:7" x14ac:dyDescent="0.2">
      <c r="B48" s="1" t="s">
        <v>311</v>
      </c>
    </row>
    <row r="50" spans="2:4" x14ac:dyDescent="0.2">
      <c r="B50" s="1" t="s">
        <v>313</v>
      </c>
    </row>
    <row r="52" spans="2:4" x14ac:dyDescent="0.2">
      <c r="B52" s="1" t="s">
        <v>314</v>
      </c>
    </row>
    <row r="54" spans="2:4" x14ac:dyDescent="0.2">
      <c r="B54" s="1" t="s">
        <v>315</v>
      </c>
      <c r="D54" s="1">
        <f>+F44</f>
        <v>100</v>
      </c>
    </row>
    <row r="56" spans="2:4" x14ac:dyDescent="0.2">
      <c r="B56" s="1" t="s">
        <v>47</v>
      </c>
      <c r="C56" s="1">
        <v>300</v>
      </c>
    </row>
    <row r="57" spans="2:4" x14ac:dyDescent="0.2">
      <c r="B57" s="1" t="s">
        <v>46</v>
      </c>
      <c r="C57" s="1">
        <v>0</v>
      </c>
    </row>
    <row r="58" spans="2:4" x14ac:dyDescent="0.2">
      <c r="C58" s="1">
        <f>SUM(C56:C57)</f>
        <v>300</v>
      </c>
    </row>
    <row r="59" spans="2:4" x14ac:dyDescent="0.2">
      <c r="B59" s="1" t="s">
        <v>316</v>
      </c>
      <c r="C59" s="2">
        <f>1/3</f>
        <v>0.33333333333333331</v>
      </c>
      <c r="D59" s="1">
        <f>+C59*C58</f>
        <v>100</v>
      </c>
    </row>
    <row r="60" spans="2:4" ht="12.75" thickBot="1" x14ac:dyDescent="0.25">
      <c r="D60" s="5">
        <f>+D54-D59</f>
        <v>0</v>
      </c>
    </row>
    <row r="61" spans="2:4" ht="12.75" thickTop="1" x14ac:dyDescent="0.2">
      <c r="B61" s="1" t="s">
        <v>317</v>
      </c>
    </row>
    <row r="63" spans="2:4" x14ac:dyDescent="0.2">
      <c r="B63" s="1" t="s">
        <v>318</v>
      </c>
    </row>
    <row r="64" spans="2:4" x14ac:dyDescent="0.2">
      <c r="B64" s="1" t="s">
        <v>319</v>
      </c>
    </row>
    <row r="66" spans="2:6" x14ac:dyDescent="0.2">
      <c r="B66" s="1" t="s">
        <v>320</v>
      </c>
    </row>
    <row r="68" spans="2:6" x14ac:dyDescent="0.2">
      <c r="B68" s="1" t="s">
        <v>321</v>
      </c>
    </row>
    <row r="69" spans="2:6" x14ac:dyDescent="0.2">
      <c r="B69" s="1" t="s">
        <v>322</v>
      </c>
      <c r="E69" s="12">
        <f>+D16</f>
        <v>2111</v>
      </c>
    </row>
    <row r="70" spans="2:6" x14ac:dyDescent="0.2">
      <c r="B70" s="1" t="s">
        <v>323</v>
      </c>
      <c r="E70" s="1">
        <f>-E46</f>
        <v>-50</v>
      </c>
    </row>
    <row r="71" spans="2:6" x14ac:dyDescent="0.2">
      <c r="B71" s="1" t="s">
        <v>324</v>
      </c>
      <c r="E71" s="21">
        <f>SUM(E69:E70)</f>
        <v>2061</v>
      </c>
    </row>
    <row r="72" spans="2:6" ht="12.75" thickBot="1" x14ac:dyDescent="0.25">
      <c r="B72" s="1" t="s">
        <v>325</v>
      </c>
      <c r="D72" s="2">
        <f>+C59</f>
        <v>0.33333333333333331</v>
      </c>
      <c r="E72" s="5">
        <f>+E71*D72</f>
        <v>687</v>
      </c>
    </row>
    <row r="73" spans="2:6" ht="12.75" thickTop="1" x14ac:dyDescent="0.2"/>
    <row r="74" spans="2:6" x14ac:dyDescent="0.2">
      <c r="B74" s="1" t="s">
        <v>292</v>
      </c>
      <c r="E74" s="1">
        <f>+E72</f>
        <v>687</v>
      </c>
    </row>
    <row r="75" spans="2:6" x14ac:dyDescent="0.2">
      <c r="C75" s="1" t="s">
        <v>326</v>
      </c>
      <c r="F75" s="1">
        <f>+E74</f>
        <v>687</v>
      </c>
    </row>
    <row r="76" spans="2:6" x14ac:dyDescent="0.2">
      <c r="B76" s="1" t="s">
        <v>327</v>
      </c>
    </row>
    <row r="78" spans="2:6" x14ac:dyDescent="0.2">
      <c r="B78" s="1" t="s">
        <v>328</v>
      </c>
    </row>
    <row r="80" spans="2:6" x14ac:dyDescent="0.2">
      <c r="B80" s="1" t="s">
        <v>329</v>
      </c>
    </row>
    <row r="82" spans="2:6" s="19" customFormat="1" x14ac:dyDescent="0.2">
      <c r="B82" s="19" t="s">
        <v>296</v>
      </c>
      <c r="D82" s="19" t="s">
        <v>297</v>
      </c>
    </row>
    <row r="83" spans="2:6" s="19" customFormat="1" x14ac:dyDescent="0.2">
      <c r="B83" s="19" t="s">
        <v>66</v>
      </c>
      <c r="C83" s="19" t="s">
        <v>65</v>
      </c>
      <c r="D83" s="19" t="s">
        <v>66</v>
      </c>
      <c r="E83" s="19" t="s">
        <v>65</v>
      </c>
    </row>
    <row r="84" spans="2:6" s="19" customFormat="1" x14ac:dyDescent="0.2">
      <c r="B84" s="19">
        <v>75</v>
      </c>
      <c r="E84" s="19">
        <v>75</v>
      </c>
    </row>
    <row r="85" spans="2:6" s="19" customFormat="1" x14ac:dyDescent="0.2"/>
    <row r="86" spans="2:6" s="19" customFormat="1" x14ac:dyDescent="0.2"/>
    <row r="87" spans="2:6" s="19" customFormat="1" x14ac:dyDescent="0.2">
      <c r="B87" s="19" t="s">
        <v>168</v>
      </c>
      <c r="C87" s="19">
        <v>0.75</v>
      </c>
      <c r="D87" s="19">
        <v>300</v>
      </c>
      <c r="E87" s="19">
        <f>+C87*D87</f>
        <v>225</v>
      </c>
    </row>
    <row r="88" spans="2:6" s="19" customFormat="1" x14ac:dyDescent="0.2">
      <c r="B88" s="19" t="s">
        <v>178</v>
      </c>
      <c r="D88" s="19">
        <f>1/3</f>
        <v>0.33333333333333331</v>
      </c>
      <c r="E88" s="19">
        <f>+E87*D88</f>
        <v>75</v>
      </c>
    </row>
    <row r="89" spans="2:6" s="19" customFormat="1" x14ac:dyDescent="0.2"/>
    <row r="90" spans="2:6" s="19" customFormat="1" x14ac:dyDescent="0.2">
      <c r="B90" s="19" t="s">
        <v>302</v>
      </c>
      <c r="E90" s="19">
        <f>+E88</f>
        <v>75</v>
      </c>
    </row>
    <row r="91" spans="2:6" s="19" customFormat="1" x14ac:dyDescent="0.2">
      <c r="C91" s="19" t="s">
        <v>303</v>
      </c>
      <c r="F91" s="19">
        <f>+E88</f>
        <v>75</v>
      </c>
    </row>
    <row r="92" spans="2:6" s="19" customFormat="1" x14ac:dyDescent="0.2">
      <c r="B92" s="19" t="s">
        <v>230</v>
      </c>
    </row>
    <row r="94" spans="2:6" x14ac:dyDescent="0.2">
      <c r="B94" s="1" t="s">
        <v>330</v>
      </c>
    </row>
    <row r="96" spans="2:6" x14ac:dyDescent="0.2">
      <c r="B96" s="1" t="s">
        <v>299</v>
      </c>
      <c r="C96" s="1">
        <v>250</v>
      </c>
      <c r="D96" s="1">
        <v>100</v>
      </c>
    </row>
    <row r="97" spans="2:7" x14ac:dyDescent="0.2">
      <c r="B97" s="1" t="s">
        <v>96</v>
      </c>
      <c r="C97" s="1">
        <f>+C96*D97/D96</f>
        <v>200</v>
      </c>
      <c r="D97" s="1">
        <v>80</v>
      </c>
    </row>
    <row r="98" spans="2:7" x14ac:dyDescent="0.2">
      <c r="B98" s="1" t="s">
        <v>95</v>
      </c>
      <c r="C98" s="1">
        <f>+C96-C97</f>
        <v>50</v>
      </c>
    </row>
    <row r="99" spans="2:7" x14ac:dyDescent="0.2">
      <c r="B99" s="1" t="s">
        <v>169</v>
      </c>
      <c r="C99" s="1">
        <f>0.25*C98</f>
        <v>12.5</v>
      </c>
    </row>
    <row r="100" spans="2:7" x14ac:dyDescent="0.2">
      <c r="B100" s="1" t="s">
        <v>300</v>
      </c>
      <c r="C100" s="12">
        <f>+C99/3</f>
        <v>4.166666666666667</v>
      </c>
      <c r="D100" s="12"/>
      <c r="E100" s="12"/>
      <c r="F100" s="12"/>
      <c r="G100" s="12"/>
    </row>
    <row r="101" spans="2:7" x14ac:dyDescent="0.2">
      <c r="C101" s="12"/>
      <c r="D101" s="12"/>
      <c r="E101" s="12"/>
      <c r="F101" s="12"/>
      <c r="G101" s="12"/>
    </row>
    <row r="102" spans="2:7" x14ac:dyDescent="0.2">
      <c r="B102" s="1" t="s">
        <v>304</v>
      </c>
      <c r="C102" s="12"/>
      <c r="D102" s="12"/>
      <c r="E102" s="12">
        <f>+C100</f>
        <v>4.166666666666667</v>
      </c>
      <c r="F102" s="12"/>
      <c r="G102" s="12"/>
    </row>
    <row r="103" spans="2:7" x14ac:dyDescent="0.2">
      <c r="C103" s="12" t="s">
        <v>111</v>
      </c>
      <c r="D103" s="12"/>
      <c r="E103" s="12"/>
      <c r="F103" s="12">
        <f>+E102</f>
        <v>4.166666666666667</v>
      </c>
      <c r="G103" s="12"/>
    </row>
    <row r="104" spans="2:7" x14ac:dyDescent="0.2">
      <c r="B104" s="1" t="s">
        <v>301</v>
      </c>
      <c r="C104" s="12"/>
      <c r="D104" s="12"/>
      <c r="E104" s="12"/>
      <c r="F104" s="12"/>
      <c r="G104" s="12"/>
    </row>
  </sheetData>
  <hyperlinks>
    <hyperlink ref="A1" location="Main!A1" display="Main" xr:uid="{70F5B70F-8395-45DB-8583-18BFFD535B2C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619-DB7D-4346-9964-45802D805B9C}">
  <dimension ref="A1:B14"/>
  <sheetViews>
    <sheetView zoomScale="205" zoomScaleNormal="205" workbookViewId="0"/>
  </sheetViews>
  <sheetFormatPr defaultRowHeight="12" x14ac:dyDescent="0.2"/>
  <cols>
    <col min="1" max="1" width="9.140625" style="1"/>
    <col min="2" max="2" width="66.140625" style="1" customWidth="1"/>
    <col min="3" max="16384" width="9.140625" style="1"/>
  </cols>
  <sheetData>
    <row r="1" spans="1:2" ht="15" x14ac:dyDescent="0.25">
      <c r="A1" s="3" t="s">
        <v>12</v>
      </c>
    </row>
    <row r="2" spans="1:2" x14ac:dyDescent="0.2">
      <c r="B2" s="1" t="s">
        <v>268</v>
      </c>
    </row>
    <row r="6" spans="1:2" x14ac:dyDescent="0.2">
      <c r="B6" s="1" t="s">
        <v>265</v>
      </c>
    </row>
    <row r="7" spans="1:2" x14ac:dyDescent="0.2">
      <c r="B7" s="1" t="s">
        <v>266</v>
      </c>
    </row>
    <row r="8" spans="1:2" x14ac:dyDescent="0.2">
      <c r="B8" s="1" t="s">
        <v>267</v>
      </c>
    </row>
    <row r="11" spans="1:2" s="20" customFormat="1" ht="24" x14ac:dyDescent="0.25">
      <c r="B11" s="20" t="s">
        <v>269</v>
      </c>
    </row>
    <row r="12" spans="1:2" s="20" customFormat="1" ht="36" x14ac:dyDescent="0.25">
      <c r="B12" s="20" t="s">
        <v>270</v>
      </c>
    </row>
    <row r="13" spans="1:2" s="20" customFormat="1" ht="36" x14ac:dyDescent="0.25">
      <c r="B13" s="20" t="s">
        <v>271</v>
      </c>
    </row>
    <row r="14" spans="1:2" s="20" customFormat="1" ht="36" x14ac:dyDescent="0.25">
      <c r="B14" s="20" t="s">
        <v>272</v>
      </c>
    </row>
  </sheetData>
  <hyperlinks>
    <hyperlink ref="A1" location="Main!A1" display="Main" xr:uid="{207B0207-3A33-465F-B4CA-A634518B03D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31</vt:lpstr>
      <vt:lpstr>WSE31.1</vt:lpstr>
      <vt:lpstr>WSE31.2</vt:lpstr>
      <vt:lpstr>WSE31.3</vt:lpstr>
      <vt:lpstr>WSE31.4</vt:lpstr>
      <vt:lpstr>WSE31.5</vt:lpstr>
      <vt:lpstr>WSE31.6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2023-05-16T12:31:07Z</dcterms:created>
  <dcterms:modified xsi:type="dcterms:W3CDTF">2023-05-23T07:57:00Z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2023-05-16T12:31:08Z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58412516-9b3a-479e-a044-b622e541f9de</vt:lpwstr>
  </property>
  <property fmtid="{D5CDD505-2E9C-101B-9397-08002B2CF9AE}" pid="8" name="MSIP_Label_ea60d57e-af5b-4752-ac57-3e4f28ca11dc_ContentBits">
    <vt:lpwstr>0</vt:lpwstr>
  </property>
</Properties>
</file>