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kdeloitte-my.sharepoint.com/personal/bcornish_deloitte_co_uk/Documents/ICAS/TPS/FINREP/FINREP Class Notes/"/>
    </mc:Choice>
  </mc:AlternateContent>
  <xr:revisionPtr revIDLastSave="1243" documentId="8_{B0DE0B39-F5BB-46C5-A1AA-788F41D97B8D}" xr6:coauthVersionLast="47" xr6:coauthVersionMax="47" xr10:uidLastSave="{0DD78F0E-3CE3-430B-97FE-F152A56F5180}"/>
  <bookViews>
    <workbookView xWindow="-3345" yWindow="-15990" windowWidth="16200" windowHeight="11385" activeTab="3" xr2:uid="{0F951E5A-877D-4991-AFD6-0E94159FF125}"/>
  </bookViews>
  <sheets>
    <sheet name="Main" sheetId="1" r:id="rId1"/>
    <sheet name="Module 10" sheetId="2" r:id="rId2"/>
    <sheet name="WSE10.1" sheetId="3" r:id="rId3"/>
    <sheet name="WSE10.2" sheetId="7" r:id="rId4"/>
    <sheet name="WSE10.4" sheetId="4" r:id="rId5"/>
    <sheet name="WSE10.5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7" l="1"/>
  <c r="F88" i="5"/>
  <c r="F87" i="5"/>
  <c r="F86" i="5"/>
  <c r="F85" i="5"/>
  <c r="E84" i="5"/>
  <c r="C80" i="5"/>
  <c r="C82" i="5" s="1"/>
  <c r="E77" i="5"/>
  <c r="D81" i="5" s="1"/>
  <c r="D74" i="5"/>
  <c r="E74" i="5"/>
  <c r="C74" i="5"/>
  <c r="C95" i="5"/>
  <c r="F53" i="5"/>
  <c r="F55" i="5" s="1"/>
  <c r="F59" i="5" s="1"/>
  <c r="E24" i="5"/>
  <c r="E27" i="5" s="1"/>
  <c r="E20" i="5"/>
  <c r="E12" i="5"/>
  <c r="E13" i="5"/>
  <c r="E14" i="5"/>
  <c r="E11" i="5"/>
  <c r="C99" i="5"/>
  <c r="C98" i="5"/>
  <c r="C102" i="5" s="1"/>
  <c r="D42" i="5"/>
  <c r="E42" i="5"/>
  <c r="F42" i="5"/>
  <c r="C42" i="5"/>
  <c r="D38" i="5"/>
  <c r="E38" i="5"/>
  <c r="F38" i="5"/>
  <c r="C38" i="5"/>
  <c r="B38" i="5"/>
  <c r="B36" i="5"/>
  <c r="B42" i="5" s="1"/>
  <c r="D33" i="5"/>
  <c r="E33" i="5"/>
  <c r="F33" i="5"/>
  <c r="C33" i="5"/>
  <c r="C22" i="3"/>
  <c r="C16" i="3"/>
  <c r="C19" i="3"/>
  <c r="C11" i="3"/>
  <c r="C13" i="3" s="1"/>
  <c r="C20" i="3" s="1"/>
  <c r="C10" i="3"/>
  <c r="C9" i="3"/>
  <c r="C52" i="7"/>
  <c r="D52" i="7"/>
  <c r="C48" i="7"/>
  <c r="C41" i="7"/>
  <c r="C13" i="7"/>
  <c r="C15" i="7" s="1"/>
  <c r="F8" i="7"/>
  <c r="G8" i="7"/>
  <c r="F9" i="7"/>
  <c r="G9" i="7"/>
  <c r="F10" i="7"/>
  <c r="G10" i="7"/>
  <c r="G7" i="7"/>
  <c r="F7" i="7"/>
  <c r="D31" i="7"/>
  <c r="C51" i="7" s="1"/>
  <c r="C31" i="7"/>
  <c r="D29" i="7"/>
  <c r="D30" i="4"/>
  <c r="C20" i="4"/>
  <c r="D55" i="4"/>
  <c r="D56" i="4" s="1"/>
  <c r="E63" i="4" s="1"/>
  <c r="F64" i="4" s="1"/>
  <c r="D20" i="4"/>
  <c r="E11" i="4"/>
  <c r="D59" i="4" s="1"/>
  <c r="E10" i="4"/>
  <c r="D45" i="4"/>
  <c r="D19" i="4" s="1"/>
  <c r="C45" i="4"/>
  <c r="C19" i="4" s="1"/>
  <c r="D39" i="4"/>
  <c r="C39" i="4"/>
  <c r="D12" i="4"/>
  <c r="D17" i="4" s="1"/>
  <c r="C12" i="4"/>
  <c r="C17" i="4" s="1"/>
  <c r="D95" i="2"/>
  <c r="D96" i="2" s="1"/>
  <c r="E126" i="2"/>
  <c r="E123" i="2"/>
  <c r="E124" i="2" s="1"/>
  <c r="E127" i="2" s="1"/>
  <c r="D123" i="2"/>
  <c r="D124" i="2" s="1"/>
  <c r="C123" i="2"/>
  <c r="C124" i="2" s="1"/>
  <c r="D83" i="2"/>
  <c r="C101" i="2"/>
  <c r="D58" i="2"/>
  <c r="C58" i="2"/>
  <c r="D56" i="2"/>
  <c r="D48" i="2"/>
  <c r="D54" i="2" s="1"/>
  <c r="D49" i="2"/>
  <c r="D55" i="2" s="1"/>
  <c r="D47" i="2"/>
  <c r="D53" i="2" s="1"/>
  <c r="C47" i="2"/>
  <c r="C53" i="2" s="1"/>
  <c r="C49" i="2"/>
  <c r="C55" i="2" s="1"/>
  <c r="C50" i="2"/>
  <c r="C56" i="2" s="1"/>
  <c r="C48" i="2"/>
  <c r="C54" i="2" s="1"/>
  <c r="D37" i="2"/>
  <c r="E78" i="2" s="1"/>
  <c r="F86" i="2" s="1"/>
  <c r="C37" i="2"/>
  <c r="C66" i="2" s="1"/>
  <c r="F72" i="2" s="1"/>
  <c r="D35" i="2"/>
  <c r="D82" i="2" s="1"/>
  <c r="C35" i="2"/>
  <c r="D32" i="2"/>
  <c r="C32" i="2"/>
  <c r="D11" i="2"/>
  <c r="C7" i="2"/>
  <c r="D7" i="2" s="1"/>
  <c r="D8" i="2" s="1"/>
  <c r="D12" i="2" s="1"/>
  <c r="E14" i="2" s="1"/>
  <c r="F15" i="2" s="1"/>
  <c r="D80" i="5" l="1"/>
  <c r="D82" i="5" s="1"/>
  <c r="E15" i="5"/>
  <c r="B120" i="5" s="1" a="1"/>
  <c r="B120" i="5" s="1"/>
  <c r="E41" i="5"/>
  <c r="D41" i="5"/>
  <c r="C103" i="5"/>
  <c r="C107" i="5" s="1"/>
  <c r="F46" i="5" s="1"/>
  <c r="E64" i="5" s="1"/>
  <c r="F65" i="5" s="1"/>
  <c r="C41" i="5"/>
  <c r="F41" i="5"/>
  <c r="C111" i="5" s="1"/>
  <c r="C113" i="5" s="1"/>
  <c r="C23" i="3"/>
  <c r="E25" i="3" s="1"/>
  <c r="F26" i="3" s="1"/>
  <c r="E52" i="7"/>
  <c r="C43" i="7"/>
  <c r="D48" i="7" s="1"/>
  <c r="E48" i="7" s="1"/>
  <c r="F11" i="7"/>
  <c r="C20" i="7" s="1"/>
  <c r="G11" i="7"/>
  <c r="D20" i="7" s="1"/>
  <c r="D32" i="7"/>
  <c r="C32" i="7"/>
  <c r="C21" i="4"/>
  <c r="C25" i="4" s="1"/>
  <c r="D60" i="4"/>
  <c r="E12" i="4"/>
  <c r="E129" i="2"/>
  <c r="E131" i="2" s="1"/>
  <c r="D57" i="2"/>
  <c r="D100" i="2" s="1"/>
  <c r="D101" i="2" s="1"/>
  <c r="C57" i="2"/>
  <c r="C100" i="2" s="1"/>
  <c r="C98" i="2"/>
  <c r="C102" i="2" s="1"/>
  <c r="C65" i="2" s="1"/>
  <c r="D98" i="2"/>
  <c r="F54" i="5" l="1"/>
  <c r="E115" i="5"/>
  <c r="F116" i="5" s="1"/>
  <c r="F45" i="5"/>
  <c r="F47" i="5" s="1"/>
  <c r="F58" i="5" s="1"/>
  <c r="F60" i="5" s="1"/>
  <c r="C21" i="3"/>
  <c r="C18" i="7"/>
  <c r="C21" i="7" s="1"/>
  <c r="C35" i="7" s="1"/>
  <c r="C44" i="7" s="1"/>
  <c r="D47" i="7" s="1"/>
  <c r="D49" i="7" s="1"/>
  <c r="C47" i="7"/>
  <c r="D18" i="7"/>
  <c r="D21" i="7" s="1"/>
  <c r="D51" i="7" s="1"/>
  <c r="D53" i="7" s="1"/>
  <c r="E28" i="4"/>
  <c r="F35" i="4" s="1"/>
  <c r="E29" i="4"/>
  <c r="F36" i="4" s="1"/>
  <c r="E27" i="4"/>
  <c r="F34" i="4" s="1"/>
  <c r="E33" i="4"/>
  <c r="D102" i="2"/>
  <c r="E105" i="2" s="1"/>
  <c r="E107" i="2" s="1"/>
  <c r="C67" i="2"/>
  <c r="E71" i="2"/>
  <c r="F73" i="2" s="1"/>
  <c r="C53" i="7" l="1"/>
  <c r="E51" i="7"/>
  <c r="E53" i="7" s="1"/>
  <c r="C36" i="7"/>
  <c r="E47" i="7"/>
  <c r="E49" i="7" s="1"/>
  <c r="C49" i="7"/>
  <c r="C37" i="7"/>
  <c r="C40" i="7" s="1"/>
  <c r="C42" i="7" s="1"/>
  <c r="E30" i="4"/>
  <c r="E77" i="2"/>
  <c r="E85" i="2" s="1"/>
  <c r="E111" i="2"/>
  <c r="F114" i="2" s="1"/>
  <c r="E79" i="2" l="1"/>
  <c r="E81" i="2" s="1"/>
  <c r="E83" i="2" l="1"/>
  <c r="E82" i="2"/>
  <c r="F87" i="2" s="1"/>
  <c r="F88" i="2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<sst xmlns="http://schemas.openxmlformats.org/spreadsheetml/2006/main" count="292" uniqueCount="197">
  <si>
    <t>Main</t>
  </si>
  <si>
    <t>Module 10</t>
  </si>
  <si>
    <t>Non current assets: Impairment</t>
  </si>
  <si>
    <t>Example 1: impairment loss</t>
  </si>
  <si>
    <t>cost</t>
  </si>
  <si>
    <t>AD</t>
  </si>
  <si>
    <t>NBV</t>
  </si>
  <si>
    <t>FVLCOD</t>
  </si>
  <si>
    <t>VIU</t>
  </si>
  <si>
    <t>Impairment loss</t>
  </si>
  <si>
    <t>higher of FVLCOD and VIU</t>
  </si>
  <si>
    <t>dr - SPL impairment loss</t>
  </si>
  <si>
    <t>cr - PPE</t>
  </si>
  <si>
    <t>Do an impairment review at the end of each period</t>
  </si>
  <si>
    <t>generally at the end of the year</t>
  </si>
  <si>
    <t>Example 2</t>
  </si>
  <si>
    <t>now assume FVLCOD</t>
  </si>
  <si>
    <t>there is no impairment as the FVLCOD is lower than the carrying amount</t>
  </si>
  <si>
    <t>calc FVLCOD first</t>
  </si>
  <si>
    <t>calc all impairment losses</t>
  </si>
  <si>
    <t>Jackson Ltd</t>
  </si>
  <si>
    <t>Oil</t>
  </si>
  <si>
    <t>Coal</t>
  </si>
  <si>
    <t>PPE</t>
  </si>
  <si>
    <t>IA</t>
  </si>
  <si>
    <t>Allocated NCA</t>
  </si>
  <si>
    <t>Head office</t>
  </si>
  <si>
    <t>Gw</t>
  </si>
  <si>
    <t>Pre-tax cash flows</t>
  </si>
  <si>
    <t>DR</t>
  </si>
  <si>
    <t>Discounted CF</t>
  </si>
  <si>
    <t>CA</t>
  </si>
  <si>
    <t>VU</t>
  </si>
  <si>
    <t>higher of FVLCOD and VU</t>
  </si>
  <si>
    <t>impairment loss</t>
  </si>
  <si>
    <t>now the journals</t>
  </si>
  <si>
    <t>first - allocate to goodwill</t>
  </si>
  <si>
    <t>allocation to goodwill</t>
  </si>
  <si>
    <t>allocate across the remaining assets within PPE</t>
  </si>
  <si>
    <t>cr - Goodwill</t>
  </si>
  <si>
    <t>cr - PP AD</t>
  </si>
  <si>
    <t>being recoginition of impairment loss</t>
  </si>
  <si>
    <t>allocation to GW</t>
  </si>
  <si>
    <t>remaining impairment loss</t>
  </si>
  <si>
    <t>cr - GW</t>
  </si>
  <si>
    <t>cr - AD</t>
  </si>
  <si>
    <t>cr - IA acc amortisation</t>
  </si>
  <si>
    <t>being recognition of imperiment loss</t>
  </si>
  <si>
    <t>being recognition of impairment loss</t>
  </si>
  <si>
    <t xml:space="preserve">assume Coal has a FVLCOD </t>
  </si>
  <si>
    <t>dr - SPL  - impairment loss</t>
  </si>
  <si>
    <t>Cr - PPE AD</t>
  </si>
  <si>
    <t>cr - IA Acc amor</t>
  </si>
  <si>
    <t>Activity 4</t>
  </si>
  <si>
    <t>A</t>
  </si>
  <si>
    <t>B</t>
  </si>
  <si>
    <t>C</t>
  </si>
  <si>
    <t>Carrying amount of cash-generating units</t>
  </si>
  <si>
    <t>Impairment of cash-generating units</t>
  </si>
  <si>
    <t>Goodwill</t>
  </si>
  <si>
    <t>Carrying amount prior to impairment of goodwill</t>
  </si>
  <si>
    <t>Recoverable amount of cash-generating units</t>
  </si>
  <si>
    <t>Impairment of goodwill</t>
  </si>
  <si>
    <t>The IA was valued at 1,200 and the FVLCOD is 1,100 therefore we can only impair the IA by £100k.  Not more.  The rest goes to PPE AD.</t>
  </si>
  <si>
    <t>IA above</t>
  </si>
  <si>
    <t>max IA impairment recognisable</t>
  </si>
  <si>
    <t>Meseeks Ltd</t>
  </si>
  <si>
    <t>End of year</t>
  </si>
  <si>
    <t>Academy</t>
  </si>
  <si>
    <t>Range</t>
  </si>
  <si>
    <t>CF</t>
  </si>
  <si>
    <t>Do not have goodwill so will have to go against PPE</t>
  </si>
  <si>
    <t>PPE %</t>
  </si>
  <si>
    <t>cr - IA acc amor</t>
  </si>
  <si>
    <t>Proceeds</t>
  </si>
  <si>
    <t>LCOD</t>
  </si>
  <si>
    <t>FVLCOD for all license</t>
  </si>
  <si>
    <t xml:space="preserve">restrict write off ot </t>
  </si>
  <si>
    <t>dr - Impairment loss</t>
  </si>
  <si>
    <t>being recognition of IA impairment</t>
  </si>
  <si>
    <t>Properties</t>
  </si>
  <si>
    <t>F&amp;F</t>
  </si>
  <si>
    <t>other NCA</t>
  </si>
  <si>
    <t>cr - Properties</t>
  </si>
  <si>
    <t>cr - F&amp;F</t>
  </si>
  <si>
    <t>cr - other NCA</t>
  </si>
  <si>
    <t>being impairment of the training academy</t>
  </si>
  <si>
    <t>As none of the assets generate cash flows independantly from the rest of the assets in the division, the training academy and driving range should each be treated as cash- generating units when determining whether assets should be impaired,</t>
  </si>
  <si>
    <t>Driving range</t>
  </si>
  <si>
    <t>carrying amount is less than FVLCOD therefore no impairment or reversal is recognised</t>
  </si>
  <si>
    <t>^^^^get marks for commenting on item which do no change</t>
  </si>
  <si>
    <t>Grey plc</t>
  </si>
  <si>
    <t>PV table</t>
  </si>
  <si>
    <t>year</t>
  </si>
  <si>
    <t>DR = 14%</t>
  </si>
  <si>
    <t>Pharma</t>
  </si>
  <si>
    <t>Chem</t>
  </si>
  <si>
    <t>CGU</t>
  </si>
  <si>
    <t>GW</t>
  </si>
  <si>
    <t>Other IA</t>
  </si>
  <si>
    <t>allocated NCA</t>
  </si>
  <si>
    <t>central NCA</t>
  </si>
  <si>
    <t>R2</t>
  </si>
  <si>
    <t>Pro-rating of impairment</t>
  </si>
  <si>
    <t>impairment</t>
  </si>
  <si>
    <t>impairment of intangible asset</t>
  </si>
  <si>
    <t>pro-rate</t>
  </si>
  <si>
    <t>restricted</t>
  </si>
  <si>
    <t>remainder charged to tangible</t>
  </si>
  <si>
    <t>Allocation</t>
  </si>
  <si>
    <t>NBV after impairment</t>
  </si>
  <si>
    <t>before impairment</t>
  </si>
  <si>
    <t>Chemical</t>
  </si>
  <si>
    <t>WSE10.2</t>
  </si>
  <si>
    <t>WSE10.4</t>
  </si>
  <si>
    <t>Zeltec</t>
  </si>
  <si>
    <t>YE</t>
  </si>
  <si>
    <t>31/6/21</t>
  </si>
  <si>
    <t>Land</t>
  </si>
  <si>
    <t>pa</t>
  </si>
  <si>
    <t>terminal CF</t>
  </si>
  <si>
    <t>FV</t>
  </si>
  <si>
    <t>COD</t>
  </si>
  <si>
    <t>NPV</t>
  </si>
  <si>
    <t>dr - SPL admin - impairment loss</t>
  </si>
  <si>
    <t>cr - PPE Land</t>
  </si>
  <si>
    <t>being recognition of impariment on land as revalued in line with higher of FVLCOD and VU</t>
  </si>
  <si>
    <t>need to double check wording around PV numbers</t>
  </si>
  <si>
    <t>NPV on non-depreciating asset is as at year one.  As no depreciation, no impact to the probable future cash flows.</t>
  </si>
  <si>
    <t>Prints for you</t>
  </si>
  <si>
    <t>calc impairment as as 31/1/2025</t>
  </si>
  <si>
    <t>prepare journals to account for the impariment</t>
  </si>
  <si>
    <t>£</t>
  </si>
  <si>
    <t>Franchise</t>
  </si>
  <si>
    <t>leasehold</t>
  </si>
  <si>
    <t>P&amp;M</t>
  </si>
  <si>
    <t>Cost</t>
  </si>
  <si>
    <t>additions</t>
  </si>
  <si>
    <t>AAD</t>
  </si>
  <si>
    <t>charge for the year</t>
  </si>
  <si>
    <t>non-transferable asset so PPE</t>
  </si>
  <si>
    <t>commenced</t>
  </si>
  <si>
    <t>term</t>
  </si>
  <si>
    <t>months</t>
  </si>
  <si>
    <t>Building lease</t>
  </si>
  <si>
    <t>decision to write off the building over the remaingin leaase term reporesents a change in estimate</t>
  </si>
  <si>
    <t>building will be written down to nil over th enext 60 periods</t>
  </si>
  <si>
    <t>FVLCOD of the building with all F&amp;F</t>
  </si>
  <si>
    <t>dr - SPL admin expense - impairment loss</t>
  </si>
  <si>
    <t>cr - AAD</t>
  </si>
  <si>
    <t>being impairment loss on revalutation of P&amp;M</t>
  </si>
  <si>
    <t>business plan cashflows</t>
  </si>
  <si>
    <t>VU of the whole business</t>
  </si>
  <si>
    <t>value in use of the whole business is in excess of carrying cost for the full business.</t>
  </si>
  <si>
    <t>as such, does not need to be considered furthere</t>
  </si>
  <si>
    <t>Carrying amount</t>
  </si>
  <si>
    <t>Draft balance sheet</t>
  </si>
  <si>
    <t>E+L</t>
  </si>
  <si>
    <t>total L</t>
  </si>
  <si>
    <t>Total equity</t>
  </si>
  <si>
    <t>RE</t>
  </si>
  <si>
    <t>SC</t>
  </si>
  <si>
    <t>Total assets</t>
  </si>
  <si>
    <t>current assets</t>
  </si>
  <si>
    <t>NCA</t>
  </si>
  <si>
    <t>carrying amount prior to depreciatoin of leasehold building</t>
  </si>
  <si>
    <t>Depreciation charge on leasehold building</t>
  </si>
  <si>
    <t>remaining usefeul life</t>
  </si>
  <si>
    <t>carrying amount</t>
  </si>
  <si>
    <t>FVLCOD - Leasehold property, F&amp;F</t>
  </si>
  <si>
    <t>Franchise (non-transferable therefore no FVLCOD)</t>
  </si>
  <si>
    <t>Impairment</t>
  </si>
  <si>
    <t>Recoverable amount</t>
  </si>
  <si>
    <t>Higher of FVLCOD and VU</t>
  </si>
  <si>
    <t>manual check here</t>
  </si>
  <si>
    <t>first we need to depreciate the leasehold building down to its carrying amount of 288k</t>
  </si>
  <si>
    <t>Dr - SPL - depreciation charge</t>
  </si>
  <si>
    <t>cr - Leasehold building AD</t>
  </si>
  <si>
    <t>being depreciation of leasehold building</t>
  </si>
  <si>
    <t>As the impairment loss of £83k is based on FVLCOD, the allocation is carried out based on this.</t>
  </si>
  <si>
    <t>Allocation of impairment</t>
  </si>
  <si>
    <t>franchise</t>
  </si>
  <si>
    <t>leasehold building., F&amp;F</t>
  </si>
  <si>
    <t>The allocation of impairment between the leasehold building and fixtures and fittings must be pre-rated, based on their carrrying amounts</t>
  </si>
  <si>
    <t>pro- rating of impairment</t>
  </si>
  <si>
    <t>allocation of impairment</t>
  </si>
  <si>
    <t>leasehold buildinga</t>
  </si>
  <si>
    <t xml:space="preserve">F&amp;F </t>
  </si>
  <si>
    <t>dr - SPL cost of sales</t>
  </si>
  <si>
    <t>cr - franchise AD</t>
  </si>
  <si>
    <t>cr - leasehold AD</t>
  </si>
  <si>
    <t>cr - F&amp;F AD</t>
  </si>
  <si>
    <t>cr - P&amp;M AD</t>
  </si>
  <si>
    <t>being impairment of non-current assets</t>
  </si>
  <si>
    <t>hmm, more practide needed.  Begin to use templates as part of these answers.  Intuition will come with practice.</t>
  </si>
  <si>
    <t>WSE10.1</t>
  </si>
  <si>
    <t>WSE10.5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</si>
</sst>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£&quot;#,##0.00;[Red]\-&quot;£&quot;#,##0.00"/>
    <numFmt numFmtId="164" formatCode="#,##0.000"/>
    <numFmt numFmtId="165" formatCode="0.000%"/>
    <numFmt numFmtId="166" formatCode="#,##0_ ;[Red]\-#,##0\ 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1"/>
    <xf numFmtId="14" fontId="1" fillId="0" borderId="0" xfId="0" applyNumberFormat="1" applyFont="1"/>
    <xf numFmtId="3" fontId="1" fillId="0" borderId="0" xfId="0" applyNumberFormat="1" applyFont="1"/>
    <xf numFmtId="0" fontId="1" fillId="2" borderId="0" xfId="0" applyFont="1" applyFill="1"/>
    <xf numFmtId="3" fontId="1" fillId="0" borderId="1" xfId="0" applyNumberFormat="1" applyFont="1" applyBorder="1"/>
    <xf numFmtId="164" fontId="1" fillId="0" borderId="0" xfId="0" applyNumberFormat="1" applyFont="1"/>
    <xf numFmtId="8" fontId="1" fillId="0" borderId="0" xfId="0" applyNumberFormat="1" applyFont="1"/>
    <xf numFmtId="3" fontId="3" fillId="0" borderId="1" xfId="0" applyNumberFormat="1" applyFont="1" applyBorder="1"/>
    <xf numFmtId="3" fontId="1" fillId="0" borderId="0" xfId="0" applyNumberFormat="1" applyFont="1" applyBorder="1"/>
    <xf numFmtId="165" fontId="1" fillId="0" borderId="0" xfId="0" applyNumberFormat="1" applyFont="1" applyBorder="1"/>
    <xf numFmtId="3" fontId="1" fillId="0" borderId="0" xfId="0" applyNumberFormat="1" applyFont="1" applyFill="1"/>
    <xf numFmtId="3" fontId="3" fillId="0" borderId="0" xfId="0" applyNumberFormat="1" applyFont="1" applyBorder="1"/>
    <xf numFmtId="10" fontId="1" fillId="0" borderId="0" xfId="0" applyNumberFormat="1" applyFont="1"/>
    <xf numFmtId="166" fontId="1" fillId="0" borderId="0" xfId="0" applyNumberFormat="1" applyFont="1"/>
    <xf numFmtId="9" fontId="1" fillId="0" borderId="0" xfId="0" applyNumberFormat="1" applyFont="1"/>
    <xf numFmtId="0" fontId="3" fillId="0" borderId="0" xfId="0" applyFont="1"/>
    <xf numFmtId="0" fontId="1" fillId="0" borderId="0" xfId="0" applyFont="1" applyAlignment="1">
      <alignment horizontal="centerContinuous"/>
    </xf>
    <xf numFmtId="3" fontId="1" fillId="0" borderId="2" xfId="0" applyNumberFormat="1" applyFont="1" applyBorder="1"/>
    <xf numFmtId="3" fontId="3" fillId="0" borderId="0" xfId="0" applyNumberFormat="1" applyFont="1"/>
    <xf numFmtId="10" fontId="3" fillId="0" borderId="0" xfId="0" applyNumberFormat="1" applyFont="1"/>
    <xf numFmtId="0" fontId="1" fillId="0" borderId="1" xfId="0" applyFont="1" applyBorder="1"/>
    <xf numFmtId="0" fontId="1" fillId="0" borderId="3" xfId="0" applyFont="1" applyBorder="1"/>
    <xf numFmtId="0" fontId="3" fillId="0" borderId="1" xfId="0" applyFont="1" applyBorder="1"/>
    <xf numFmtId="0" fontId="1" fillId="0" borderId="0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52F1B-A7A3-4E1C-8C1B-D1CC48A2F08D}">
  <dimension ref="B2:C5"/>
  <sheetViews>
    <sheetView workbookViewId="0">
      <selection activeCell="C5" sqref="C5"/>
    </sheetView>
  </sheetViews>
  <sheetFormatPr defaultRowHeight="15" x14ac:dyDescent="0.25"/>
  <sheetData>
    <row r="2" spans="2:3" x14ac:dyDescent="0.25">
      <c r="B2" s="2" t="s">
        <v>1</v>
      </c>
      <c r="C2" s="2" t="s">
        <v>195</v>
      </c>
    </row>
    <row r="3" spans="2:3" x14ac:dyDescent="0.25">
      <c r="C3" s="2" t="s">
        <v>113</v>
      </c>
    </row>
    <row r="4" spans="2:3" x14ac:dyDescent="0.25">
      <c r="C4" s="2" t="s">
        <v>114</v>
      </c>
    </row>
    <row r="5" spans="2:3" x14ac:dyDescent="0.25">
      <c r="C5" s="2" t="s">
        <v>196</v>
      </c>
    </row>
  </sheetData>
  <hyperlinks>
    <hyperlink ref="B2" location="'Module 10'!A1" display="Module 10" xr:uid="{B0A3AD51-BE54-4F7F-BF34-50CF7F28D527}"/>
    <hyperlink ref="C3" location="WSE10.2!A1" display="WSE10.2" xr:uid="{F3815019-DB7D-429D-9D2A-1F0585E78FC9}"/>
    <hyperlink ref="C4" location="WSE10.4!A1" display="WSE10.4" xr:uid="{E78F8CE1-316F-4734-85BF-C8DF3F71EE30}"/>
    <hyperlink ref="C2" location="WSE10.1!A1" display="WSE10.1" xr:uid="{C0A9E761-4070-44AA-9EBB-58BAB2C21138}"/>
    <hyperlink ref="C5" location="WSE10.5!A1" display="WSE10.5" xr:uid="{3D32B219-BAA3-4DD1-9649-D801CFEA4A51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DF293-777E-4C47-A6B0-C53DCE9719CF}">
  <dimension ref="A1:F131"/>
  <sheetViews>
    <sheetView topLeftCell="A121" zoomScale="190" zoomScaleNormal="190" workbookViewId="0">
      <selection activeCell="E131" sqref="E131"/>
    </sheetView>
  </sheetViews>
  <sheetFormatPr defaultRowHeight="12" x14ac:dyDescent="0.2"/>
  <cols>
    <col min="1" max="4" width="9.140625" style="1"/>
    <col min="5" max="5" width="10.5703125" style="1" bestFit="1" customWidth="1"/>
    <col min="6" max="16384" width="9.140625" style="1"/>
  </cols>
  <sheetData>
    <row r="1" spans="1:6" ht="15" x14ac:dyDescent="0.25">
      <c r="A1" s="2" t="s">
        <v>0</v>
      </c>
    </row>
    <row r="3" spans="1:6" x14ac:dyDescent="0.2">
      <c r="B3" s="1" t="s">
        <v>2</v>
      </c>
    </row>
    <row r="4" spans="1:6" x14ac:dyDescent="0.2">
      <c r="B4" s="1" t="s">
        <v>3</v>
      </c>
    </row>
    <row r="5" spans="1:6" x14ac:dyDescent="0.2">
      <c r="B5" s="1" t="s">
        <v>4</v>
      </c>
      <c r="C5" s="3">
        <v>44197</v>
      </c>
      <c r="D5" s="4">
        <v>200000</v>
      </c>
    </row>
    <row r="6" spans="1:6" x14ac:dyDescent="0.2">
      <c r="C6" s="3">
        <v>45292</v>
      </c>
      <c r="D6" s="4"/>
    </row>
    <row r="7" spans="1:6" x14ac:dyDescent="0.2">
      <c r="B7" s="1" t="s">
        <v>5</v>
      </c>
      <c r="C7" s="1">
        <f>+YEARFRAC(C5,C6)</f>
        <v>3</v>
      </c>
      <c r="D7" s="4">
        <f>+D5*0.15*C7</f>
        <v>90000</v>
      </c>
    </row>
    <row r="8" spans="1:6" x14ac:dyDescent="0.2">
      <c r="B8" s="1" t="s">
        <v>6</v>
      </c>
      <c r="D8" s="4">
        <f>+D5-D7</f>
        <v>110000</v>
      </c>
    </row>
    <row r="9" spans="1:6" x14ac:dyDescent="0.2">
      <c r="B9" s="1" t="s">
        <v>7</v>
      </c>
      <c r="D9" s="4">
        <v>95000</v>
      </c>
    </row>
    <row r="10" spans="1:6" x14ac:dyDescent="0.2">
      <c r="B10" s="1" t="s">
        <v>8</v>
      </c>
      <c r="D10" s="4">
        <v>87000</v>
      </c>
    </row>
    <row r="11" spans="1:6" x14ac:dyDescent="0.2">
      <c r="B11" s="1" t="s">
        <v>10</v>
      </c>
      <c r="D11" s="4">
        <f>+D9</f>
        <v>95000</v>
      </c>
    </row>
    <row r="12" spans="1:6" x14ac:dyDescent="0.2">
      <c r="B12" s="1" t="s">
        <v>9</v>
      </c>
      <c r="D12" s="4">
        <f>+D8-D11</f>
        <v>15000</v>
      </c>
    </row>
    <row r="14" spans="1:6" x14ac:dyDescent="0.2">
      <c r="B14" s="1" t="s">
        <v>11</v>
      </c>
      <c r="E14" s="4">
        <f>+D12</f>
        <v>15000</v>
      </c>
    </row>
    <row r="15" spans="1:6" x14ac:dyDescent="0.2">
      <c r="C15" s="1" t="s">
        <v>12</v>
      </c>
      <c r="F15" s="4">
        <f>+E14</f>
        <v>15000</v>
      </c>
    </row>
    <row r="17" spans="2:4" x14ac:dyDescent="0.2">
      <c r="B17" s="1" t="s">
        <v>13</v>
      </c>
    </row>
    <row r="18" spans="2:4" x14ac:dyDescent="0.2">
      <c r="B18" s="1" t="s">
        <v>14</v>
      </c>
    </row>
    <row r="20" spans="2:4" x14ac:dyDescent="0.2">
      <c r="B20" s="1" t="s">
        <v>15</v>
      </c>
    </row>
    <row r="21" spans="2:4" x14ac:dyDescent="0.2">
      <c r="B21" s="1" t="s">
        <v>16</v>
      </c>
      <c r="D21" s="1">
        <v>128000</v>
      </c>
    </row>
    <row r="22" spans="2:4" x14ac:dyDescent="0.2">
      <c r="B22" s="1" t="s">
        <v>17</v>
      </c>
    </row>
    <row r="23" spans="2:4" x14ac:dyDescent="0.2">
      <c r="B23" s="5" t="s">
        <v>18</v>
      </c>
    </row>
    <row r="26" spans="2:4" x14ac:dyDescent="0.2">
      <c r="B26" s="1" t="s">
        <v>20</v>
      </c>
    </row>
    <row r="27" spans="2:4" x14ac:dyDescent="0.2">
      <c r="B27" s="1" t="s">
        <v>19</v>
      </c>
    </row>
    <row r="29" spans="2:4" x14ac:dyDescent="0.2">
      <c r="C29" s="1" t="s">
        <v>21</v>
      </c>
      <c r="D29" s="1" t="s">
        <v>22</v>
      </c>
    </row>
    <row r="30" spans="2:4" x14ac:dyDescent="0.2">
      <c r="B30" s="1" t="s">
        <v>23</v>
      </c>
      <c r="C30" s="4">
        <v>10000</v>
      </c>
      <c r="D30" s="4">
        <v>6900</v>
      </c>
    </row>
    <row r="31" spans="2:4" x14ac:dyDescent="0.2">
      <c r="B31" s="1" t="s">
        <v>24</v>
      </c>
      <c r="C31" s="4">
        <v>0</v>
      </c>
      <c r="D31" s="4">
        <v>1200</v>
      </c>
    </row>
    <row r="32" spans="2:4" ht="12.75" thickBot="1" x14ac:dyDescent="0.25">
      <c r="B32" s="1" t="s">
        <v>25</v>
      </c>
      <c r="C32" s="6">
        <f>SUM(C30:C31)</f>
        <v>10000</v>
      </c>
      <c r="D32" s="6">
        <f>SUM(D30:D31)</f>
        <v>8100</v>
      </c>
    </row>
    <row r="33" spans="1:5" ht="12.75" thickTop="1" x14ac:dyDescent="0.2"/>
    <row r="34" spans="1:5" x14ac:dyDescent="0.2">
      <c r="B34" s="1" t="s">
        <v>26</v>
      </c>
      <c r="C34" s="1">
        <v>0.6</v>
      </c>
      <c r="D34" s="1">
        <v>0.4</v>
      </c>
    </row>
    <row r="35" spans="1:5" x14ac:dyDescent="0.2">
      <c r="C35" s="1">
        <f>+C$34*$E$35</f>
        <v>1920</v>
      </c>
      <c r="D35" s="1">
        <f>+D$34*$E$35</f>
        <v>1280</v>
      </c>
      <c r="E35" s="1">
        <v>3200</v>
      </c>
    </row>
    <row r="36" spans="1:5" x14ac:dyDescent="0.2">
      <c r="B36" s="1" t="s">
        <v>27</v>
      </c>
      <c r="C36" s="1">
        <v>0.25</v>
      </c>
      <c r="D36" s="1">
        <v>0.75</v>
      </c>
    </row>
    <row r="37" spans="1:5" x14ac:dyDescent="0.2">
      <c r="C37" s="1">
        <f>+C$36*$E$37</f>
        <v>240</v>
      </c>
      <c r="D37" s="1">
        <f>+D$36*$E$37</f>
        <v>720</v>
      </c>
      <c r="E37" s="1">
        <v>960</v>
      </c>
    </row>
    <row r="40" spans="1:5" x14ac:dyDescent="0.2">
      <c r="B40" s="1" t="s">
        <v>28</v>
      </c>
    </row>
    <row r="41" spans="1:5" x14ac:dyDescent="0.2">
      <c r="B41" s="3">
        <v>45657</v>
      </c>
      <c r="C41" s="1">
        <v>3000</v>
      </c>
      <c r="D41" s="1">
        <v>4200</v>
      </c>
    </row>
    <row r="42" spans="1:5" x14ac:dyDescent="0.2">
      <c r="B42" s="3">
        <v>46022</v>
      </c>
      <c r="C42" s="1">
        <v>2800</v>
      </c>
      <c r="D42" s="1">
        <v>3400</v>
      </c>
    </row>
    <row r="43" spans="1:5" x14ac:dyDescent="0.2">
      <c r="B43" s="3">
        <v>46387</v>
      </c>
      <c r="C43" s="1">
        <v>2800</v>
      </c>
      <c r="D43" s="1">
        <v>3400</v>
      </c>
    </row>
    <row r="44" spans="1:5" x14ac:dyDescent="0.2">
      <c r="B44" s="3">
        <v>46752</v>
      </c>
      <c r="C44" s="1">
        <v>4800</v>
      </c>
      <c r="D44" s="1">
        <v>0</v>
      </c>
    </row>
    <row r="46" spans="1:5" x14ac:dyDescent="0.2">
      <c r="B46" s="1" t="s">
        <v>29</v>
      </c>
      <c r="C46" s="1">
        <v>0.15</v>
      </c>
      <c r="D46" s="1">
        <v>0.2</v>
      </c>
    </row>
    <row r="47" spans="1:5" x14ac:dyDescent="0.2">
      <c r="A47" s="1">
        <v>1</v>
      </c>
      <c r="B47" s="3">
        <v>45657</v>
      </c>
      <c r="C47" s="7">
        <f>1/(1+$C$46)^A47</f>
        <v>0.86956521739130443</v>
      </c>
      <c r="D47" s="7">
        <f>1/(1+$D$46)^A47</f>
        <v>0.83333333333333337</v>
      </c>
    </row>
    <row r="48" spans="1:5" x14ac:dyDescent="0.2">
      <c r="A48" s="1">
        <v>2</v>
      </c>
      <c r="B48" s="3">
        <v>46022</v>
      </c>
      <c r="C48" s="7">
        <f>1/(1+$C$46)^A48</f>
        <v>0.7561436672967865</v>
      </c>
      <c r="D48" s="7">
        <f>1/(1+$D$46)^A48</f>
        <v>0.69444444444444442</v>
      </c>
    </row>
    <row r="49" spans="1:4" x14ac:dyDescent="0.2">
      <c r="A49" s="1">
        <v>3</v>
      </c>
      <c r="B49" s="3">
        <v>46387</v>
      </c>
      <c r="C49" s="7">
        <f t="shared" ref="C49:C50" si="0">1/(1+$C$46)^A49</f>
        <v>0.65751623243198831</v>
      </c>
      <c r="D49" s="7">
        <f>1/(1+$D$46)^A49</f>
        <v>0.57870370370370372</v>
      </c>
    </row>
    <row r="50" spans="1:4" x14ac:dyDescent="0.2">
      <c r="A50" s="1">
        <v>4</v>
      </c>
      <c r="B50" s="3">
        <v>46752</v>
      </c>
      <c r="C50" s="7">
        <f t="shared" si="0"/>
        <v>0.57175324559303342</v>
      </c>
      <c r="D50" s="7">
        <v>0</v>
      </c>
    </row>
    <row r="51" spans="1:4" x14ac:dyDescent="0.2">
      <c r="B51" s="3"/>
      <c r="C51" s="7"/>
      <c r="D51" s="7"/>
    </row>
    <row r="52" spans="1:4" x14ac:dyDescent="0.2">
      <c r="B52" s="1" t="s">
        <v>30</v>
      </c>
    </row>
    <row r="53" spans="1:4" x14ac:dyDescent="0.2">
      <c r="B53" s="3">
        <v>45657</v>
      </c>
      <c r="C53" s="4">
        <f>+C41*C47</f>
        <v>2608.6956521739135</v>
      </c>
      <c r="D53" s="4">
        <f>+D41*D47</f>
        <v>3500</v>
      </c>
    </row>
    <row r="54" spans="1:4" x14ac:dyDescent="0.2">
      <c r="B54" s="3">
        <v>46022</v>
      </c>
      <c r="C54" s="4">
        <f t="shared" ref="C54:D54" si="1">+C42*C48</f>
        <v>2117.2022684310023</v>
      </c>
      <c r="D54" s="4">
        <f t="shared" si="1"/>
        <v>2361.1111111111109</v>
      </c>
    </row>
    <row r="55" spans="1:4" x14ac:dyDescent="0.2">
      <c r="B55" s="3">
        <v>46387</v>
      </c>
      <c r="C55" s="4">
        <f t="shared" ref="C55:D55" si="2">+C43*C49</f>
        <v>1841.0454508095672</v>
      </c>
      <c r="D55" s="4">
        <f t="shared" si="2"/>
        <v>1967.5925925925926</v>
      </c>
    </row>
    <row r="56" spans="1:4" x14ac:dyDescent="0.2">
      <c r="B56" s="3">
        <v>46752</v>
      </c>
      <c r="C56" s="4">
        <f t="shared" ref="C56:D56" si="3">+C44*C50</f>
        <v>2744.4155788465605</v>
      </c>
      <c r="D56" s="4">
        <f t="shared" si="3"/>
        <v>0</v>
      </c>
    </row>
    <row r="57" spans="1:4" x14ac:dyDescent="0.2">
      <c r="C57" s="4">
        <f>SUM(C53:C56)</f>
        <v>9311.358950261043</v>
      </c>
      <c r="D57" s="4">
        <f>SUM(D53:D56)</f>
        <v>7828.7037037037044</v>
      </c>
    </row>
    <row r="58" spans="1:4" x14ac:dyDescent="0.2">
      <c r="C58" s="8">
        <f>+NPV(C46,C41:C44)</f>
        <v>9311.358950261043</v>
      </c>
      <c r="D58" s="8">
        <f>+NPV(D46,D41:D44)</f>
        <v>7828.7037037037044</v>
      </c>
    </row>
    <row r="60" spans="1:4" x14ac:dyDescent="0.2">
      <c r="B60" s="1" t="s">
        <v>35</v>
      </c>
    </row>
    <row r="62" spans="1:4" x14ac:dyDescent="0.2">
      <c r="B62" s="1" t="s">
        <v>21</v>
      </c>
    </row>
    <row r="63" spans="1:4" x14ac:dyDescent="0.2">
      <c r="B63" s="1" t="s">
        <v>36</v>
      </c>
    </row>
    <row r="65" spans="2:6" x14ac:dyDescent="0.2">
      <c r="B65" s="1" t="s">
        <v>34</v>
      </c>
      <c r="C65" s="4">
        <f>+C102</f>
        <v>2560</v>
      </c>
      <c r="D65" s="4"/>
    </row>
    <row r="66" spans="2:6" x14ac:dyDescent="0.2">
      <c r="B66" s="1" t="s">
        <v>37</v>
      </c>
      <c r="C66" s="1">
        <f>-+C37</f>
        <v>-240</v>
      </c>
    </row>
    <row r="67" spans="2:6" ht="12.75" thickBot="1" x14ac:dyDescent="0.25">
      <c r="C67" s="6">
        <f>SUM(C65:C66)</f>
        <v>2320</v>
      </c>
    </row>
    <row r="68" spans="2:6" ht="12.75" thickTop="1" x14ac:dyDescent="0.2"/>
    <row r="69" spans="2:6" x14ac:dyDescent="0.2">
      <c r="B69" s="1" t="s">
        <v>38</v>
      </c>
    </row>
    <row r="71" spans="2:6" x14ac:dyDescent="0.2">
      <c r="B71" s="1" t="s">
        <v>11</v>
      </c>
      <c r="E71" s="4">
        <f>+C65</f>
        <v>2560</v>
      </c>
    </row>
    <row r="72" spans="2:6" x14ac:dyDescent="0.2">
      <c r="C72" s="1" t="s">
        <v>39</v>
      </c>
      <c r="F72" s="1">
        <f>-C66</f>
        <v>240</v>
      </c>
    </row>
    <row r="73" spans="2:6" x14ac:dyDescent="0.2">
      <c r="C73" s="1" t="s">
        <v>40</v>
      </c>
      <c r="F73" s="4">
        <f>+E71-F72</f>
        <v>2320</v>
      </c>
    </row>
    <row r="74" spans="2:6" x14ac:dyDescent="0.2">
      <c r="B74" s="1" t="s">
        <v>41</v>
      </c>
    </row>
    <row r="76" spans="2:6" x14ac:dyDescent="0.2">
      <c r="B76" s="1" t="s">
        <v>22</v>
      </c>
    </row>
    <row r="77" spans="2:6" x14ac:dyDescent="0.2">
      <c r="B77" s="1" t="s">
        <v>34</v>
      </c>
      <c r="E77" s="4">
        <f>+D102</f>
        <v>2271.2962962962956</v>
      </c>
    </row>
    <row r="78" spans="2:6" x14ac:dyDescent="0.2">
      <c r="B78" s="1" t="s">
        <v>42</v>
      </c>
      <c r="E78" s="1">
        <f>-D37</f>
        <v>-720</v>
      </c>
    </row>
    <row r="79" spans="2:6" ht="12.75" thickBot="1" x14ac:dyDescent="0.25">
      <c r="B79" s="1" t="s">
        <v>43</v>
      </c>
      <c r="E79" s="6">
        <f>SUM(E77:E78)</f>
        <v>1551.2962962962956</v>
      </c>
    </row>
    <row r="80" spans="2:6" ht="12.75" thickTop="1" x14ac:dyDescent="0.2">
      <c r="E80" s="10"/>
    </row>
    <row r="81" spans="2:6" x14ac:dyDescent="0.2">
      <c r="E81" s="11">
        <f>+E79/(D32+D35)</f>
        <v>0.16538340045802724</v>
      </c>
    </row>
    <row r="82" spans="2:6" x14ac:dyDescent="0.2">
      <c r="B82" s="1" t="s">
        <v>23</v>
      </c>
      <c r="D82" s="4">
        <f>+D30+D35</f>
        <v>8180</v>
      </c>
      <c r="E82" s="10">
        <f>+E81*D82</f>
        <v>1352.8362157466629</v>
      </c>
    </row>
    <row r="83" spans="2:6" x14ac:dyDescent="0.2">
      <c r="B83" s="1" t="s">
        <v>24</v>
      </c>
      <c r="D83" s="4">
        <f>+D31</f>
        <v>1200</v>
      </c>
      <c r="E83" s="10">
        <f>+(1-E81)*D83</f>
        <v>1001.5399194503673</v>
      </c>
    </row>
    <row r="85" spans="2:6" x14ac:dyDescent="0.2">
      <c r="B85" s="1" t="s">
        <v>11</v>
      </c>
      <c r="E85" s="4">
        <f>+E77</f>
        <v>2271.2962962962956</v>
      </c>
    </row>
    <row r="86" spans="2:6" x14ac:dyDescent="0.2">
      <c r="C86" s="1" t="s">
        <v>44</v>
      </c>
      <c r="F86" s="1">
        <f>-E78</f>
        <v>720</v>
      </c>
    </row>
    <row r="87" spans="2:6" x14ac:dyDescent="0.2">
      <c r="C87" s="1" t="s">
        <v>45</v>
      </c>
      <c r="F87" s="12">
        <f>+E82</f>
        <v>1352.8362157466629</v>
      </c>
    </row>
    <row r="88" spans="2:6" x14ac:dyDescent="0.2">
      <c r="C88" s="1" t="s">
        <v>46</v>
      </c>
      <c r="F88" s="12">
        <f>+E85-F86-F87</f>
        <v>198.46008054963272</v>
      </c>
    </row>
    <row r="89" spans="2:6" x14ac:dyDescent="0.2">
      <c r="B89" s="1" t="s">
        <v>47</v>
      </c>
    </row>
    <row r="94" spans="2:6" x14ac:dyDescent="0.2">
      <c r="B94" s="1" t="s">
        <v>49</v>
      </c>
      <c r="D94" s="4">
        <v>1100000</v>
      </c>
    </row>
    <row r="95" spans="2:6" x14ac:dyDescent="0.2">
      <c r="B95" s="1" t="s">
        <v>64</v>
      </c>
      <c r="D95" s="4">
        <f>+D31*1000</f>
        <v>1200000</v>
      </c>
    </row>
    <row r="96" spans="2:6" ht="12.75" thickBot="1" x14ac:dyDescent="0.25">
      <c r="B96" s="1" t="s">
        <v>65</v>
      </c>
      <c r="D96" s="6">
        <f>+D95-D94</f>
        <v>100000</v>
      </c>
    </row>
    <row r="97" spans="2:6" ht="12.75" thickTop="1" x14ac:dyDescent="0.2"/>
    <row r="98" spans="2:6" x14ac:dyDescent="0.2">
      <c r="B98" s="1" t="s">
        <v>6</v>
      </c>
      <c r="C98" s="4">
        <f>+C32+C35+C37</f>
        <v>12160</v>
      </c>
      <c r="D98" s="4">
        <f>+D32+D35+D37</f>
        <v>10100</v>
      </c>
    </row>
    <row r="99" spans="2:6" x14ac:dyDescent="0.2">
      <c r="B99" s="1" t="s">
        <v>7</v>
      </c>
      <c r="C99" s="1">
        <v>9600</v>
      </c>
      <c r="D99" s="4">
        <v>1100</v>
      </c>
    </row>
    <row r="100" spans="2:6" x14ac:dyDescent="0.2">
      <c r="B100" s="1" t="s">
        <v>32</v>
      </c>
      <c r="C100" s="4">
        <f>+C57</f>
        <v>9311.358950261043</v>
      </c>
      <c r="D100" s="4">
        <f>+D57</f>
        <v>7828.7037037037044</v>
      </c>
    </row>
    <row r="101" spans="2:6" x14ac:dyDescent="0.2">
      <c r="B101" s="1" t="s">
        <v>33</v>
      </c>
      <c r="C101" s="1">
        <f>+C99</f>
        <v>9600</v>
      </c>
      <c r="D101" s="4">
        <f>+D100</f>
        <v>7828.7037037037044</v>
      </c>
    </row>
    <row r="102" spans="2:6" ht="12.75" thickBot="1" x14ac:dyDescent="0.25">
      <c r="B102" s="1" t="s">
        <v>34</v>
      </c>
      <c r="C102" s="9">
        <f>+C98-C101</f>
        <v>2560</v>
      </c>
      <c r="D102" s="9">
        <f>+D98-D101</f>
        <v>2271.2962962962956</v>
      </c>
    </row>
    <row r="103" spans="2:6" ht="12.75" thickTop="1" x14ac:dyDescent="0.2">
      <c r="C103" s="13"/>
      <c r="D103" s="13"/>
    </row>
    <row r="104" spans="2:6" x14ac:dyDescent="0.2">
      <c r="B104" s="1" t="s">
        <v>22</v>
      </c>
    </row>
    <row r="105" spans="2:6" x14ac:dyDescent="0.2">
      <c r="B105" s="1" t="s">
        <v>34</v>
      </c>
      <c r="E105" s="4">
        <f>+D102</f>
        <v>2271.2962962962956</v>
      </c>
    </row>
    <row r="106" spans="2:6" x14ac:dyDescent="0.2">
      <c r="B106" s="1" t="s">
        <v>42</v>
      </c>
      <c r="E106" s="1">
        <v>720</v>
      </c>
    </row>
    <row r="107" spans="2:6" ht="12.75" thickBot="1" x14ac:dyDescent="0.25">
      <c r="B107" s="1" t="s">
        <v>43</v>
      </c>
      <c r="E107" s="6">
        <f>SUM(E105:E106)</f>
        <v>2991.2962962962956</v>
      </c>
    </row>
    <row r="108" spans="2:6" ht="12.75" thickTop="1" x14ac:dyDescent="0.2">
      <c r="E108" s="10"/>
    </row>
    <row r="109" spans="2:6" x14ac:dyDescent="0.2">
      <c r="B109" s="1" t="s">
        <v>63</v>
      </c>
    </row>
    <row r="111" spans="2:6" x14ac:dyDescent="0.2">
      <c r="B111" s="1" t="s">
        <v>50</v>
      </c>
      <c r="E111" s="4">
        <f>+D102</f>
        <v>2271.2962962962956</v>
      </c>
    </row>
    <row r="112" spans="2:6" x14ac:dyDescent="0.2">
      <c r="C112" s="1" t="s">
        <v>44</v>
      </c>
      <c r="F112" s="1">
        <v>720</v>
      </c>
    </row>
    <row r="113" spans="2:6" x14ac:dyDescent="0.2">
      <c r="C113" s="1" t="s">
        <v>52</v>
      </c>
      <c r="F113" s="1">
        <v>100</v>
      </c>
    </row>
    <row r="114" spans="2:6" x14ac:dyDescent="0.2">
      <c r="C114" s="1" t="s">
        <v>51</v>
      </c>
      <c r="F114" s="4">
        <f>+E111-F112-F113</f>
        <v>1451.2962962962956</v>
      </c>
    </row>
    <row r="115" spans="2:6" x14ac:dyDescent="0.2">
      <c r="B115" s="1" t="s">
        <v>48</v>
      </c>
    </row>
    <row r="118" spans="2:6" x14ac:dyDescent="0.2">
      <c r="B118" s="1" t="s">
        <v>53</v>
      </c>
    </row>
    <row r="119" spans="2:6" x14ac:dyDescent="0.2">
      <c r="C119" s="1" t="s">
        <v>54</v>
      </c>
      <c r="D119" s="1" t="s">
        <v>55</v>
      </c>
      <c r="E119" s="1" t="s">
        <v>56</v>
      </c>
    </row>
    <row r="120" spans="2:6" x14ac:dyDescent="0.2">
      <c r="B120" s="1" t="s">
        <v>31</v>
      </c>
      <c r="C120" s="4">
        <v>4100</v>
      </c>
      <c r="D120" s="4">
        <v>5600</v>
      </c>
      <c r="E120" s="4">
        <v>3800</v>
      </c>
    </row>
    <row r="121" spans="2:6" x14ac:dyDescent="0.2">
      <c r="B121" s="1" t="s">
        <v>7</v>
      </c>
      <c r="C121" s="4">
        <v>3800</v>
      </c>
      <c r="D121" s="4">
        <v>6000</v>
      </c>
      <c r="E121" s="4">
        <v>2900</v>
      </c>
    </row>
    <row r="122" spans="2:6" x14ac:dyDescent="0.2">
      <c r="B122" s="1" t="s">
        <v>32</v>
      </c>
      <c r="C122" s="4">
        <v>4300</v>
      </c>
      <c r="D122" s="4">
        <v>5800</v>
      </c>
      <c r="E122" s="4">
        <v>3200</v>
      </c>
    </row>
    <row r="123" spans="2:6" x14ac:dyDescent="0.2">
      <c r="B123" s="1" t="s">
        <v>33</v>
      </c>
      <c r="C123" s="4">
        <f>+C122</f>
        <v>4300</v>
      </c>
      <c r="D123" s="4">
        <f>+D121</f>
        <v>6000</v>
      </c>
      <c r="E123" s="4">
        <f>+E122</f>
        <v>3200</v>
      </c>
    </row>
    <row r="124" spans="2:6" x14ac:dyDescent="0.2">
      <c r="C124" s="4">
        <f>+C123-C120</f>
        <v>200</v>
      </c>
      <c r="D124" s="4">
        <f t="shared" ref="D124:E124" si="4">+D123-D120</f>
        <v>400</v>
      </c>
      <c r="E124" s="4">
        <f t="shared" si="4"/>
        <v>-600</v>
      </c>
    </row>
    <row r="125" spans="2:6" x14ac:dyDescent="0.2">
      <c r="C125" s="4"/>
      <c r="D125" s="4"/>
      <c r="E125" s="4"/>
    </row>
    <row r="126" spans="2:6" x14ac:dyDescent="0.2">
      <c r="B126" s="1" t="s">
        <v>57</v>
      </c>
      <c r="C126" s="4"/>
      <c r="D126" s="4"/>
      <c r="E126" s="4">
        <f>SUM(C120:E120)</f>
        <v>13500</v>
      </c>
    </row>
    <row r="127" spans="2:6" x14ac:dyDescent="0.2">
      <c r="B127" s="1" t="s">
        <v>58</v>
      </c>
      <c r="C127" s="4"/>
      <c r="D127" s="4"/>
      <c r="E127" s="4">
        <f>+E124</f>
        <v>-600</v>
      </c>
    </row>
    <row r="128" spans="2:6" x14ac:dyDescent="0.2">
      <c r="B128" s="1" t="s">
        <v>59</v>
      </c>
      <c r="C128" s="4"/>
      <c r="D128" s="4"/>
      <c r="E128" s="4">
        <v>2000</v>
      </c>
    </row>
    <row r="129" spans="2:5" x14ac:dyDescent="0.2">
      <c r="B129" s="1" t="s">
        <v>60</v>
      </c>
      <c r="C129" s="4"/>
      <c r="D129" s="4"/>
      <c r="E129" s="4">
        <f>SUM(E126:E128)</f>
        <v>14900</v>
      </c>
    </row>
    <row r="130" spans="2:5" x14ac:dyDescent="0.2">
      <c r="B130" s="1" t="s">
        <v>61</v>
      </c>
      <c r="C130" s="4"/>
      <c r="D130" s="4"/>
      <c r="E130" s="4">
        <v>13800</v>
      </c>
    </row>
    <row r="131" spans="2:5" x14ac:dyDescent="0.2">
      <c r="B131" s="1" t="s">
        <v>62</v>
      </c>
      <c r="C131" s="4"/>
      <c r="D131" s="4"/>
      <c r="E131" s="4">
        <f>+E130-E129</f>
        <v>-1100</v>
      </c>
    </row>
  </sheetData>
  <hyperlinks>
    <hyperlink ref="A1" location="Main!A1" display="Main" xr:uid="{1A7AA868-88CA-4344-B061-7CAFF43F027A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160E8-CBF2-43F8-B31D-793215ADFD31}">
  <dimension ref="A1:F27"/>
  <sheetViews>
    <sheetView zoomScale="175" zoomScaleNormal="175" workbookViewId="0"/>
  </sheetViews>
  <sheetFormatPr defaultRowHeight="12" x14ac:dyDescent="0.2"/>
  <cols>
    <col min="1" max="2" width="9.140625" style="1"/>
    <col min="3" max="3" width="11" style="1" bestFit="1" customWidth="1"/>
    <col min="4" max="16384" width="9.140625" style="1"/>
  </cols>
  <sheetData>
    <row r="1" spans="1:4" ht="15" x14ac:dyDescent="0.25">
      <c r="A1" s="2" t="s">
        <v>0</v>
      </c>
    </row>
    <row r="3" spans="1:4" x14ac:dyDescent="0.2">
      <c r="B3" s="1" t="s">
        <v>115</v>
      </c>
    </row>
    <row r="4" spans="1:4" x14ac:dyDescent="0.2">
      <c r="B4" s="1" t="s">
        <v>116</v>
      </c>
      <c r="C4" s="1" t="s">
        <v>117</v>
      </c>
    </row>
    <row r="6" spans="1:4" x14ac:dyDescent="0.2">
      <c r="B6" s="17" t="s">
        <v>118</v>
      </c>
      <c r="C6" s="5" t="s">
        <v>127</v>
      </c>
    </row>
    <row r="7" spans="1:4" x14ac:dyDescent="0.2">
      <c r="B7" s="1" t="s">
        <v>4</v>
      </c>
      <c r="C7" s="4">
        <v>4400000</v>
      </c>
    </row>
    <row r="8" spans="1:4" x14ac:dyDescent="0.2">
      <c r="B8" s="1" t="s">
        <v>29</v>
      </c>
      <c r="C8" s="16">
        <v>7.0000000000000007E-2</v>
      </c>
    </row>
    <row r="9" spans="1:4" x14ac:dyDescent="0.2">
      <c r="B9" s="1" t="s">
        <v>70</v>
      </c>
      <c r="C9" s="4">
        <f>400*800</f>
        <v>320000</v>
      </c>
      <c r="D9" s="1" t="s">
        <v>119</v>
      </c>
    </row>
    <row r="10" spans="1:4" x14ac:dyDescent="0.2">
      <c r="B10" s="1" t="s">
        <v>120</v>
      </c>
      <c r="C10" s="4">
        <f>350*800</f>
        <v>280000</v>
      </c>
    </row>
    <row r="11" spans="1:4" x14ac:dyDescent="0.2">
      <c r="B11" s="1" t="s">
        <v>121</v>
      </c>
      <c r="C11" s="4">
        <f>4800*800</f>
        <v>3840000</v>
      </c>
    </row>
    <row r="12" spans="1:4" x14ac:dyDescent="0.2">
      <c r="B12" s="1" t="s">
        <v>122</v>
      </c>
      <c r="C12" s="4">
        <v>100000</v>
      </c>
    </row>
    <row r="13" spans="1:4" x14ac:dyDescent="0.2">
      <c r="B13" s="1" t="s">
        <v>7</v>
      </c>
      <c r="C13" s="20">
        <f>+C11-C12</f>
        <v>3740000</v>
      </c>
    </row>
    <row r="16" spans="1:4" x14ac:dyDescent="0.2">
      <c r="B16" s="1" t="s">
        <v>123</v>
      </c>
      <c r="C16" s="4">
        <f>800*350/C8</f>
        <v>3999999.9999999995</v>
      </c>
      <c r="D16" s="1" t="s">
        <v>128</v>
      </c>
    </row>
    <row r="19" spans="2:6" x14ac:dyDescent="0.2">
      <c r="B19" s="1" t="s">
        <v>31</v>
      </c>
      <c r="C19" s="4">
        <f>+C7</f>
        <v>4400000</v>
      </c>
    </row>
    <row r="20" spans="2:6" x14ac:dyDescent="0.2">
      <c r="B20" s="1" t="s">
        <v>7</v>
      </c>
      <c r="C20" s="4">
        <f>+C13</f>
        <v>3740000</v>
      </c>
    </row>
    <row r="21" spans="2:6" x14ac:dyDescent="0.2">
      <c r="B21" s="1" t="s">
        <v>32</v>
      </c>
      <c r="C21" s="4">
        <f>+C16</f>
        <v>3999999.9999999995</v>
      </c>
    </row>
    <row r="22" spans="2:6" x14ac:dyDescent="0.2">
      <c r="B22" s="1" t="s">
        <v>33</v>
      </c>
      <c r="C22" s="4">
        <f>+C21</f>
        <v>3999999.9999999995</v>
      </c>
    </row>
    <row r="23" spans="2:6" x14ac:dyDescent="0.2">
      <c r="B23" s="1" t="s">
        <v>34</v>
      </c>
      <c r="C23" s="4">
        <f>+C22-C19</f>
        <v>-400000.00000000047</v>
      </c>
    </row>
    <row r="25" spans="2:6" x14ac:dyDescent="0.2">
      <c r="B25" s="1" t="s">
        <v>124</v>
      </c>
      <c r="E25" s="4">
        <f>-C23</f>
        <v>400000.00000000047</v>
      </c>
    </row>
    <row r="26" spans="2:6" x14ac:dyDescent="0.2">
      <c r="C26" s="1" t="s">
        <v>125</v>
      </c>
      <c r="F26" s="4">
        <f>+E25</f>
        <v>400000.00000000047</v>
      </c>
    </row>
    <row r="27" spans="2:6" x14ac:dyDescent="0.2">
      <c r="B27" s="1" t="s">
        <v>126</v>
      </c>
    </row>
  </sheetData>
  <hyperlinks>
    <hyperlink ref="A1" location="Main!A1" display="Main" xr:uid="{11E3C8C6-96E7-4EEE-A4E0-912CAA0B15DE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38949-EFF4-4B55-B335-C85CEF5EFE47}">
  <dimension ref="A1:G55"/>
  <sheetViews>
    <sheetView tabSelected="1" topLeftCell="A25" zoomScale="175" zoomScaleNormal="175" workbookViewId="0">
      <selection activeCell="C30" sqref="C30"/>
    </sheetView>
  </sheetViews>
  <sheetFormatPr defaultRowHeight="12" x14ac:dyDescent="0.2"/>
  <cols>
    <col min="1" max="16384" width="9.140625" style="1"/>
  </cols>
  <sheetData>
    <row r="1" spans="1:7" ht="15" x14ac:dyDescent="0.25">
      <c r="A1" s="2" t="s">
        <v>0</v>
      </c>
    </row>
    <row r="3" spans="1:7" x14ac:dyDescent="0.2">
      <c r="B3" s="1" t="s">
        <v>91</v>
      </c>
    </row>
    <row r="5" spans="1:7" x14ac:dyDescent="0.2">
      <c r="B5" s="1" t="s">
        <v>92</v>
      </c>
    </row>
    <row r="6" spans="1:7" x14ac:dyDescent="0.2">
      <c r="B6" s="1" t="s">
        <v>93</v>
      </c>
      <c r="C6" s="1" t="s">
        <v>94</v>
      </c>
      <c r="D6" s="1" t="s">
        <v>95</v>
      </c>
      <c r="E6" s="1" t="s">
        <v>96</v>
      </c>
      <c r="F6" s="1" t="s">
        <v>95</v>
      </c>
      <c r="G6" s="1" t="s">
        <v>96</v>
      </c>
    </row>
    <row r="7" spans="1:7" x14ac:dyDescent="0.2">
      <c r="B7" s="1">
        <v>1</v>
      </c>
      <c r="C7" s="1">
        <v>0.877</v>
      </c>
      <c r="D7" s="4">
        <v>3800</v>
      </c>
      <c r="E7" s="4">
        <v>4700</v>
      </c>
      <c r="F7" s="4">
        <f>+$C7*D7</f>
        <v>3332.6</v>
      </c>
      <c r="G7" s="4">
        <f>+$C7*E7</f>
        <v>4121.8999999999996</v>
      </c>
    </row>
    <row r="8" spans="1:7" x14ac:dyDescent="0.2">
      <c r="B8" s="1">
        <v>2</v>
      </c>
      <c r="C8" s="1">
        <v>0.76900000000000002</v>
      </c>
      <c r="D8" s="4">
        <v>3900</v>
      </c>
      <c r="E8" s="4">
        <v>4750</v>
      </c>
      <c r="F8" s="4">
        <f t="shared" ref="F8:F10" si="0">+$C8*D8</f>
        <v>2999.1</v>
      </c>
      <c r="G8" s="4">
        <f t="shared" ref="G8:G10" si="1">+$C8*E8</f>
        <v>3652.75</v>
      </c>
    </row>
    <row r="9" spans="1:7" x14ac:dyDescent="0.2">
      <c r="B9" s="1">
        <v>3</v>
      </c>
      <c r="C9" s="1">
        <v>0.67500000000000004</v>
      </c>
      <c r="D9" s="4">
        <v>5500</v>
      </c>
      <c r="E9" s="4">
        <v>5300</v>
      </c>
      <c r="F9" s="4">
        <f t="shared" si="0"/>
        <v>3712.5000000000005</v>
      </c>
      <c r="G9" s="4">
        <f t="shared" si="1"/>
        <v>3577.5000000000005</v>
      </c>
    </row>
    <row r="10" spans="1:7" x14ac:dyDescent="0.2">
      <c r="B10" s="1">
        <v>4</v>
      </c>
      <c r="C10" s="1">
        <v>0.59199999999999997</v>
      </c>
      <c r="D10" s="4">
        <v>5200</v>
      </c>
      <c r="E10" s="4">
        <v>6000</v>
      </c>
      <c r="F10" s="4">
        <f t="shared" si="0"/>
        <v>3078.3999999999996</v>
      </c>
      <c r="G10" s="4">
        <f t="shared" si="1"/>
        <v>3552</v>
      </c>
    </row>
    <row r="11" spans="1:7" ht="12.75" thickBot="1" x14ac:dyDescent="0.25">
      <c r="D11" s="4"/>
      <c r="E11" s="4"/>
      <c r="F11" s="6">
        <f>SUM(F7:F10)</f>
        <v>13122.6</v>
      </c>
      <c r="G11" s="6">
        <f>SUM(G7:G10)</f>
        <v>14904.15</v>
      </c>
    </row>
    <row r="12" spans="1:7" ht="12.75" thickTop="1" x14ac:dyDescent="0.2">
      <c r="B12" s="17" t="s">
        <v>24</v>
      </c>
    </row>
    <row r="13" spans="1:7" x14ac:dyDescent="0.2">
      <c r="B13" s="1" t="s">
        <v>31</v>
      </c>
      <c r="C13" s="4">
        <f>+C28</f>
        <v>400</v>
      </c>
    </row>
    <row r="14" spans="1:7" x14ac:dyDescent="0.2">
      <c r="B14" s="1" t="s">
        <v>7</v>
      </c>
      <c r="C14" s="1">
        <v>380</v>
      </c>
    </row>
    <row r="15" spans="1:7" x14ac:dyDescent="0.2">
      <c r="B15" s="1" t="s">
        <v>34</v>
      </c>
      <c r="C15" s="4">
        <f>+C13-C14</f>
        <v>20</v>
      </c>
    </row>
    <row r="16" spans="1:7" x14ac:dyDescent="0.2">
      <c r="C16" s="4"/>
    </row>
    <row r="17" spans="2:7" x14ac:dyDescent="0.2">
      <c r="B17" s="17" t="s">
        <v>23</v>
      </c>
    </row>
    <row r="18" spans="2:7" x14ac:dyDescent="0.2">
      <c r="B18" s="1" t="s">
        <v>31</v>
      </c>
      <c r="C18" s="4">
        <f>+C32</f>
        <v>19400</v>
      </c>
      <c r="D18" s="4">
        <f>+D32</f>
        <v>18770</v>
      </c>
    </row>
    <row r="19" spans="2:7" x14ac:dyDescent="0.2">
      <c r="B19" s="1" t="s">
        <v>7</v>
      </c>
      <c r="C19" s="4">
        <v>13500</v>
      </c>
      <c r="D19" s="4">
        <v>12000</v>
      </c>
    </row>
    <row r="20" spans="2:7" x14ac:dyDescent="0.2">
      <c r="B20" s="1" t="s">
        <v>32</v>
      </c>
      <c r="C20" s="4">
        <f>+F11</f>
        <v>13122.6</v>
      </c>
      <c r="D20" s="4">
        <f>+G11</f>
        <v>14904.15</v>
      </c>
    </row>
    <row r="21" spans="2:7" x14ac:dyDescent="0.2">
      <c r="B21" s="1" t="s">
        <v>34</v>
      </c>
      <c r="C21" s="20">
        <f>+C18-C19</f>
        <v>5900</v>
      </c>
      <c r="D21" s="20">
        <f>+D18-D20</f>
        <v>3865.8500000000004</v>
      </c>
      <c r="E21" s="1" t="s">
        <v>33</v>
      </c>
    </row>
    <row r="22" spans="2:7" x14ac:dyDescent="0.2">
      <c r="C22" s="20"/>
      <c r="D22" s="20"/>
    </row>
    <row r="23" spans="2:7" x14ac:dyDescent="0.2">
      <c r="B23" s="17" t="s">
        <v>102</v>
      </c>
      <c r="C23" s="20"/>
      <c r="D23" s="20"/>
    </row>
    <row r="24" spans="2:7" x14ac:dyDescent="0.2">
      <c r="C24" s="18" t="s">
        <v>97</v>
      </c>
      <c r="D24" s="18"/>
      <c r="F24" s="8"/>
      <c r="G24" s="8"/>
    </row>
    <row r="25" spans="2:7" x14ac:dyDescent="0.2">
      <c r="C25" s="1" t="s">
        <v>95</v>
      </c>
      <c r="D25" s="1" t="s">
        <v>96</v>
      </c>
    </row>
    <row r="26" spans="2:7" x14ac:dyDescent="0.2">
      <c r="B26" s="1" t="s">
        <v>23</v>
      </c>
      <c r="C26" s="4">
        <v>16750</v>
      </c>
      <c r="D26" s="4">
        <v>15900</v>
      </c>
    </row>
    <row r="27" spans="2:7" x14ac:dyDescent="0.2">
      <c r="B27" s="1" t="s">
        <v>98</v>
      </c>
      <c r="C27" s="4">
        <v>0</v>
      </c>
      <c r="D27" s="4">
        <v>620</v>
      </c>
    </row>
    <row r="28" spans="2:7" x14ac:dyDescent="0.2">
      <c r="B28" s="1" t="s">
        <v>99</v>
      </c>
      <c r="C28" s="19">
        <v>400</v>
      </c>
      <c r="D28" s="19">
        <v>0</v>
      </c>
    </row>
    <row r="29" spans="2:7" x14ac:dyDescent="0.2">
      <c r="B29" s="1" t="s">
        <v>100</v>
      </c>
      <c r="C29" s="10">
        <f>SUM(C26:C28)</f>
        <v>17150</v>
      </c>
      <c r="D29" s="10">
        <f>SUM(D26:D28)</f>
        <v>16520</v>
      </c>
    </row>
    <row r="31" spans="2:7" x14ac:dyDescent="0.2">
      <c r="B31" s="1" t="s">
        <v>101</v>
      </c>
      <c r="C31" s="4">
        <f>4500/2</f>
        <v>2250</v>
      </c>
      <c r="D31" s="4">
        <f>4500/2</f>
        <v>2250</v>
      </c>
    </row>
    <row r="32" spans="2:7" ht="12.75" thickBot="1" x14ac:dyDescent="0.25">
      <c r="C32" s="6">
        <f>+C29+C31</f>
        <v>19400</v>
      </c>
      <c r="D32" s="6">
        <f>+D29+D31</f>
        <v>18770</v>
      </c>
    </row>
    <row r="33" spans="2:5" ht="12.75" thickTop="1" x14ac:dyDescent="0.2">
      <c r="C33" s="10"/>
      <c r="D33" s="10"/>
    </row>
    <row r="34" spans="2:5" x14ac:dyDescent="0.2">
      <c r="B34" s="1" t="s">
        <v>103</v>
      </c>
      <c r="C34" s="20"/>
      <c r="D34" s="20"/>
    </row>
    <row r="35" spans="2:5" x14ac:dyDescent="0.2">
      <c r="B35" s="1" t="s">
        <v>104</v>
      </c>
      <c r="C35" s="4">
        <f>+C21</f>
        <v>5900</v>
      </c>
      <c r="D35" s="4"/>
    </row>
    <row r="36" spans="2:5" x14ac:dyDescent="0.2">
      <c r="B36" s="1" t="s">
        <v>31</v>
      </c>
      <c r="C36" s="4">
        <f>+C18</f>
        <v>19400</v>
      </c>
      <c r="D36" s="4"/>
    </row>
    <row r="37" spans="2:5" x14ac:dyDescent="0.2">
      <c r="C37" s="14">
        <f>+C35/C36</f>
        <v>0.30412371134020616</v>
      </c>
      <c r="D37" s="4"/>
    </row>
    <row r="38" spans="2:5" x14ac:dyDescent="0.2">
      <c r="C38" s="20"/>
      <c r="D38" s="20"/>
    </row>
    <row r="39" spans="2:5" x14ac:dyDescent="0.2">
      <c r="B39" s="1" t="s">
        <v>105</v>
      </c>
      <c r="C39" s="20"/>
      <c r="D39" s="20"/>
    </row>
    <row r="40" spans="2:5" x14ac:dyDescent="0.2">
      <c r="B40" s="1" t="s">
        <v>106</v>
      </c>
      <c r="C40" s="21">
        <f>+C37</f>
        <v>0.30412371134020616</v>
      </c>
      <c r="D40" s="20"/>
    </row>
    <row r="41" spans="2:5" x14ac:dyDescent="0.2">
      <c r="B41" s="1" t="s">
        <v>31</v>
      </c>
      <c r="C41" s="4">
        <f>+C28</f>
        <v>400</v>
      </c>
      <c r="D41" s="20"/>
    </row>
    <row r="42" spans="2:5" x14ac:dyDescent="0.2">
      <c r="C42" s="4">
        <f>+C40*C41</f>
        <v>121.64948453608247</v>
      </c>
      <c r="D42" s="20"/>
    </row>
    <row r="43" spans="2:5" x14ac:dyDescent="0.2">
      <c r="B43" s="1" t="s">
        <v>107</v>
      </c>
      <c r="C43" s="4">
        <f>+C15</f>
        <v>20</v>
      </c>
    </row>
    <row r="44" spans="2:5" x14ac:dyDescent="0.2">
      <c r="C44" s="4">
        <f>+C35-C43</f>
        <v>5880</v>
      </c>
      <c r="D44" s="4" t="s">
        <v>108</v>
      </c>
    </row>
    <row r="45" spans="2:5" x14ac:dyDescent="0.2">
      <c r="C45" s="4"/>
      <c r="D45" s="4"/>
    </row>
    <row r="46" spans="2:5" x14ac:dyDescent="0.2">
      <c r="B46" s="1" t="s">
        <v>95</v>
      </c>
      <c r="C46" s="4" t="s">
        <v>111</v>
      </c>
      <c r="D46" s="4" t="s">
        <v>109</v>
      </c>
      <c r="E46" s="1" t="s">
        <v>110</v>
      </c>
    </row>
    <row r="47" spans="2:5" x14ac:dyDescent="0.2">
      <c r="B47" s="1" t="s">
        <v>23</v>
      </c>
      <c r="C47" s="4">
        <f>+C32</f>
        <v>19400</v>
      </c>
      <c r="D47" s="4">
        <f>+C44</f>
        <v>5880</v>
      </c>
      <c r="E47" s="4">
        <f>+C47-D47</f>
        <v>13520</v>
      </c>
    </row>
    <row r="48" spans="2:5" x14ac:dyDescent="0.2">
      <c r="B48" s="1" t="s">
        <v>99</v>
      </c>
      <c r="C48" s="4">
        <f>+C28</f>
        <v>400</v>
      </c>
      <c r="D48" s="4">
        <f>+C43</f>
        <v>20</v>
      </c>
      <c r="E48" s="4">
        <f>+C48-D48</f>
        <v>380</v>
      </c>
    </row>
    <row r="49" spans="2:5" x14ac:dyDescent="0.2">
      <c r="C49" s="4">
        <f>SUM(C47:C48)</f>
        <v>19800</v>
      </c>
      <c r="D49" s="4">
        <f t="shared" ref="D49:E49" si="2">SUM(D47:D48)</f>
        <v>5900</v>
      </c>
      <c r="E49" s="4">
        <f t="shared" si="2"/>
        <v>13900</v>
      </c>
    </row>
    <row r="50" spans="2:5" x14ac:dyDescent="0.2">
      <c r="C50" s="4"/>
      <c r="D50" s="4"/>
    </row>
    <row r="51" spans="2:5" x14ac:dyDescent="0.2">
      <c r="B51" s="1" t="s">
        <v>112</v>
      </c>
      <c r="C51" s="4">
        <f>+D26+D31</f>
        <v>18150</v>
      </c>
      <c r="D51" s="4">
        <f>+D21-D27</f>
        <v>3245.8500000000004</v>
      </c>
      <c r="E51" s="4">
        <f>+C51-D51</f>
        <v>14904.15</v>
      </c>
    </row>
    <row r="52" spans="2:5" x14ac:dyDescent="0.2">
      <c r="B52" s="1" t="s">
        <v>98</v>
      </c>
      <c r="C52" s="4">
        <f>+D27</f>
        <v>620</v>
      </c>
      <c r="D52" s="4">
        <f>+D27</f>
        <v>620</v>
      </c>
      <c r="E52" s="4">
        <f>+C52-D52</f>
        <v>0</v>
      </c>
    </row>
    <row r="53" spans="2:5" x14ac:dyDescent="0.2">
      <c r="C53" s="4">
        <f>SUM(C51:C52)</f>
        <v>18770</v>
      </c>
      <c r="D53" s="4">
        <f>SUM(D51:D52)</f>
        <v>3865.8500000000004</v>
      </c>
      <c r="E53" s="4">
        <f t="shared" ref="E53" si="3">SUM(E51:E52)</f>
        <v>14904.15</v>
      </c>
    </row>
    <row r="54" spans="2:5" x14ac:dyDescent="0.2">
      <c r="C54" s="4"/>
      <c r="D54" s="4"/>
      <c r="E54" s="4"/>
    </row>
    <row r="55" spans="2:5" x14ac:dyDescent="0.2">
      <c r="C55" s="4"/>
      <c r="D55" s="4"/>
      <c r="E55" s="4"/>
    </row>
  </sheetData>
  <hyperlinks>
    <hyperlink ref="A1" location="Main!A1" display="Main" xr:uid="{89C917B1-E5CB-4E93-BC03-71931689525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0A872-CA7D-403D-B8A1-67A0A811F7BE}">
  <dimension ref="A1:F65"/>
  <sheetViews>
    <sheetView topLeftCell="A13" zoomScale="175" zoomScaleNormal="175" workbookViewId="0">
      <selection activeCell="A51" sqref="A51"/>
    </sheetView>
  </sheetViews>
  <sheetFormatPr defaultRowHeight="12" x14ac:dyDescent="0.2"/>
  <cols>
    <col min="1" max="16384" width="9.140625" style="1"/>
  </cols>
  <sheetData>
    <row r="1" spans="1:5" ht="15" x14ac:dyDescent="0.25">
      <c r="A1" s="2" t="s">
        <v>0</v>
      </c>
    </row>
    <row r="3" spans="1:5" x14ac:dyDescent="0.2">
      <c r="B3" s="1" t="s">
        <v>66</v>
      </c>
    </row>
    <row r="5" spans="1:5" x14ac:dyDescent="0.2">
      <c r="B5" s="1" t="s">
        <v>67</v>
      </c>
    </row>
    <row r="6" spans="1:5" x14ac:dyDescent="0.2">
      <c r="B6" s="1" t="s">
        <v>29</v>
      </c>
      <c r="C6" s="14">
        <v>0.08</v>
      </c>
    </row>
    <row r="9" spans="1:5" x14ac:dyDescent="0.2">
      <c r="B9" s="1" t="s">
        <v>31</v>
      </c>
      <c r="C9" s="1" t="s">
        <v>68</v>
      </c>
      <c r="D9" s="1" t="s">
        <v>69</v>
      </c>
    </row>
    <row r="10" spans="1:5" x14ac:dyDescent="0.2">
      <c r="B10" s="1" t="s">
        <v>23</v>
      </c>
      <c r="C10" s="4">
        <v>2250</v>
      </c>
      <c r="D10" s="4">
        <v>750</v>
      </c>
      <c r="E10" s="4">
        <f>SUM(C10:D10)</f>
        <v>3000</v>
      </c>
    </row>
    <row r="11" spans="1:5" x14ac:dyDescent="0.2">
      <c r="B11" s="1" t="s">
        <v>24</v>
      </c>
      <c r="C11" s="4">
        <v>600</v>
      </c>
      <c r="D11" s="4">
        <v>150</v>
      </c>
      <c r="E11" s="4">
        <f>SUM(C11:D11)</f>
        <v>750</v>
      </c>
    </row>
    <row r="12" spans="1:5" x14ac:dyDescent="0.2">
      <c r="B12" s="1" t="s">
        <v>25</v>
      </c>
      <c r="C12" s="4">
        <f>SUM(C10:C11)</f>
        <v>2850</v>
      </c>
      <c r="D12" s="4">
        <f>SUM(D10:D11)</f>
        <v>900</v>
      </c>
      <c r="E12" s="4">
        <f>SUM(C12:D12)</f>
        <v>3750</v>
      </c>
    </row>
    <row r="13" spans="1:5" x14ac:dyDescent="0.2">
      <c r="C13" s="4"/>
      <c r="D13" s="4"/>
      <c r="E13" s="4"/>
    </row>
    <row r="14" spans="1:5" x14ac:dyDescent="0.2">
      <c r="B14" s="17" t="s">
        <v>68</v>
      </c>
      <c r="C14" s="4"/>
      <c r="D14" s="4"/>
      <c r="E14" s="4"/>
    </row>
    <row r="15" spans="1:5" x14ac:dyDescent="0.2">
      <c r="B15" s="1" t="s">
        <v>87</v>
      </c>
      <c r="C15" s="4"/>
      <c r="D15" s="4"/>
      <c r="E15" s="4"/>
    </row>
    <row r="16" spans="1:5" x14ac:dyDescent="0.2">
      <c r="B16" s="17"/>
      <c r="C16" s="4"/>
      <c r="D16" s="4"/>
      <c r="E16" s="4"/>
    </row>
    <row r="17" spans="2:5" x14ac:dyDescent="0.2">
      <c r="B17" s="1" t="s">
        <v>31</v>
      </c>
      <c r="C17" s="4">
        <f>+C12</f>
        <v>2850</v>
      </c>
      <c r="D17" s="4">
        <f>+D12</f>
        <v>900</v>
      </c>
      <c r="E17" s="4"/>
    </row>
    <row r="18" spans="2:5" x14ac:dyDescent="0.2">
      <c r="B18" s="1" t="s">
        <v>7</v>
      </c>
      <c r="C18" s="4">
        <v>2170</v>
      </c>
      <c r="D18" s="4">
        <v>900</v>
      </c>
      <c r="E18" s="4"/>
    </row>
    <row r="19" spans="2:5" x14ac:dyDescent="0.2">
      <c r="B19" s="1" t="s">
        <v>32</v>
      </c>
      <c r="C19" s="4">
        <f>+C45</f>
        <v>2156.4505749462305</v>
      </c>
      <c r="D19" s="4">
        <f>+D45</f>
        <v>625.51158077754621</v>
      </c>
      <c r="E19" s="4"/>
    </row>
    <row r="20" spans="2:5" x14ac:dyDescent="0.2">
      <c r="B20" s="1" t="s">
        <v>33</v>
      </c>
      <c r="C20" s="4">
        <f>+C18</f>
        <v>2170</v>
      </c>
      <c r="D20" s="4">
        <f>+D18</f>
        <v>900</v>
      </c>
      <c r="E20" s="4"/>
    </row>
    <row r="21" spans="2:5" x14ac:dyDescent="0.2">
      <c r="B21" s="1" t="s">
        <v>34</v>
      </c>
      <c r="C21" s="4">
        <f>+C20-C17</f>
        <v>-680</v>
      </c>
      <c r="D21" s="4">
        <v>0</v>
      </c>
      <c r="E21" s="4"/>
    </row>
    <row r="22" spans="2:5" x14ac:dyDescent="0.2">
      <c r="C22" s="4"/>
      <c r="D22" s="4"/>
      <c r="E22" s="4"/>
    </row>
    <row r="23" spans="2:5" x14ac:dyDescent="0.2">
      <c r="B23" s="1" t="s">
        <v>71</v>
      </c>
      <c r="C23" s="4"/>
      <c r="D23" s="4"/>
      <c r="E23" s="4"/>
    </row>
    <row r="24" spans="2:5" x14ac:dyDescent="0.2">
      <c r="C24" s="4"/>
      <c r="D24" s="4"/>
      <c r="E24" s="4"/>
    </row>
    <row r="25" spans="2:5" x14ac:dyDescent="0.2">
      <c r="B25" s="1" t="s">
        <v>72</v>
      </c>
      <c r="C25" s="14">
        <f>+-C21/C10</f>
        <v>0.30222222222222223</v>
      </c>
      <c r="D25" s="4"/>
      <c r="E25" s="4"/>
    </row>
    <row r="26" spans="2:5" x14ac:dyDescent="0.2">
      <c r="C26" s="4"/>
      <c r="D26" s="4"/>
      <c r="E26" s="4"/>
    </row>
    <row r="27" spans="2:5" x14ac:dyDescent="0.2">
      <c r="B27" s="1" t="s">
        <v>80</v>
      </c>
      <c r="C27" s="4"/>
      <c r="D27" s="4">
        <v>1400</v>
      </c>
      <c r="E27" s="4">
        <f>+D27*$C$25</f>
        <v>423.11111111111114</v>
      </c>
    </row>
    <row r="28" spans="2:5" x14ac:dyDescent="0.2">
      <c r="B28" s="1" t="s">
        <v>81</v>
      </c>
      <c r="C28" s="4"/>
      <c r="D28" s="4">
        <v>500</v>
      </c>
      <c r="E28" s="4">
        <f t="shared" ref="E28:E29" si="0">+D28*$C$25</f>
        <v>151.11111111111111</v>
      </c>
    </row>
    <row r="29" spans="2:5" x14ac:dyDescent="0.2">
      <c r="B29" s="1" t="s">
        <v>82</v>
      </c>
      <c r="C29" s="4"/>
      <c r="D29" s="4">
        <v>350</v>
      </c>
      <c r="E29" s="4">
        <f t="shared" si="0"/>
        <v>105.77777777777779</v>
      </c>
    </row>
    <row r="30" spans="2:5" x14ac:dyDescent="0.2">
      <c r="C30" s="4"/>
      <c r="D30" s="4">
        <f>SUM(D27:D29)</f>
        <v>2250</v>
      </c>
      <c r="E30" s="4">
        <f>SUM(E27:E29)</f>
        <v>680.00000000000011</v>
      </c>
    </row>
    <row r="31" spans="2:5" x14ac:dyDescent="0.2">
      <c r="C31" s="4"/>
      <c r="D31" s="4"/>
      <c r="E31" s="4"/>
    </row>
    <row r="32" spans="2:5" x14ac:dyDescent="0.2">
      <c r="C32" s="4"/>
      <c r="D32" s="4"/>
      <c r="E32" s="4"/>
    </row>
    <row r="33" spans="2:6" x14ac:dyDescent="0.2">
      <c r="B33" s="1" t="s">
        <v>11</v>
      </c>
      <c r="C33" s="4"/>
      <c r="D33" s="4"/>
      <c r="E33" s="4">
        <f>-C21</f>
        <v>680</v>
      </c>
      <c r="F33" s="4"/>
    </row>
    <row r="34" spans="2:6" x14ac:dyDescent="0.2">
      <c r="C34" s="4" t="s">
        <v>83</v>
      </c>
      <c r="D34" s="4"/>
      <c r="E34" s="4"/>
      <c r="F34" s="4">
        <f>+E27</f>
        <v>423.11111111111114</v>
      </c>
    </row>
    <row r="35" spans="2:6" x14ac:dyDescent="0.2">
      <c r="C35" s="4" t="s">
        <v>84</v>
      </c>
      <c r="D35" s="4"/>
      <c r="E35" s="4"/>
      <c r="F35" s="4">
        <f t="shared" ref="F35:F36" si="1">+E28</f>
        <v>151.11111111111111</v>
      </c>
    </row>
    <row r="36" spans="2:6" x14ac:dyDescent="0.2">
      <c r="C36" s="4" t="s">
        <v>85</v>
      </c>
      <c r="D36" s="4"/>
      <c r="E36" s="4"/>
      <c r="F36" s="4">
        <f t="shared" si="1"/>
        <v>105.77777777777779</v>
      </c>
    </row>
    <row r="37" spans="2:6" x14ac:dyDescent="0.2">
      <c r="B37" s="1" t="s">
        <v>86</v>
      </c>
      <c r="C37" s="4"/>
      <c r="D37" s="4"/>
      <c r="E37" s="4"/>
    </row>
    <row r="39" spans="2:6" x14ac:dyDescent="0.2">
      <c r="B39" s="1" t="s">
        <v>70</v>
      </c>
      <c r="C39" s="1" t="str">
        <f>+C9</f>
        <v>Academy</v>
      </c>
      <c r="D39" s="1" t="str">
        <f>+D9</f>
        <v>Range</v>
      </c>
    </row>
    <row r="40" spans="2:6" x14ac:dyDescent="0.2">
      <c r="B40" s="1">
        <v>1</v>
      </c>
      <c r="C40" s="1">
        <v>600</v>
      </c>
      <c r="D40" s="1">
        <v>175</v>
      </c>
    </row>
    <row r="41" spans="2:6" x14ac:dyDescent="0.2">
      <c r="B41" s="1">
        <v>2</v>
      </c>
      <c r="C41" s="1">
        <v>625</v>
      </c>
      <c r="D41" s="1">
        <v>180</v>
      </c>
    </row>
    <row r="42" spans="2:6" x14ac:dyDescent="0.2">
      <c r="B42" s="1">
        <v>3</v>
      </c>
      <c r="C42" s="1">
        <v>675</v>
      </c>
      <c r="D42" s="1">
        <v>195</v>
      </c>
    </row>
    <row r="43" spans="2:6" x14ac:dyDescent="0.2">
      <c r="B43" s="1">
        <v>4</v>
      </c>
      <c r="C43" s="1">
        <v>720</v>
      </c>
      <c r="D43" s="1">
        <v>210</v>
      </c>
    </row>
    <row r="45" spans="2:6" x14ac:dyDescent="0.2">
      <c r="B45" s="1" t="s">
        <v>32</v>
      </c>
      <c r="C45" s="15">
        <f>NPV($C$6,C40:C43)</f>
        <v>2156.4505749462305</v>
      </c>
      <c r="D45" s="15">
        <f>NPV($C$6,D40:D43)</f>
        <v>625.51158077754621</v>
      </c>
    </row>
    <row r="47" spans="2:6" x14ac:dyDescent="0.2">
      <c r="B47" s="1" t="s">
        <v>88</v>
      </c>
    </row>
    <row r="48" spans="2:6" x14ac:dyDescent="0.2">
      <c r="B48" s="1" t="s">
        <v>89</v>
      </c>
    </row>
    <row r="49" spans="2:6" x14ac:dyDescent="0.2">
      <c r="B49" s="5" t="s">
        <v>90</v>
      </c>
    </row>
    <row r="51" spans="2:6" x14ac:dyDescent="0.2">
      <c r="B51" s="17" t="s">
        <v>24</v>
      </c>
    </row>
    <row r="52" spans="2:6" x14ac:dyDescent="0.2">
      <c r="B52" s="1" t="s">
        <v>31</v>
      </c>
      <c r="D52" s="4">
        <v>150000</v>
      </c>
    </row>
    <row r="53" spans="2:6" x14ac:dyDescent="0.2">
      <c r="B53" s="1" t="s">
        <v>74</v>
      </c>
      <c r="D53" s="4">
        <v>45000</v>
      </c>
    </row>
    <row r="54" spans="2:6" x14ac:dyDescent="0.2">
      <c r="B54" s="1" t="s">
        <v>75</v>
      </c>
      <c r="D54" s="4">
        <v>-5000</v>
      </c>
    </row>
    <row r="55" spans="2:6" x14ac:dyDescent="0.2">
      <c r="B55" s="1" t="s">
        <v>7</v>
      </c>
      <c r="D55" s="4">
        <f>SUM(D53:D54)</f>
        <v>40000</v>
      </c>
    </row>
    <row r="56" spans="2:6" x14ac:dyDescent="0.2">
      <c r="B56" s="1" t="s">
        <v>34</v>
      </c>
      <c r="D56" s="4">
        <f>+D55-D52</f>
        <v>-110000</v>
      </c>
    </row>
    <row r="58" spans="2:6" x14ac:dyDescent="0.2">
      <c r="B58" s="1" t="s">
        <v>76</v>
      </c>
      <c r="D58" s="1">
        <v>700000</v>
      </c>
    </row>
    <row r="59" spans="2:6" x14ac:dyDescent="0.2">
      <c r="B59" s="1" t="s">
        <v>31</v>
      </c>
      <c r="D59" s="4">
        <f>+E11*1000</f>
        <v>750000</v>
      </c>
    </row>
    <row r="60" spans="2:6" x14ac:dyDescent="0.2">
      <c r="B60" s="1" t="s">
        <v>77</v>
      </c>
      <c r="D60" s="4">
        <f>+D59-D58</f>
        <v>50000</v>
      </c>
    </row>
    <row r="63" spans="2:6" x14ac:dyDescent="0.2">
      <c r="B63" s="1" t="s">
        <v>78</v>
      </c>
      <c r="E63" s="4">
        <f>-D56</f>
        <v>110000</v>
      </c>
    </row>
    <row r="64" spans="2:6" x14ac:dyDescent="0.2">
      <c r="C64" s="1" t="s">
        <v>73</v>
      </c>
      <c r="F64" s="4">
        <f>+E63</f>
        <v>110000</v>
      </c>
    </row>
    <row r="65" spans="2:2" x14ac:dyDescent="0.2">
      <c r="B65" s="1" t="s">
        <v>79</v>
      </c>
    </row>
  </sheetData>
  <hyperlinks>
    <hyperlink ref="A1" location="Main!A1" display="Main" xr:uid="{59D7094E-6156-4FA4-AECD-B5E13CF71E5B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8EC1-05F9-46A1-B518-2DE03F7B435D}">
  <dimension ref="A1:G123"/>
  <sheetViews>
    <sheetView topLeftCell="A41" zoomScale="175" zoomScaleNormal="175" workbookViewId="0">
      <selection activeCell="C78" sqref="C78"/>
    </sheetView>
  </sheetViews>
  <sheetFormatPr defaultRowHeight="12" x14ac:dyDescent="0.2"/>
  <cols>
    <col min="1" max="16384" width="9.140625" style="1"/>
  </cols>
  <sheetData>
    <row r="1" spans="1:6" ht="15" x14ac:dyDescent="0.25">
      <c r="A1" s="2" t="s">
        <v>0</v>
      </c>
    </row>
    <row r="4" spans="1:6" x14ac:dyDescent="0.2">
      <c r="B4" s="1" t="s">
        <v>129</v>
      </c>
      <c r="C4" s="5" t="s">
        <v>194</v>
      </c>
    </row>
    <row r="6" spans="1:6" x14ac:dyDescent="0.2">
      <c r="B6" s="1" t="s">
        <v>116</v>
      </c>
      <c r="C6" s="3">
        <v>45688</v>
      </c>
    </row>
    <row r="7" spans="1:6" x14ac:dyDescent="0.2">
      <c r="B7" s="1" t="s">
        <v>130</v>
      </c>
    </row>
    <row r="8" spans="1:6" x14ac:dyDescent="0.2">
      <c r="B8" s="1" t="s">
        <v>131</v>
      </c>
    </row>
    <row r="10" spans="1:6" x14ac:dyDescent="0.2">
      <c r="B10" s="1" t="s">
        <v>92</v>
      </c>
      <c r="C10" s="1" t="s">
        <v>132</v>
      </c>
      <c r="D10" s="1" t="s">
        <v>151</v>
      </c>
    </row>
    <row r="11" spans="1:6" x14ac:dyDescent="0.2">
      <c r="B11" s="3">
        <v>46053</v>
      </c>
      <c r="C11" s="1">
        <v>0.90900000000000003</v>
      </c>
      <c r="D11" s="1">
        <v>20</v>
      </c>
      <c r="E11" s="4">
        <f>+C11*D11</f>
        <v>18.18</v>
      </c>
    </row>
    <row r="12" spans="1:6" x14ac:dyDescent="0.2">
      <c r="B12" s="3">
        <v>46418</v>
      </c>
      <c r="C12" s="1">
        <v>0.82599999999999996</v>
      </c>
      <c r="D12" s="1">
        <v>50</v>
      </c>
      <c r="E12" s="4">
        <f t="shared" ref="E12:E14" si="0">+C12*D12</f>
        <v>41.3</v>
      </c>
    </row>
    <row r="13" spans="1:6" x14ac:dyDescent="0.2">
      <c r="B13" s="3">
        <v>46783</v>
      </c>
      <c r="C13" s="1">
        <v>0.751</v>
      </c>
      <c r="D13" s="1">
        <v>100</v>
      </c>
      <c r="E13" s="4">
        <f t="shared" si="0"/>
        <v>75.099999999999994</v>
      </c>
    </row>
    <row r="14" spans="1:6" x14ac:dyDescent="0.2">
      <c r="B14" s="3">
        <v>47149</v>
      </c>
      <c r="C14" s="1">
        <v>0.68300000000000005</v>
      </c>
      <c r="D14" s="1">
        <v>120</v>
      </c>
      <c r="E14" s="4">
        <f t="shared" si="0"/>
        <v>81.960000000000008</v>
      </c>
    </row>
    <row r="15" spans="1:6" x14ac:dyDescent="0.2">
      <c r="E15" s="20">
        <f>SUM(E11:E14)</f>
        <v>216.54</v>
      </c>
      <c r="F15" s="1" t="s">
        <v>152</v>
      </c>
    </row>
    <row r="17" spans="2:6" x14ac:dyDescent="0.2">
      <c r="B17" s="1" t="s">
        <v>156</v>
      </c>
    </row>
    <row r="18" spans="2:6" x14ac:dyDescent="0.2">
      <c r="B18" s="1" t="s">
        <v>164</v>
      </c>
      <c r="E18" s="1">
        <v>525</v>
      </c>
    </row>
    <row r="19" spans="2:6" x14ac:dyDescent="0.2">
      <c r="B19" s="1" t="s">
        <v>163</v>
      </c>
      <c r="E19" s="1">
        <v>54</v>
      </c>
    </row>
    <row r="20" spans="2:6" ht="12.75" thickBot="1" x14ac:dyDescent="0.25">
      <c r="B20" s="1" t="s">
        <v>162</v>
      </c>
      <c r="E20" s="22">
        <f>SUM(E18:E19)</f>
        <v>579</v>
      </c>
    </row>
    <row r="21" spans="2:6" ht="12.75" thickTop="1" x14ac:dyDescent="0.2"/>
    <row r="22" spans="2:6" x14ac:dyDescent="0.2">
      <c r="B22" s="1" t="s">
        <v>161</v>
      </c>
      <c r="E22" s="1">
        <v>200</v>
      </c>
    </row>
    <row r="23" spans="2:6" x14ac:dyDescent="0.2">
      <c r="B23" s="1" t="s">
        <v>160</v>
      </c>
      <c r="E23" s="1">
        <v>335</v>
      </c>
    </row>
    <row r="24" spans="2:6" ht="12.75" thickBot="1" x14ac:dyDescent="0.25">
      <c r="B24" s="1" t="s">
        <v>159</v>
      </c>
      <c r="E24" s="22">
        <f>SUM(E22:E23)</f>
        <v>535</v>
      </c>
    </row>
    <row r="25" spans="2:6" ht="12.75" thickTop="1" x14ac:dyDescent="0.2"/>
    <row r="26" spans="2:6" x14ac:dyDescent="0.2">
      <c r="B26" s="1" t="s">
        <v>158</v>
      </c>
      <c r="E26" s="1">
        <v>44</v>
      </c>
    </row>
    <row r="27" spans="2:6" ht="12.75" thickBot="1" x14ac:dyDescent="0.25">
      <c r="B27" s="1" t="s">
        <v>157</v>
      </c>
      <c r="E27" s="22">
        <f>+E26+E24</f>
        <v>579</v>
      </c>
    </row>
    <row r="28" spans="2:6" ht="12.75" thickTop="1" x14ac:dyDescent="0.2"/>
    <row r="29" spans="2:6" x14ac:dyDescent="0.2">
      <c r="B29" s="1" t="s">
        <v>164</v>
      </c>
    </row>
    <row r="30" spans="2:6" x14ac:dyDescent="0.2">
      <c r="B30" s="1" t="s">
        <v>136</v>
      </c>
      <c r="C30" s="1" t="s">
        <v>133</v>
      </c>
      <c r="D30" s="1" t="s">
        <v>134</v>
      </c>
      <c r="E30" s="1" t="s">
        <v>81</v>
      </c>
      <c r="F30" s="1" t="s">
        <v>135</v>
      </c>
    </row>
    <row r="31" spans="2:6" x14ac:dyDescent="0.2">
      <c r="B31" s="3">
        <v>45323</v>
      </c>
      <c r="C31" s="1">
        <v>30</v>
      </c>
      <c r="D31" s="1">
        <v>360</v>
      </c>
      <c r="E31" s="1">
        <v>53</v>
      </c>
      <c r="F31" s="1">
        <v>240</v>
      </c>
    </row>
    <row r="32" spans="2:6" x14ac:dyDescent="0.2">
      <c r="B32" s="1" t="s">
        <v>137</v>
      </c>
      <c r="C32" s="1">
        <v>0</v>
      </c>
      <c r="D32" s="1">
        <v>0</v>
      </c>
      <c r="E32" s="1">
        <v>0</v>
      </c>
      <c r="F32" s="1">
        <v>25</v>
      </c>
    </row>
    <row r="33" spans="2:6" ht="12.75" thickBot="1" x14ac:dyDescent="0.25">
      <c r="B33" s="3">
        <v>45688</v>
      </c>
      <c r="C33" s="22">
        <f>SUM(C31:C32)</f>
        <v>30</v>
      </c>
      <c r="D33" s="22">
        <f t="shared" ref="D33:F33" si="1">SUM(D31:D32)</f>
        <v>360</v>
      </c>
      <c r="E33" s="22">
        <f t="shared" si="1"/>
        <v>53</v>
      </c>
      <c r="F33" s="22">
        <f t="shared" si="1"/>
        <v>265</v>
      </c>
    </row>
    <row r="34" spans="2:6" ht="12.75" thickTop="1" x14ac:dyDescent="0.2"/>
    <row r="35" spans="2:6" x14ac:dyDescent="0.2">
      <c r="B35" s="1" t="s">
        <v>138</v>
      </c>
    </row>
    <row r="36" spans="2:6" x14ac:dyDescent="0.2">
      <c r="B36" s="3">
        <f>+B31</f>
        <v>45323</v>
      </c>
      <c r="C36" s="1">
        <v>11</v>
      </c>
      <c r="D36" s="1">
        <v>0</v>
      </c>
      <c r="E36" s="1">
        <v>18</v>
      </c>
      <c r="F36" s="1">
        <v>120</v>
      </c>
    </row>
    <row r="37" spans="2:6" x14ac:dyDescent="0.2">
      <c r="B37" s="1" t="s">
        <v>139</v>
      </c>
      <c r="C37" s="1">
        <v>4</v>
      </c>
      <c r="D37" s="1">
        <v>0</v>
      </c>
      <c r="E37" s="1">
        <v>4</v>
      </c>
      <c r="F37" s="1">
        <v>26</v>
      </c>
    </row>
    <row r="38" spans="2:6" ht="12.75" thickBot="1" x14ac:dyDescent="0.25">
      <c r="B38" s="3">
        <f>+B33</f>
        <v>45688</v>
      </c>
      <c r="C38" s="22">
        <f>SUM(C36:C37)</f>
        <v>15</v>
      </c>
      <c r="D38" s="22">
        <f t="shared" ref="D38:F38" si="2">SUM(D36:D37)</f>
        <v>0</v>
      </c>
      <c r="E38" s="22">
        <f t="shared" si="2"/>
        <v>22</v>
      </c>
      <c r="F38" s="22">
        <f t="shared" si="2"/>
        <v>146</v>
      </c>
    </row>
    <row r="39" spans="2:6" ht="12.75" thickTop="1" x14ac:dyDescent="0.2"/>
    <row r="40" spans="2:6" x14ac:dyDescent="0.2">
      <c r="B40" s="1" t="s">
        <v>31</v>
      </c>
    </row>
    <row r="41" spans="2:6" ht="12.75" thickBot="1" x14ac:dyDescent="0.25">
      <c r="B41" s="3">
        <v>45688</v>
      </c>
      <c r="C41" s="22">
        <f>+C33-C38</f>
        <v>15</v>
      </c>
      <c r="D41" s="22">
        <f t="shared" ref="D41:F41" si="3">+D33-D38</f>
        <v>360</v>
      </c>
      <c r="E41" s="22">
        <f t="shared" si="3"/>
        <v>31</v>
      </c>
      <c r="F41" s="22">
        <f t="shared" si="3"/>
        <v>119</v>
      </c>
    </row>
    <row r="42" spans="2:6" ht="13.5" thickTop="1" thickBot="1" x14ac:dyDescent="0.25">
      <c r="B42" s="3">
        <f>+B36</f>
        <v>45323</v>
      </c>
      <c r="C42" s="23">
        <f>+C31-C36</f>
        <v>19</v>
      </c>
      <c r="D42" s="23">
        <f t="shared" ref="D42:F42" si="4">+D31-D36</f>
        <v>360</v>
      </c>
      <c r="E42" s="23">
        <f t="shared" si="4"/>
        <v>35</v>
      </c>
      <c r="F42" s="23">
        <f t="shared" si="4"/>
        <v>120</v>
      </c>
    </row>
    <row r="43" spans="2:6" ht="12.75" thickTop="1" x14ac:dyDescent="0.2"/>
    <row r="44" spans="2:6" x14ac:dyDescent="0.2">
      <c r="B44" s="1" t="s">
        <v>155</v>
      </c>
    </row>
    <row r="45" spans="2:6" x14ac:dyDescent="0.2">
      <c r="B45" s="1" t="s">
        <v>165</v>
      </c>
      <c r="F45" s="4">
        <f>SUM(C41:F41)</f>
        <v>525</v>
      </c>
    </row>
    <row r="46" spans="2:6" x14ac:dyDescent="0.2">
      <c r="B46" s="1" t="s">
        <v>166</v>
      </c>
      <c r="F46" s="1">
        <f>-+C107</f>
        <v>-72</v>
      </c>
    </row>
    <row r="47" spans="2:6" ht="12.75" thickBot="1" x14ac:dyDescent="0.25">
      <c r="B47" s="17" t="s">
        <v>168</v>
      </c>
      <c r="F47" s="9">
        <f>SUM(F45:F46)</f>
        <v>453</v>
      </c>
    </row>
    <row r="48" spans="2:6" ht="12.75" thickTop="1" x14ac:dyDescent="0.2"/>
    <row r="49" spans="2:7" x14ac:dyDescent="0.2">
      <c r="B49" s="1" t="s">
        <v>7</v>
      </c>
    </row>
    <row r="50" spans="2:7" x14ac:dyDescent="0.2">
      <c r="B50" s="1" t="s">
        <v>170</v>
      </c>
      <c r="F50" s="1">
        <v>0</v>
      </c>
    </row>
    <row r="51" spans="2:7" x14ac:dyDescent="0.2">
      <c r="B51" s="1" t="s">
        <v>169</v>
      </c>
      <c r="F51" s="1">
        <v>280</v>
      </c>
    </row>
    <row r="52" spans="2:7" x14ac:dyDescent="0.2">
      <c r="B52" s="1" t="s">
        <v>135</v>
      </c>
      <c r="F52" s="1">
        <v>90</v>
      </c>
    </row>
    <row r="53" spans="2:7" ht="12.75" thickBot="1" x14ac:dyDescent="0.25">
      <c r="B53" s="17" t="s">
        <v>7</v>
      </c>
      <c r="F53" s="24">
        <f>SUM(F50:F52)</f>
        <v>370</v>
      </c>
    </row>
    <row r="54" spans="2:7" ht="12.75" thickTop="1" x14ac:dyDescent="0.2">
      <c r="B54" s="17" t="s">
        <v>32</v>
      </c>
      <c r="F54" s="20">
        <f>+E15</f>
        <v>216.54</v>
      </c>
    </row>
    <row r="55" spans="2:7" x14ac:dyDescent="0.2">
      <c r="B55" s="1" t="s">
        <v>173</v>
      </c>
      <c r="F55" s="4">
        <f>+F53</f>
        <v>370</v>
      </c>
      <c r="G55" s="5" t="s">
        <v>174</v>
      </c>
    </row>
    <row r="56" spans="2:7" x14ac:dyDescent="0.2">
      <c r="B56" s="17"/>
      <c r="F56" s="4"/>
    </row>
    <row r="57" spans="2:7" x14ac:dyDescent="0.2">
      <c r="B57" s="1" t="s">
        <v>171</v>
      </c>
    </row>
    <row r="58" spans="2:7" x14ac:dyDescent="0.2">
      <c r="B58" s="1" t="s">
        <v>31</v>
      </c>
      <c r="F58" s="4">
        <f>+F47</f>
        <v>453</v>
      </c>
    </row>
    <row r="59" spans="2:7" x14ac:dyDescent="0.2">
      <c r="B59" s="1" t="s">
        <v>172</v>
      </c>
      <c r="F59" s="4">
        <f>+F55</f>
        <v>370</v>
      </c>
    </row>
    <row r="60" spans="2:7" ht="12.75" thickBot="1" x14ac:dyDescent="0.25">
      <c r="B60" s="1" t="s">
        <v>171</v>
      </c>
      <c r="F60" s="6">
        <f>+F59-F58</f>
        <v>-83</v>
      </c>
    </row>
    <row r="61" spans="2:7" ht="12.75" thickTop="1" x14ac:dyDescent="0.2"/>
    <row r="62" spans="2:7" x14ac:dyDescent="0.2">
      <c r="B62" s="1" t="s">
        <v>175</v>
      </c>
    </row>
    <row r="64" spans="2:7" x14ac:dyDescent="0.2">
      <c r="B64" s="1" t="s">
        <v>176</v>
      </c>
      <c r="E64" s="4">
        <f>-F46</f>
        <v>72</v>
      </c>
    </row>
    <row r="65" spans="2:6" x14ac:dyDescent="0.2">
      <c r="C65" s="1" t="s">
        <v>177</v>
      </c>
      <c r="F65" s="4">
        <f>+E64</f>
        <v>72</v>
      </c>
    </row>
    <row r="66" spans="2:6" x14ac:dyDescent="0.2">
      <c r="B66" s="1" t="s">
        <v>178</v>
      </c>
      <c r="F66" s="4"/>
    </row>
    <row r="67" spans="2:6" x14ac:dyDescent="0.2">
      <c r="F67" s="4"/>
    </row>
    <row r="68" spans="2:6" x14ac:dyDescent="0.2">
      <c r="B68" s="1" t="s">
        <v>179</v>
      </c>
      <c r="F68" s="4"/>
    </row>
    <row r="69" spans="2:6" x14ac:dyDescent="0.2">
      <c r="F69" s="4"/>
    </row>
    <row r="70" spans="2:6" x14ac:dyDescent="0.2">
      <c r="C70" s="1" t="s">
        <v>31</v>
      </c>
      <c r="D70" s="1" t="s">
        <v>7</v>
      </c>
      <c r="E70" s="1" t="s">
        <v>180</v>
      </c>
      <c r="F70" s="4"/>
    </row>
    <row r="71" spans="2:6" x14ac:dyDescent="0.2">
      <c r="B71" s="1" t="s">
        <v>181</v>
      </c>
      <c r="C71" s="1">
        <v>15</v>
      </c>
      <c r="D71" s="1">
        <v>0</v>
      </c>
      <c r="E71" s="1">
        <v>15</v>
      </c>
      <c r="F71" s="4"/>
    </row>
    <row r="72" spans="2:6" x14ac:dyDescent="0.2">
      <c r="B72" s="1" t="s">
        <v>182</v>
      </c>
      <c r="C72" s="1">
        <v>319</v>
      </c>
      <c r="D72" s="1">
        <v>280</v>
      </c>
      <c r="E72" s="1">
        <v>39</v>
      </c>
      <c r="F72" s="4"/>
    </row>
    <row r="73" spans="2:6" x14ac:dyDescent="0.2">
      <c r="B73" s="1" t="s">
        <v>135</v>
      </c>
      <c r="C73" s="1">
        <v>119</v>
      </c>
      <c r="D73" s="1">
        <v>90</v>
      </c>
      <c r="E73" s="1">
        <v>29</v>
      </c>
      <c r="F73" s="4"/>
    </row>
    <row r="74" spans="2:6" ht="12.75" thickBot="1" x14ac:dyDescent="0.25">
      <c r="C74" s="22">
        <f>SUM(C71:C73)</f>
        <v>453</v>
      </c>
      <c r="D74" s="22">
        <f t="shared" ref="D74:E74" si="5">SUM(D71:D73)</f>
        <v>370</v>
      </c>
      <c r="E74" s="22">
        <f t="shared" si="5"/>
        <v>83</v>
      </c>
      <c r="F74" s="4"/>
    </row>
    <row r="75" spans="2:6" ht="12.75" thickTop="1" x14ac:dyDescent="0.2">
      <c r="F75" s="4"/>
    </row>
    <row r="76" spans="2:6" x14ac:dyDescent="0.2">
      <c r="B76" s="1" t="s">
        <v>183</v>
      </c>
      <c r="F76" s="4"/>
    </row>
    <row r="77" spans="2:6" x14ac:dyDescent="0.2">
      <c r="B77" s="1" t="s">
        <v>184</v>
      </c>
      <c r="E77" s="14">
        <f>+E72/C72</f>
        <v>0.12225705329153605</v>
      </c>
      <c r="F77" s="4"/>
    </row>
    <row r="78" spans="2:6" x14ac:dyDescent="0.2">
      <c r="F78" s="4"/>
    </row>
    <row r="79" spans="2:6" x14ac:dyDescent="0.2">
      <c r="C79" s="1" t="s">
        <v>31</v>
      </c>
      <c r="D79" s="1" t="s">
        <v>185</v>
      </c>
      <c r="F79" s="4"/>
    </row>
    <row r="80" spans="2:6" x14ac:dyDescent="0.2">
      <c r="B80" s="1" t="s">
        <v>186</v>
      </c>
      <c r="C80" s="1">
        <f>+C72-31</f>
        <v>288</v>
      </c>
      <c r="D80" s="4">
        <f>+C80*E77</f>
        <v>35.210031347962385</v>
      </c>
      <c r="F80" s="4"/>
    </row>
    <row r="81" spans="2:6" x14ac:dyDescent="0.2">
      <c r="B81" s="1" t="s">
        <v>187</v>
      </c>
      <c r="C81" s="1">
        <v>31</v>
      </c>
      <c r="D81" s="4">
        <f>+C81*E77</f>
        <v>3.7899686520376177</v>
      </c>
      <c r="F81" s="4"/>
    </row>
    <row r="82" spans="2:6" ht="12.75" thickBot="1" x14ac:dyDescent="0.25">
      <c r="C82" s="22">
        <f>SUM(C80:C81)</f>
        <v>319</v>
      </c>
      <c r="D82" s="22">
        <f>SUM(D80:D81)</f>
        <v>39</v>
      </c>
      <c r="E82" s="4"/>
      <c r="F82" s="4"/>
    </row>
    <row r="83" spans="2:6" ht="12.75" thickTop="1" x14ac:dyDescent="0.2">
      <c r="C83" s="25"/>
      <c r="D83" s="25"/>
      <c r="E83" s="4"/>
      <c r="F83" s="4"/>
    </row>
    <row r="84" spans="2:6" x14ac:dyDescent="0.2">
      <c r="B84" s="1" t="s">
        <v>188</v>
      </c>
      <c r="C84" s="25"/>
      <c r="D84" s="25"/>
      <c r="E84" s="4">
        <f>+E74</f>
        <v>83</v>
      </c>
      <c r="F84" s="4"/>
    </row>
    <row r="85" spans="2:6" x14ac:dyDescent="0.2">
      <c r="C85" s="25" t="s">
        <v>189</v>
      </c>
      <c r="D85" s="25"/>
      <c r="E85" s="4"/>
      <c r="F85" s="4">
        <f>+E71</f>
        <v>15</v>
      </c>
    </row>
    <row r="86" spans="2:6" x14ac:dyDescent="0.2">
      <c r="C86" s="25" t="s">
        <v>190</v>
      </c>
      <c r="D86" s="25"/>
      <c r="E86" s="4"/>
      <c r="F86" s="4">
        <f>+D80</f>
        <v>35.210031347962385</v>
      </c>
    </row>
    <row r="87" spans="2:6" x14ac:dyDescent="0.2">
      <c r="C87" s="25" t="s">
        <v>191</v>
      </c>
      <c r="D87" s="25"/>
      <c r="E87" s="4"/>
      <c r="F87" s="4">
        <f>+D81</f>
        <v>3.7899686520376177</v>
      </c>
    </row>
    <row r="88" spans="2:6" x14ac:dyDescent="0.2">
      <c r="C88" s="25" t="s">
        <v>192</v>
      </c>
      <c r="D88" s="25"/>
      <c r="E88" s="4"/>
      <c r="F88" s="4">
        <f>+E73</f>
        <v>29</v>
      </c>
    </row>
    <row r="89" spans="2:6" x14ac:dyDescent="0.2">
      <c r="B89" s="1" t="s">
        <v>193</v>
      </c>
      <c r="E89" s="4"/>
      <c r="F89" s="4"/>
    </row>
    <row r="90" spans="2:6" x14ac:dyDescent="0.2">
      <c r="F90" s="4"/>
    </row>
    <row r="92" spans="2:6" x14ac:dyDescent="0.2">
      <c r="B92" s="17" t="s">
        <v>133</v>
      </c>
    </row>
    <row r="93" spans="2:6" x14ac:dyDescent="0.2">
      <c r="B93" s="1" t="s">
        <v>140</v>
      </c>
    </row>
    <row r="94" spans="2:6" x14ac:dyDescent="0.2">
      <c r="B94" s="1" t="s">
        <v>141</v>
      </c>
      <c r="C94" s="3">
        <v>44228</v>
      </c>
    </row>
    <row r="95" spans="2:6" x14ac:dyDescent="0.2">
      <c r="B95" s="1" t="s">
        <v>142</v>
      </c>
      <c r="C95" s="1">
        <f>8*12</f>
        <v>96</v>
      </c>
      <c r="D95" s="1" t="s">
        <v>143</v>
      </c>
    </row>
    <row r="97" spans="2:4" x14ac:dyDescent="0.2">
      <c r="B97" s="17" t="s">
        <v>144</v>
      </c>
    </row>
    <row r="98" spans="2:4" x14ac:dyDescent="0.2">
      <c r="B98" s="1" t="s">
        <v>141</v>
      </c>
      <c r="C98" s="3">
        <f>+C94</f>
        <v>44228</v>
      </c>
    </row>
    <row r="99" spans="2:4" x14ac:dyDescent="0.2">
      <c r="B99" s="1" t="s">
        <v>142</v>
      </c>
      <c r="C99" s="1">
        <f>8*12</f>
        <v>96</v>
      </c>
      <c r="D99" s="1" t="s">
        <v>143</v>
      </c>
    </row>
    <row r="100" spans="2:4" x14ac:dyDescent="0.2">
      <c r="B100" s="1" t="s">
        <v>145</v>
      </c>
    </row>
    <row r="101" spans="2:4" x14ac:dyDescent="0.2">
      <c r="C101" s="3">
        <v>45323</v>
      </c>
    </row>
    <row r="102" spans="2:4" x14ac:dyDescent="0.2">
      <c r="C102" s="4">
        <f>YEARFRAC(C98,C101)*12</f>
        <v>36</v>
      </c>
    </row>
    <row r="103" spans="2:4" x14ac:dyDescent="0.2">
      <c r="B103" s="1" t="s">
        <v>167</v>
      </c>
      <c r="C103" s="4">
        <f>C99-C102</f>
        <v>60</v>
      </c>
      <c r="D103" s="1" t="s">
        <v>143</v>
      </c>
    </row>
    <row r="104" spans="2:4" x14ac:dyDescent="0.2">
      <c r="B104" s="1" t="s">
        <v>146</v>
      </c>
    </row>
    <row r="106" spans="2:4" x14ac:dyDescent="0.2">
      <c r="B106" s="1" t="s">
        <v>147</v>
      </c>
      <c r="C106" s="1">
        <v>360</v>
      </c>
    </row>
    <row r="107" spans="2:4" x14ac:dyDescent="0.2">
      <c r="C107" s="1">
        <f>+C106*12/C103</f>
        <v>72</v>
      </c>
    </row>
    <row r="110" spans="2:4" x14ac:dyDescent="0.2">
      <c r="B110" s="17" t="s">
        <v>135</v>
      </c>
    </row>
    <row r="111" spans="2:4" x14ac:dyDescent="0.2">
      <c r="B111" s="1" t="s">
        <v>31</v>
      </c>
      <c r="C111" s="1">
        <f>+F41</f>
        <v>119</v>
      </c>
    </row>
    <row r="112" spans="2:4" x14ac:dyDescent="0.2">
      <c r="B112" s="1" t="s">
        <v>7</v>
      </c>
      <c r="C112" s="1">
        <v>90</v>
      </c>
    </row>
    <row r="113" spans="2:6" x14ac:dyDescent="0.2">
      <c r="B113" s="1" t="s">
        <v>34</v>
      </c>
      <c r="C113" s="1">
        <f>+C112-C111</f>
        <v>-29</v>
      </c>
    </row>
    <row r="115" spans="2:6" x14ac:dyDescent="0.2">
      <c r="B115" s="1" t="s">
        <v>148</v>
      </c>
      <c r="E115" s="1">
        <f>-C113</f>
        <v>29</v>
      </c>
    </row>
    <row r="116" spans="2:6" x14ac:dyDescent="0.2">
      <c r="C116" s="1" t="s">
        <v>149</v>
      </c>
      <c r="F116" s="1">
        <f>+E115</f>
        <v>29</v>
      </c>
    </row>
    <row r="117" spans="2:6" x14ac:dyDescent="0.2">
      <c r="B117" s="1" t="s">
        <v>150</v>
      </c>
    </row>
    <row r="119" spans="2:6" x14ac:dyDescent="0.2">
      <c r="B119" s="1" t="s">
        <v>32</v>
      </c>
    </row>
    <row r="120" spans="2:6" x14ac:dyDescent="0.2">
      <c r="B120" s="4" cm="1">
        <f t="array" ref="B120:C120">+E15:F15</f>
        <v>216.54</v>
      </c>
      <c r="C120" s="1" t="str">
        <v>VU of the whole business</v>
      </c>
    </row>
    <row r="122" spans="2:6" x14ac:dyDescent="0.2">
      <c r="B122" s="1" t="s">
        <v>153</v>
      </c>
    </row>
    <row r="123" spans="2:6" x14ac:dyDescent="0.2">
      <c r="B123" s="1" t="s">
        <v>154</v>
      </c>
    </row>
  </sheetData>
  <hyperlinks>
    <hyperlink ref="A1" location="Main!A1" display="Main" xr:uid="{2F362A43-922D-4E60-A98D-611722A348CA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Module 10</vt:lpstr>
      <vt:lpstr>WSE10.1</vt:lpstr>
      <vt:lpstr>WSE10.2</vt:lpstr>
      <vt:lpstr>WSE10.4</vt:lpstr>
      <vt:lpstr>WSE10.5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bcornish</dc:creator>
  <cp:lastModifiedBy>Cornish, Bob</cp:lastModifiedBy>
  <dcterms:created xsi:type="dcterms:W3CDTF">2023-05-01T10:59:00Z</dcterms:created>
  <dcterms:modified xsi:type="dcterms:W3CDTF">2023-05-06T16:41:38Z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2023-05-01T10:59:01Z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c004c4b7-e1c6-4663-b99d-7c2e4722dfe3</vt:lpwstr>
  </property>
  <property fmtid="{D5CDD505-2E9C-101B-9397-08002B2CF9AE}" pid="8" name="MSIP_Label_ea60d57e-af5b-4752-ac57-3e4f28ca11dc_ContentBits">
    <vt:lpwstr>0</vt:lpwstr>
  </property>
</Properties>
</file>