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2116" documentId="8_{A2D2504D-96DB-4FA9-9006-A80B30F5C4DD}" xr6:coauthVersionLast="47" xr6:coauthVersionMax="47" xr10:uidLastSave="{7386FD70-2734-4BB7-8B57-28A6A4F5D101}"/>
  <bookViews>
    <workbookView xWindow="780" yWindow="705" windowWidth="6675" windowHeight="6945" firstSheet="21" activeTab="26" xr2:uid="{91612E34-D7FE-4A93-ABEC-7ACBA05504AC}"/>
  </bookViews>
  <sheets>
    <sheet name="Main"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Leases!$B$2:$B$6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 i="68" l="1"/>
  <c r="C78" i="68"/>
  <c r="F55" i="70"/>
  <c r="C98" i="16" l="1"/>
  <c r="C97" i="16"/>
  <c r="C95" i="16"/>
  <c r="C102" i="16" s="1"/>
  <c r="C94" i="16"/>
  <c r="C93" i="16"/>
  <c r="C91" i="16"/>
  <c r="C96" i="16" s="1"/>
  <c r="J88" i="16"/>
  <c r="D89" i="16"/>
  <c r="D103" i="16" l="1"/>
  <c r="C103" i="16"/>
  <c r="B96" i="16"/>
  <c r="B33" i="16" l="1"/>
  <c r="C18" i="16"/>
  <c r="C32" i="16" s="1"/>
  <c r="C16" i="16" l="1"/>
  <c r="E41" i="95"/>
  <c r="E59" i="69"/>
  <c r="C32" i="96"/>
  <c r="C36" i="96" s="1"/>
  <c r="D78" i="96"/>
  <c r="C78" i="96"/>
  <c r="C76" i="96"/>
  <c r="C74" i="96"/>
  <c r="C23" i="96"/>
  <c r="C21" i="96"/>
  <c r="C126" i="96"/>
  <c r="C35" i="96" l="1"/>
  <c r="D40" i="96" s="1"/>
  <c r="C128" i="96" l="1"/>
  <c r="D130" i="96" s="1"/>
  <c r="D129" i="96"/>
  <c r="C117" i="96"/>
  <c r="C91" i="96"/>
  <c r="D96" i="96" s="1"/>
  <c r="C90" i="96"/>
  <c r="D95" i="96" s="1"/>
  <c r="C88" i="96"/>
  <c r="E78" i="96" a="1"/>
  <c r="E78" i="96" s="1"/>
  <c r="F78" i="96" s="1"/>
  <c r="E76" i="96" a="1"/>
  <c r="E76" i="96" s="1"/>
  <c r="F76" i="96" s="1"/>
  <c r="E74" i="96" a="1"/>
  <c r="E74" i="96" s="1"/>
  <c r="F74" i="96" s="1"/>
  <c r="G74" i="96" s="1"/>
  <c r="E69" i="96" a="1"/>
  <c r="E69" i="96" s="1"/>
  <c r="O68" i="96"/>
  <c r="D23" i="96"/>
  <c r="D21" i="96"/>
  <c r="E21" i="96" s="1"/>
  <c r="F21" i="96" s="1"/>
  <c r="D19" i="96"/>
  <c r="E19" i="96" s="1"/>
  <c r="F19" i="96" s="1"/>
  <c r="G19" i="96" s="1"/>
  <c r="D12" i="96"/>
  <c r="O9" i="96"/>
  <c r="D32" i="96"/>
  <c r="C24" i="96"/>
  <c r="C22" i="96"/>
  <c r="C20" i="96"/>
  <c r="G78" i="96" l="1"/>
  <c r="E23" i="96"/>
  <c r="F23" i="96" s="1"/>
  <c r="G23" i="96" s="1"/>
  <c r="L19" i="96"/>
  <c r="M20" i="96"/>
  <c r="G21" i="96"/>
  <c r="M75" i="96"/>
  <c r="L74" i="96"/>
  <c r="G76" i="96"/>
  <c r="C83" i="96"/>
  <c r="M79" i="96"/>
  <c r="L78" i="96"/>
  <c r="D107" i="96"/>
  <c r="C92" i="96"/>
  <c r="C94" i="96" s="1"/>
  <c r="C101" i="96"/>
  <c r="D102" i="96"/>
  <c r="C106" i="96"/>
  <c r="D41" i="96" l="1"/>
  <c r="L23" i="96"/>
  <c r="M24" i="96"/>
  <c r="M77" i="96"/>
  <c r="L76" i="96"/>
  <c r="M22" i="96"/>
  <c r="L21" i="96"/>
  <c r="D52" i="96" s="1"/>
  <c r="D47" i="96"/>
  <c r="C46" i="96"/>
  <c r="C28" i="96"/>
  <c r="C37" i="96" l="1"/>
  <c r="C39" i="96" s="1"/>
  <c r="C51" i="96"/>
  <c r="J11" i="74" l="1"/>
  <c r="L43" i="74"/>
  <c r="L13" i="74"/>
  <c r="L11" i="74"/>
  <c r="L78" i="74"/>
  <c r="L87" i="74"/>
  <c r="C74" i="18"/>
  <c r="D68" i="69"/>
  <c r="E68" i="69" s="1"/>
  <c r="D69" i="69"/>
  <c r="D67" i="69"/>
  <c r="D66" i="69"/>
  <c r="D65" i="69"/>
  <c r="E24" i="71"/>
  <c r="E68" i="80" l="1"/>
  <c r="F68" i="80" s="1"/>
  <c r="E69" i="80"/>
  <c r="F69" i="80" s="1"/>
  <c r="E70" i="80"/>
  <c r="F70" i="80" s="1"/>
  <c r="E71" i="80"/>
  <c r="F71" i="80" s="1"/>
  <c r="E72" i="80"/>
  <c r="F72" i="80" s="1"/>
  <c r="E73" i="80"/>
  <c r="F73" i="80" s="1"/>
  <c r="E74" i="80"/>
  <c r="F74" i="80" s="1"/>
  <c r="E77" i="80"/>
  <c r="F77" i="80" s="1"/>
  <c r="D80" i="80" l="1"/>
  <c r="B89" i="80"/>
  <c r="C89" i="80"/>
  <c r="D89" i="80"/>
  <c r="F75" i="80"/>
  <c r="D82" i="80" s="1"/>
  <c r="D85" i="80" s="1"/>
  <c r="D88" i="80" l="1"/>
  <c r="C88" i="80"/>
  <c r="D90" i="80" s="1"/>
  <c r="B88" i="80"/>
  <c r="C90" i="80" l="1"/>
  <c r="E6" i="70"/>
  <c r="N36" i="18" l="1"/>
  <c r="D31" i="73"/>
  <c r="D30" i="73"/>
  <c r="D17" i="73"/>
  <c r="D19" i="73"/>
  <c r="D11" i="73"/>
  <c r="D10" i="73"/>
  <c r="T121" i="73"/>
  <c r="T118" i="73"/>
  <c r="D8" i="73"/>
  <c r="T19" i="73"/>
  <c r="T17" i="73"/>
  <c r="D26" i="73"/>
  <c r="D22" i="73"/>
  <c r="D21" i="73"/>
  <c r="D18" i="73"/>
  <c r="T21" i="73"/>
  <c r="T83" i="73"/>
  <c r="T16" i="73"/>
  <c r="D44" i="74"/>
  <c r="L80" i="74"/>
  <c r="L27" i="74"/>
  <c r="L92" i="74"/>
  <c r="L99" i="74"/>
  <c r="L101" i="74" s="1"/>
  <c r="L103" i="74" s="1"/>
  <c r="C86" i="68"/>
  <c r="D11" i="64" l="1"/>
  <c r="J9" i="64" s="1"/>
  <c r="B43" i="97" l="1"/>
  <c r="D25" i="97"/>
  <c r="L8" i="97"/>
  <c r="BC72" i="49" l="1"/>
  <c r="BA28" i="49"/>
  <c r="BA26" i="49"/>
  <c r="BB16" i="49"/>
  <c r="BC39" i="49" s="1"/>
  <c r="BC7" i="49"/>
  <c r="BC24" i="49" s="1"/>
  <c r="BC51" i="49"/>
  <c r="BC13" i="49"/>
  <c r="BD7" i="49"/>
  <c r="BA29" i="49"/>
  <c r="BC42" i="49"/>
  <c r="BB29" i="49" l="1"/>
  <c r="BA27" i="49"/>
  <c r="BC43" i="49"/>
  <c r="BD6" i="49"/>
  <c r="BD8" i="49"/>
  <c r="BD5" i="49"/>
  <c r="BC30" i="49"/>
  <c r="D44" i="40" l="1"/>
  <c r="C42" i="40"/>
  <c r="L14" i="74"/>
  <c r="H15" i="69"/>
  <c r="K13" i="69"/>
  <c r="K14" i="69" s="1"/>
  <c r="C3" i="69" s="1"/>
  <c r="H16" i="69"/>
  <c r="I15" i="69"/>
  <c r="I11" i="69"/>
  <c r="L15" i="69"/>
  <c r="I16" i="69"/>
  <c r="L12" i="69"/>
  <c r="I19" i="69"/>
  <c r="L14" i="69"/>
  <c r="I14" i="69"/>
  <c r="L17" i="69"/>
  <c r="I13" i="69"/>
  <c r="I12" i="69"/>
  <c r="I18" i="69"/>
  <c r="L13" i="69"/>
  <c r="L11" i="69"/>
  <c r="L16" i="69"/>
  <c r="I10" i="69"/>
  <c r="I17" i="69"/>
  <c r="L18" i="69"/>
  <c r="L10" i="69"/>
  <c r="C7" i="69" l="1"/>
  <c r="C16" i="69" l="1"/>
  <c r="C10" i="69"/>
  <c r="H19" i="69"/>
  <c r="C2" i="69" s="1"/>
  <c r="C15" i="69" s="1"/>
  <c r="C17" i="69" s="1"/>
  <c r="C19" i="69" s="1"/>
  <c r="C11" i="69" l="1"/>
  <c r="M11" i="61" l="1"/>
  <c r="G9" i="61"/>
  <c r="G4" i="61"/>
  <c r="F20" i="61"/>
  <c r="E27" i="41"/>
  <c r="C13" i="41"/>
  <c r="C12" i="41"/>
  <c r="E15" i="64" l="1"/>
  <c r="D3" i="64"/>
  <c r="D4" i="64"/>
  <c r="R3" i="95"/>
  <c r="E58" i="95"/>
  <c r="E39" i="95"/>
  <c r="E31" i="95"/>
  <c r="E43" i="95"/>
  <c r="E25" i="95"/>
  <c r="F41" i="95"/>
  <c r="E40" i="95"/>
  <c r="J11" i="64" l="1"/>
  <c r="J15" i="64" l="1"/>
  <c r="K14" i="64"/>
  <c r="E67" i="69"/>
  <c r="AM46" i="56" l="1"/>
  <c r="AM43" i="56"/>
  <c r="AM29" i="56"/>
  <c r="AM20" i="56"/>
  <c r="AM21" i="56" s="1"/>
  <c r="AM19" i="56"/>
  <c r="F28" i="41"/>
  <c r="E13" i="41"/>
  <c r="E14" i="41"/>
  <c r="E15" i="41"/>
  <c r="F15" i="41" s="1"/>
  <c r="H15" i="41" s="1"/>
  <c r="E16" i="41"/>
  <c r="E12" i="41"/>
  <c r="F12" i="41" s="1"/>
  <c r="H12" i="41" s="1"/>
  <c r="D94" i="40"/>
  <c r="D89" i="40"/>
  <c r="E90" i="40"/>
  <c r="BC105" i="49" l="1"/>
  <c r="L12" i="97"/>
  <c r="B51" i="97" s="1"/>
  <c r="F13" i="41" l="1"/>
  <c r="H13" i="41" s="1"/>
  <c r="E19" i="41"/>
  <c r="E23" i="40" l="1"/>
  <c r="U17" i="84"/>
  <c r="U16" i="84"/>
  <c r="H49" i="69"/>
  <c r="H47" i="69" s="1"/>
  <c r="F33" i="69"/>
  <c r="H33" i="69" s="1"/>
  <c r="I33" i="69" s="1"/>
  <c r="F32" i="69"/>
  <c r="D32" i="69"/>
  <c r="D87" i="68"/>
  <c r="C23" i="68"/>
  <c r="E23" i="68"/>
  <c r="D23" i="68" s="1"/>
  <c r="B11" i="70"/>
  <c r="B121" i="96"/>
  <c r="BC97" i="49"/>
  <c r="E79" i="30"/>
  <c r="D79" i="30"/>
  <c r="D84" i="30"/>
  <c r="J23" i="30"/>
  <c r="J22" i="30"/>
  <c r="J21" i="30"/>
  <c r="D53" i="30"/>
  <c r="C59" i="30" s="1" a="1"/>
  <c r="C59" i="30" s="1"/>
  <c r="D57" i="30"/>
  <c r="D19" i="94"/>
  <c r="E22" i="94" s="1"/>
  <c r="I16" i="94"/>
  <c r="D54" i="16"/>
  <c r="D55" i="16"/>
  <c r="L94" i="74"/>
  <c r="D35" i="74" s="1"/>
  <c r="D45" i="74"/>
  <c r="L70" i="74"/>
  <c r="L72" i="74" s="1"/>
  <c r="D50" i="74" s="1"/>
  <c r="AT14" i="73"/>
  <c r="AG11" i="73"/>
  <c r="R20" i="73"/>
  <c r="R22" i="73" s="1"/>
  <c r="D7" i="73" s="1"/>
  <c r="B7" i="73" s="1"/>
  <c r="N16" i="94"/>
  <c r="Q16" i="94"/>
  <c r="G13" i="3"/>
  <c r="G10" i="3"/>
  <c r="G15" i="3"/>
  <c r="E16" i="3"/>
  <c r="G11" i="3"/>
  <c r="G12" i="3"/>
  <c r="G14" i="3"/>
  <c r="G8" i="3"/>
  <c r="N21" i="61"/>
  <c r="E7" i="84"/>
  <c r="L53" i="74"/>
  <c r="D34" i="74" s="1"/>
  <c r="P16" i="94"/>
  <c r="K14" i="74"/>
  <c r="D22" i="74" s="1"/>
  <c r="H16" i="94"/>
  <c r="M16" i="94"/>
  <c r="L16" i="94"/>
  <c r="L128" i="74" s="1"/>
  <c r="F16" i="94"/>
  <c r="D2" i="84"/>
  <c r="H72" i="18"/>
  <c r="J18" i="18"/>
  <c r="BC96" i="49"/>
  <c r="E63" i="49"/>
  <c r="E54" i="97"/>
  <c r="J6" i="97"/>
  <c r="J8" i="97"/>
  <c r="J9" i="97"/>
  <c r="M12" i="97"/>
  <c r="D38" i="97" s="1"/>
  <c r="D47" i="97"/>
  <c r="B42" i="97"/>
  <c r="D31" i="97"/>
  <c r="D29" i="97"/>
  <c r="D28" i="97"/>
  <c r="D27" i="97"/>
  <c r="D26" i="97"/>
  <c r="N12" i="97"/>
  <c r="I12" i="97"/>
  <c r="G12" i="97"/>
  <c r="D21" i="97" s="1"/>
  <c r="F12" i="97"/>
  <c r="D20" i="97" s="1"/>
  <c r="E12" i="97"/>
  <c r="D19" i="97" s="1"/>
  <c r="D12" i="97"/>
  <c r="D18" i="97" s="1"/>
  <c r="C12" i="97"/>
  <c r="D17" i="97" s="1"/>
  <c r="J11" i="97"/>
  <c r="J10" i="97"/>
  <c r="J7" i="97"/>
  <c r="E140" i="96"/>
  <c r="D148" i="96"/>
  <c r="F148" i="96" s="1"/>
  <c r="H148" i="96" s="1"/>
  <c r="E141" i="96" s="1"/>
  <c r="G150" i="96"/>
  <c r="D150" i="96"/>
  <c r="F150" i="96" s="1"/>
  <c r="H150" i="96" s="1"/>
  <c r="G148" i="96"/>
  <c r="G146" i="96"/>
  <c r="D146" i="96"/>
  <c r="F146" i="96" s="1"/>
  <c r="I146" i="96" s="1"/>
  <c r="C124"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E16" i="94"/>
  <c r="G16" i="94"/>
  <c r="J16" i="94"/>
  <c r="O16" i="94"/>
  <c r="R16" i="94"/>
  <c r="S16" i="94"/>
  <c r="C100" i="40"/>
  <c r="D102" i="40"/>
  <c r="I57" i="40"/>
  <c r="I56" i="40"/>
  <c r="D57" i="40"/>
  <c r="P20" i="38"/>
  <c r="O20" i="38"/>
  <c r="P16" i="38"/>
  <c r="P21" i="38" s="1"/>
  <c r="O16" i="38"/>
  <c r="O21" i="38" s="1"/>
  <c r="N11" i="61"/>
  <c r="N13" i="61"/>
  <c r="G6" i="61"/>
  <c r="C42" i="82"/>
  <c r="C45" i="82" s="1"/>
  <c r="C30" i="82"/>
  <c r="E32" i="82"/>
  <c r="C29" i="82"/>
  <c r="E31" i="82"/>
  <c r="B9" i="41" a="1"/>
  <c r="B9" i="41" s="1"/>
  <c r="C23" i="40"/>
  <c r="D23" i="40" s="1"/>
  <c r="F17" i="61"/>
  <c r="F19" i="61"/>
  <c r="W5" i="61"/>
  <c r="E18" i="61" s="1"/>
  <c r="C45" i="36"/>
  <c r="F9" i="66"/>
  <c r="F34" i="66"/>
  <c r="E34" i="66"/>
  <c r="F19" i="66"/>
  <c r="E30" i="66"/>
  <c r="E27" i="66"/>
  <c r="E24" i="66"/>
  <c r="E19" i="66"/>
  <c r="E16" i="66"/>
  <c r="E13" i="66"/>
  <c r="E9" i="66"/>
  <c r="E6" i="66"/>
  <c r="E50" i="66"/>
  <c r="E49" i="66"/>
  <c r="E46" i="66"/>
  <c r="E45" i="66"/>
  <c r="E44" i="66"/>
  <c r="E43" i="66"/>
  <c r="C55" i="16"/>
  <c r="C9" i="36" a="1"/>
  <c r="C9" i="36" s="1"/>
  <c r="D162" i="30"/>
  <c r="D161" i="30"/>
  <c r="E146" i="30"/>
  <c r="D145" i="30"/>
  <c r="E149" i="30"/>
  <c r="D148" i="30"/>
  <c r="G54" i="30"/>
  <c r="G50" i="30"/>
  <c r="E42" i="82"/>
  <c r="BC9" i="49"/>
  <c r="F127" i="69"/>
  <c r="F129" i="69" s="1"/>
  <c r="E119" i="69"/>
  <c r="F120" i="69"/>
  <c r="F115" i="69"/>
  <c r="E118" i="69" s="1"/>
  <c r="C115" i="69"/>
  <c r="F109" i="69"/>
  <c r="H68" i="18"/>
  <c r="H69" i="18"/>
  <c r="H70" i="18"/>
  <c r="H71" i="18"/>
  <c r="H67" i="18"/>
  <c r="H66" i="18"/>
  <c r="I66" i="18" s="1"/>
  <c r="L33" i="71"/>
  <c r="AS121" i="49"/>
  <c r="AS120" i="49"/>
  <c r="BA118" i="49"/>
  <c r="E66" i="69"/>
  <c r="E69" i="69"/>
  <c r="E65" i="69"/>
  <c r="E10" i="82"/>
  <c r="C10" i="82"/>
  <c r="C13" i="82" s="1"/>
  <c r="L118" i="74"/>
  <c r="L120" i="74" s="1"/>
  <c r="D47" i="74" s="1"/>
  <c r="T120" i="73"/>
  <c r="T122" i="73" s="1"/>
  <c r="T50" i="73"/>
  <c r="T52" i="73" s="1"/>
  <c r="L110" i="74"/>
  <c r="L112" i="74" s="1"/>
  <c r="D46" i="74" s="1"/>
  <c r="T84" i="73"/>
  <c r="E9" i="80"/>
  <c r="E56" i="80"/>
  <c r="F56" i="80" s="1"/>
  <c r="F58" i="80" s="1"/>
  <c r="D60" i="80" s="1"/>
  <c r="F53" i="80"/>
  <c r="E53" i="80"/>
  <c r="F38" i="80"/>
  <c r="E38" i="80"/>
  <c r="E41" i="80"/>
  <c r="F41" i="80" s="1"/>
  <c r="F43" i="80" s="1"/>
  <c r="C45" i="80" s="1"/>
  <c r="E25" i="80"/>
  <c r="F25" i="80" s="1"/>
  <c r="F27" i="80" s="1"/>
  <c r="B30" i="80" s="1" a="1"/>
  <c r="B30" i="80" s="1"/>
  <c r="F22" i="80"/>
  <c r="E22" i="80"/>
  <c r="E7" i="80"/>
  <c r="F7" i="80"/>
  <c r="E10" i="80"/>
  <c r="F10" i="80" s="1"/>
  <c r="T110" i="73"/>
  <c r="T112" i="73" s="1"/>
  <c r="T114" i="73" s="1"/>
  <c r="T104" i="73"/>
  <c r="D29" i="73" s="1"/>
  <c r="T96" i="73"/>
  <c r="T98" i="73" s="1"/>
  <c r="L6" i="74"/>
  <c r="K6" i="74"/>
  <c r="E55" i="74" s="1"/>
  <c r="D8" i="68" a="1"/>
  <c r="D8" i="68" s="1"/>
  <c r="C52" i="36"/>
  <c r="C57" i="36" s="1"/>
  <c r="I36" i="69"/>
  <c r="I35" i="69"/>
  <c r="I34" i="69"/>
  <c r="I37" i="69"/>
  <c r="C68" i="38"/>
  <c r="C69" i="38" s="1"/>
  <c r="C72" i="38" s="1"/>
  <c r="C42" i="38"/>
  <c r="D46" i="38" s="1"/>
  <c r="T57" i="73"/>
  <c r="T91" i="73"/>
  <c r="D28" i="73" s="1"/>
  <c r="T74" i="73"/>
  <c r="T76" i="73" s="1"/>
  <c r="D38" i="74"/>
  <c r="L61" i="74"/>
  <c r="L63" i="74" s="1"/>
  <c r="D37" i="74" s="1"/>
  <c r="L37" i="74"/>
  <c r="L33" i="74"/>
  <c r="L35" i="74" s="1"/>
  <c r="M14" i="74"/>
  <c r="D24" i="74" s="1"/>
  <c r="T65" i="73"/>
  <c r="T67" i="73" s="1"/>
  <c r="T41" i="73"/>
  <c r="T37" i="73"/>
  <c r="T39" i="73" s="1"/>
  <c r="T31" i="73"/>
  <c r="T33" i="73" s="1"/>
  <c r="T10" i="73"/>
  <c r="E35" i="73" s="1"/>
  <c r="S10" i="73"/>
  <c r="E36" i="73" s="1"/>
  <c r="M94" i="74"/>
  <c r="M87" i="74"/>
  <c r="D8" i="69"/>
  <c r="D15" i="38"/>
  <c r="M51" i="74"/>
  <c r="D7" i="69"/>
  <c r="J56" i="40"/>
  <c r="M76" i="74"/>
  <c r="M32" i="74"/>
  <c r="M50" i="74"/>
  <c r="M42" i="74"/>
  <c r="M52" i="74"/>
  <c r="M26" i="74"/>
  <c r="M100" i="74"/>
  <c r="L20" i="69"/>
  <c r="M31" i="74"/>
  <c r="M28" i="74"/>
  <c r="M36" i="74"/>
  <c r="M99" i="74"/>
  <c r="D18" i="16"/>
  <c r="M68" i="74"/>
  <c r="M34" i="74"/>
  <c r="M64" i="74"/>
  <c r="M79" i="74"/>
  <c r="M58" i="74"/>
  <c r="M98" i="74"/>
  <c r="B80" i="68"/>
  <c r="M96" i="74"/>
  <c r="D14" i="38"/>
  <c r="L19" i="69"/>
  <c r="M89" i="74"/>
  <c r="E8" i="95"/>
  <c r="M67" i="74"/>
  <c r="M97" i="74"/>
  <c r="M70" i="74"/>
  <c r="M62" i="74"/>
  <c r="M74" i="74"/>
  <c r="M44" i="74"/>
  <c r="M40" i="74"/>
  <c r="E56" i="40"/>
  <c r="M39" i="74"/>
  <c r="M54" i="74"/>
  <c r="M21" i="74"/>
  <c r="D16" i="38"/>
  <c r="M92" i="74"/>
  <c r="M91" i="74"/>
  <c r="M49" i="74"/>
  <c r="M30" i="74"/>
  <c r="M60" i="74"/>
  <c r="M81" i="74"/>
  <c r="M83" i="74"/>
  <c r="E89" i="40"/>
  <c r="M22" i="74"/>
  <c r="M56" i="74"/>
  <c r="M41" i="74"/>
  <c r="J57" i="40"/>
  <c r="M55" i="74"/>
  <c r="M77" i="74"/>
  <c r="M84" i="74"/>
  <c r="D6" i="69"/>
  <c r="M90" i="74"/>
  <c r="I20" i="69"/>
  <c r="M78" i="74"/>
  <c r="M59" i="74"/>
  <c r="M72" i="74"/>
  <c r="M43" i="74"/>
  <c r="M102" i="74"/>
  <c r="M86" i="74"/>
  <c r="I21" i="69"/>
  <c r="M75" i="74"/>
  <c r="M73" i="74"/>
  <c r="M65" i="74"/>
  <c r="M45" i="74"/>
  <c r="M23" i="74"/>
  <c r="M66" i="74"/>
  <c r="M57" i="74"/>
  <c r="E9" i="84" l="1"/>
  <c r="E51" i="66"/>
  <c r="L38" i="74"/>
  <c r="D27" i="74" s="1"/>
  <c r="F23" i="40"/>
  <c r="E70" i="69"/>
  <c r="D22" i="97"/>
  <c r="M14" i="61"/>
  <c r="G45" i="36"/>
  <c r="C57" i="30"/>
  <c r="B24" i="74"/>
  <c r="E54" i="74"/>
  <c r="D21" i="94"/>
  <c r="L127" i="74"/>
  <c r="L129" i="74" s="1"/>
  <c r="J14" i="74"/>
  <c r="M15" i="74" s="1"/>
  <c r="D16" i="94"/>
  <c r="D20" i="74" s="1"/>
  <c r="L29" i="74"/>
  <c r="D26" i="74" s="1"/>
  <c r="K16" i="94"/>
  <c r="L46" i="74"/>
  <c r="H12" i="97"/>
  <c r="D37" i="97" s="1"/>
  <c r="D30" i="97"/>
  <c r="D32" i="97" s="1"/>
  <c r="D46" i="97" s="1"/>
  <c r="D48" i="97" s="1"/>
  <c r="B50" i="97"/>
  <c r="J5" i="97"/>
  <c r="J12" i="97" s="1"/>
  <c r="C155" i="96"/>
  <c r="I150" i="96"/>
  <c r="D156" i="96"/>
  <c r="O147" i="96"/>
  <c r="N146" i="96"/>
  <c r="I148" i="96"/>
  <c r="E142" i="96" s="1"/>
  <c r="C125" i="96"/>
  <c r="B132" i="96" s="1"/>
  <c r="F87" i="95"/>
  <c r="R14" i="95"/>
  <c r="B24" i="95" a="1"/>
  <c r="B24" i="95" s="1"/>
  <c r="K17" i="95"/>
  <c r="F44" i="95"/>
  <c r="F45" i="95" s="1"/>
  <c r="F24" i="95"/>
  <c r="K16" i="95"/>
  <c r="U6" i="95"/>
  <c r="V13" i="95" s="1"/>
  <c r="E19" i="95"/>
  <c r="E42" i="95" s="1"/>
  <c r="F84" i="95"/>
  <c r="E44" i="95"/>
  <c r="E46" i="95" s="1"/>
  <c r="F32" i="95"/>
  <c r="D91" i="40"/>
  <c r="F18" i="61"/>
  <c r="B18" i="61"/>
  <c r="G16" i="3"/>
  <c r="C12" i="69"/>
  <c r="I58" i="40"/>
  <c r="E47" i="66"/>
  <c r="E52" i="66" s="1"/>
  <c r="E12" i="66"/>
  <c r="E33" i="66" s="1"/>
  <c r="D163" i="30"/>
  <c r="E44" i="82"/>
  <c r="E131" i="69"/>
  <c r="F132" i="69"/>
  <c r="E18" i="82"/>
  <c r="B13" i="82"/>
  <c r="C11" i="82"/>
  <c r="C14" i="82" s="1"/>
  <c r="E19" i="82" s="1"/>
  <c r="T86" i="73"/>
  <c r="E32" i="73" s="1"/>
  <c r="D46" i="80"/>
  <c r="D30" i="80"/>
  <c r="C46" i="80"/>
  <c r="C60" i="80"/>
  <c r="B60" i="80" a="1"/>
  <c r="B60" i="80" s="1"/>
  <c r="D61" i="80"/>
  <c r="C61" i="80"/>
  <c r="B45" i="80" a="1"/>
  <c r="B45" i="80" s="1"/>
  <c r="B46" i="80" a="1"/>
  <c r="B46" i="80" s="1"/>
  <c r="F12" i="80"/>
  <c r="B15" i="80" s="1" a="1"/>
  <c r="B15" i="80" s="1"/>
  <c r="B61" i="80" a="1"/>
  <c r="B61" i="80" s="1"/>
  <c r="C30" i="80"/>
  <c r="C29" i="80"/>
  <c r="D29" i="80"/>
  <c r="B29" i="80" a="1"/>
  <c r="B29" i="80" s="1"/>
  <c r="E23" i="73"/>
  <c r="C61" i="36"/>
  <c r="C45" i="38"/>
  <c r="D52" i="38" s="1"/>
  <c r="C83" i="38"/>
  <c r="D84" i="38"/>
  <c r="B22" i="74"/>
  <c r="T42" i="73"/>
  <c r="T20" i="73"/>
  <c r="T22" i="73" s="1"/>
  <c r="D23" i="74"/>
  <c r="B23" i="74" s="1"/>
  <c r="D42" i="74" l="1"/>
  <c r="E51" i="74" s="1"/>
  <c r="D21" i="74"/>
  <c r="U12" i="95"/>
  <c r="B8" i="73"/>
  <c r="L48" i="74"/>
  <c r="D33" i="74" s="1"/>
  <c r="E39" i="74" s="1"/>
  <c r="D36" i="97"/>
  <c r="D39" i="97" s="1"/>
  <c r="G22" i="97"/>
  <c r="O151" i="96"/>
  <c r="N150" i="96"/>
  <c r="O149" i="96"/>
  <c r="N148" i="96"/>
  <c r="I74" i="80"/>
  <c r="I65" i="80"/>
  <c r="F46" i="95"/>
  <c r="E45" i="95"/>
  <c r="B50" i="95"/>
  <c r="F63" i="95"/>
  <c r="F64" i="95" s="1"/>
  <c r="F66" i="95" s="1"/>
  <c r="F50" i="95"/>
  <c r="E50" i="95"/>
  <c r="C97" i="40"/>
  <c r="D97" i="40"/>
  <c r="D96" i="40"/>
  <c r="C96" i="40"/>
  <c r="H62" i="40"/>
  <c r="I62" i="40"/>
  <c r="H61" i="40"/>
  <c r="I61" i="40"/>
  <c r="G62" i="40"/>
  <c r="E37" i="66"/>
  <c r="D167" i="30"/>
  <c r="D166" i="30"/>
  <c r="C15" i="82"/>
  <c r="C17" i="82" s="1"/>
  <c r="B14" i="80" a="1"/>
  <c r="B14" i="80" s="1"/>
  <c r="D45" i="80"/>
  <c r="C14" i="80"/>
  <c r="C15" i="80"/>
  <c r="T24" i="73"/>
  <c r="B21" i="74" l="1"/>
  <c r="D25" i="74"/>
  <c r="I26" i="97"/>
  <c r="I27" i="97" s="1"/>
  <c r="E51" i="95"/>
  <c r="E63" i="95"/>
  <c r="E64" i="95" s="1"/>
  <c r="E66" i="95" s="1"/>
  <c r="C68" i="95" s="1"/>
  <c r="D9" i="73"/>
  <c r="E12" i="73" s="1"/>
  <c r="E34" i="73" s="1"/>
  <c r="D38" i="73" s="1"/>
  <c r="B51" i="95"/>
  <c r="F47" i="95"/>
  <c r="F71" i="95"/>
  <c r="E71" i="95"/>
  <c r="B71" i="95"/>
  <c r="F51" i="95"/>
  <c r="B49" i="95"/>
  <c r="F49" i="95"/>
  <c r="E49" i="95"/>
  <c r="F77" i="95" l="1"/>
  <c r="B77" i="95"/>
  <c r="F72" i="95"/>
  <c r="F70" i="95"/>
  <c r="E70" i="95"/>
  <c r="B70" i="95"/>
  <c r="E72" i="95"/>
  <c r="B72" i="95"/>
  <c r="E28" i="74"/>
  <c r="E53" i="74" l="1"/>
  <c r="D57" i="74" s="1"/>
  <c r="F81" i="95"/>
  <c r="E22" i="71"/>
  <c r="E32" i="71" s="1"/>
  <c r="E8" i="71"/>
  <c r="E17" i="70"/>
  <c r="E18" i="70" s="1"/>
  <c r="F22" i="70"/>
  <c r="E27" i="71"/>
  <c r="E26" i="71"/>
  <c r="E25" i="71"/>
  <c r="D26" i="70"/>
  <c r="D25" i="70"/>
  <c r="F26" i="70"/>
  <c r="F31" i="70" s="1"/>
  <c r="F44" i="70" s="1"/>
  <c r="F25" i="70"/>
  <c r="F30"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P9" i="66"/>
  <c r="F30" i="66"/>
  <c r="F24" i="66"/>
  <c r="F27" i="66"/>
  <c r="F16" i="66"/>
  <c r="F6" i="66"/>
  <c r="D51" i="66"/>
  <c r="C51" i="66"/>
  <c r="F50" i="66"/>
  <c r="F49" i="66"/>
  <c r="D47" i="66"/>
  <c r="C47" i="66"/>
  <c r="F46" i="66"/>
  <c r="F45" i="66"/>
  <c r="F44" i="66"/>
  <c r="F43" i="66"/>
  <c r="F13" i="66"/>
  <c r="D12" i="66"/>
  <c r="C12" i="66"/>
  <c r="C33" i="66" s="1"/>
  <c r="C37" i="66" s="1"/>
  <c r="C39" i="66" s="1"/>
  <c r="P11" i="66" l="1"/>
  <c r="D21" i="66"/>
  <c r="B21" i="66" s="1"/>
  <c r="F12" i="66"/>
  <c r="D91" i="68"/>
  <c r="E29" i="71"/>
  <c r="E34" i="71" s="1"/>
  <c r="E33" i="71" s="1"/>
  <c r="F45" i="70"/>
  <c r="E48" i="70" s="1" a="1"/>
  <c r="E48" i="70" s="1"/>
  <c r="E5" i="70"/>
  <c r="F27" i="70"/>
  <c r="F56" i="70" s="1"/>
  <c r="E20" i="70"/>
  <c r="E21" i="70"/>
  <c r="E28" i="68"/>
  <c r="D43" i="68"/>
  <c r="C4" i="69"/>
  <c r="C52" i="66"/>
  <c r="C53" i="66" s="1"/>
  <c r="F47" i="66"/>
  <c r="D52" i="66"/>
  <c r="F51" i="66"/>
  <c r="C67" i="40"/>
  <c r="D13" i="64"/>
  <c r="G15" i="64"/>
  <c r="O6" i="64"/>
  <c r="O7" i="64" s="1"/>
  <c r="O10" i="64" s="1"/>
  <c r="O14" i="64" s="1"/>
  <c r="D5" i="64"/>
  <c r="D6" i="64" s="1"/>
  <c r="P15" i="64" l="1"/>
  <c r="G57" i="70"/>
  <c r="F33" i="66"/>
  <c r="F37" i="66" s="1"/>
  <c r="C36" i="68"/>
  <c r="D33" i="66"/>
  <c r="E39" i="66"/>
  <c r="E53" i="66" s="1"/>
  <c r="F57" i="70"/>
  <c r="E59" i="70" a="1"/>
  <c r="E59" i="70" s="1"/>
  <c r="F60" i="70" a="1"/>
  <c r="F60" i="70" s="1"/>
  <c r="E49" i="70"/>
  <c r="E29" i="70"/>
  <c r="F50" i="70"/>
  <c r="C42" i="68"/>
  <c r="E72" i="69"/>
  <c r="F52" i="66"/>
  <c r="J14" i="64"/>
  <c r="G14" i="64"/>
  <c r="K15" i="64"/>
  <c r="E14" i="64"/>
  <c r="E73" i="69" l="1"/>
  <c r="D33" i="69"/>
  <c r="E33" i="69" s="1"/>
  <c r="J33" i="69" s="1"/>
  <c r="K33" i="69" s="1"/>
  <c r="D37" i="66"/>
  <c r="C40" i="68"/>
  <c r="F23" i="68"/>
  <c r="D39" i="68"/>
  <c r="E32" i="69"/>
  <c r="C24" i="68" l="1"/>
  <c r="D24" i="68" s="1"/>
  <c r="F24" i="68" s="1"/>
  <c r="C32" i="68" s="1"/>
  <c r="D39" i="66"/>
  <c r="D53" i="66" s="1"/>
  <c r="F38" i="66"/>
  <c r="F39" i="66" s="1"/>
  <c r="F53" i="66" s="1"/>
  <c r="E38" i="69"/>
  <c r="C25" i="68" l="1"/>
  <c r="D25" i="68" s="1"/>
  <c r="F25" i="68" s="1"/>
  <c r="C26" i="68" s="1"/>
  <c r="D26" i="68" s="1"/>
  <c r="F26" i="68" s="1"/>
  <c r="C27" i="68" s="1"/>
  <c r="C31" i="68"/>
  <c r="C33"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B12" i="58"/>
  <c r="G40" i="30"/>
  <c r="D109" i="36"/>
  <c r="D99" i="36"/>
  <c r="C107" i="36" s="1"/>
  <c r="H51" i="18"/>
  <c r="D57" i="18"/>
  <c r="AU109" i="49" l="1"/>
  <c r="AD80" i="49" s="1"/>
  <c r="BE113" i="49"/>
  <c r="AE40" i="49"/>
  <c r="AD118" i="49"/>
  <c r="AD70" i="49"/>
  <c r="AE12" i="49"/>
  <c r="AE70" i="49"/>
  <c r="AE46" i="49"/>
  <c r="AD46" i="49"/>
  <c r="AD12" i="49"/>
  <c r="AE80" i="49"/>
  <c r="AD88" i="49"/>
  <c r="AD22" i="49"/>
  <c r="AE88" i="49"/>
  <c r="C106" i="36"/>
  <c r="E12" i="61"/>
  <c r="F95" i="61"/>
  <c r="C20" i="38"/>
  <c r="AU119" i="49" l="1"/>
  <c r="AV119" i="49" s="1"/>
  <c r="AV120" i="49" s="1"/>
  <c r="C24" i="38"/>
  <c r="C25" i="38" s="1"/>
  <c r="C34" i="38" s="1"/>
  <c r="D24"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6"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6" i="41"/>
  <c r="H16" i="41" s="1"/>
  <c r="F14" i="41"/>
  <c r="H14"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7" i="41"/>
  <c r="E20" i="41" s="1"/>
  <c r="Y31" i="46" l="1"/>
  <c r="AA31" i="46" s="1"/>
  <c r="AN2" i="46"/>
  <c r="AP2" i="46" s="1"/>
  <c r="E21" i="41"/>
  <c r="D24" i="40"/>
  <c r="F24" i="40" s="1"/>
  <c r="E23" i="41" l="1"/>
  <c r="F24" i="41"/>
  <c r="B23" i="41"/>
  <c r="E24" i="41"/>
  <c r="F23" i="41"/>
  <c r="AA35" i="46"/>
  <c r="AA39" i="46" s="1"/>
  <c r="AA55" i="46" s="1"/>
  <c r="C31" i="40"/>
  <c r="C32" i="40"/>
  <c r="C25" i="40"/>
  <c r="D25" i="40" l="1"/>
  <c r="C33" i="40"/>
  <c r="F25" i="40" l="1"/>
  <c r="C26" i="40" s="1"/>
  <c r="D26" i="40" l="1"/>
  <c r="F26" i="40" s="1"/>
  <c r="C27" i="40" s="1"/>
  <c r="D27" i="40" l="1"/>
  <c r="F27" i="40" s="1"/>
  <c r="C28" i="40" s="1"/>
  <c r="F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F14" i="38"/>
  <c r="F15" i="38"/>
  <c r="F16" i="38"/>
  <c r="K72" i="36"/>
  <c r="G17" i="18"/>
  <c r="G20" i="18" s="1"/>
  <c r="C35" i="36"/>
  <c r="D42" i="23"/>
  <c r="D28" i="40" l="1"/>
  <c r="F28" i="40" s="1"/>
  <c r="G38" i="39"/>
  <c r="C43" i="39"/>
  <c r="F15" i="39"/>
  <c r="D33" i="39" s="1"/>
  <c r="F23" i="39"/>
  <c r="C47" i="39"/>
  <c r="E47" i="39" s="1"/>
  <c r="E24" i="39"/>
  <c r="F24" i="39" s="1"/>
  <c r="E46" i="39"/>
  <c r="F16" i="39"/>
  <c r="F17" i="39" s="1"/>
  <c r="F22" i="39"/>
  <c r="F17" i="38"/>
  <c r="C63" i="36"/>
  <c r="C33" i="39" l="1"/>
  <c r="B33" i="39"/>
  <c r="F26" i="39"/>
  <c r="G26" i="39" s="1"/>
  <c r="B34" i="39"/>
  <c r="D34" i="39"/>
  <c r="C34" i="39"/>
  <c r="D35" i="38"/>
  <c r="D30" i="38"/>
  <c r="C29" i="38"/>
  <c r="C62" i="36"/>
  <c r="K23" i="30"/>
  <c r="K22" i="30"/>
  <c r="K21" i="30"/>
  <c r="D133" i="30"/>
  <c r="D132" i="30"/>
  <c r="E134" i="30"/>
  <c r="E66" i="30"/>
  <c r="D65" i="30"/>
  <c r="C37" i="30"/>
  <c r="E37" i="30"/>
  <c r="C42" i="30"/>
  <c r="E44" i="30"/>
  <c r="D21" i="31"/>
  <c r="D20" i="31"/>
  <c r="E9" i="31"/>
  <c r="D14" i="31" s="1"/>
  <c r="E11" i="31"/>
  <c r="E13" i="31"/>
  <c r="E12" i="31"/>
  <c r="D53" i="38" l="1"/>
  <c r="D54" i="38" s="1"/>
  <c r="C58" i="38" s="1"/>
  <c r="D59" i="38" s="1"/>
  <c r="C70" i="36"/>
  <c r="C80" i="36" s="1"/>
  <c r="K24" i="30"/>
  <c r="B28" i="39"/>
  <c r="G28" i="39"/>
  <c r="B35" i="39"/>
  <c r="C35" i="39"/>
  <c r="D35" i="39"/>
  <c r="E22" i="31"/>
  <c r="F85" i="30"/>
  <c r="D102" i="30" s="1"/>
  <c r="F86" i="30"/>
  <c r="F87" i="30"/>
  <c r="F84" i="30"/>
  <c r="D98" i="30" s="1"/>
  <c r="E23" i="30"/>
  <c r="C28" i="30" s="1"/>
  <c r="C71" i="36" l="1"/>
  <c r="C74" i="36" s="1"/>
  <c r="D82" i="36" s="1"/>
  <c r="D85" i="36" s="1"/>
  <c r="C108" i="36"/>
  <c r="H80" i="36"/>
  <c r="E46" i="30"/>
  <c r="G51" i="30"/>
  <c r="E84" i="30"/>
  <c r="D108" i="30"/>
  <c r="E38" i="30"/>
  <c r="B42" i="16"/>
  <c r="C72" i="23"/>
  <c r="C70" i="23"/>
  <c r="F12" i="23"/>
  <c r="C22" i="23"/>
  <c r="B42" i="23"/>
  <c r="C13" i="23"/>
  <c r="C16" i="23" s="1"/>
  <c r="I71" i="18"/>
  <c r="D90" i="18"/>
  <c r="C89" i="18"/>
  <c r="C22" i="21"/>
  <c r="H40" i="18"/>
  <c r="N38" i="18"/>
  <c r="L49" i="18" s="1"/>
  <c r="I70" i="18"/>
  <c r="I69" i="18"/>
  <c r="I76" i="18" s="1"/>
  <c r="I72" i="18"/>
  <c r="C27" i="19"/>
  <c r="C55" i="19"/>
  <c r="B44" i="19"/>
  <c r="C63" i="19" s="1"/>
  <c r="C62" i="19"/>
  <c r="C17" i="19"/>
  <c r="B46" i="19"/>
  <c r="C65" i="19" s="1"/>
  <c r="B45" i="19"/>
  <c r="C64" i="19" s="1"/>
  <c r="I18" i="19"/>
  <c r="I19" i="19"/>
  <c r="I20" i="19"/>
  <c r="I17" i="19"/>
  <c r="F18" i="19"/>
  <c r="B81" i="36" l="1"/>
  <c r="D92" i="36"/>
  <c r="K74" i="36"/>
  <c r="I83" i="36" s="1"/>
  <c r="D81" i="36"/>
  <c r="C91" i="36"/>
  <c r="B82" i="36"/>
  <c r="C81" i="36"/>
  <c r="H81" i="36"/>
  <c r="E97" i="30"/>
  <c r="F19" i="19"/>
  <c r="F20" i="19" s="1"/>
  <c r="G49" i="18"/>
  <c r="G48" i="18"/>
  <c r="E93" i="30"/>
  <c r="D92" i="30"/>
  <c r="C28" i="21"/>
  <c r="D27" i="21"/>
  <c r="C27" i="21"/>
  <c r="B28" i="21"/>
  <c r="D28" i="21"/>
  <c r="D33" i="21"/>
  <c r="C32" i="21"/>
  <c r="B27" i="21"/>
  <c r="E58" i="30"/>
  <c r="E59" i="30" s="1"/>
  <c r="D109" i="30"/>
  <c r="D110" i="30" s="1"/>
  <c r="D113" i="30" s="1"/>
  <c r="C52" i="23"/>
  <c r="C54" i="23" s="1" a="1"/>
  <c r="C54" i="23" s="1"/>
  <c r="C20" i="23"/>
  <c r="C21" i="23" s="1"/>
  <c r="C28" i="23" s="1"/>
  <c r="B47" i="18"/>
  <c r="D47" i="18"/>
  <c r="C47" i="18"/>
  <c r="C57" i="19"/>
  <c r="C30" i="19"/>
  <c r="I21" i="19"/>
  <c r="C20" i="19" s="1"/>
  <c r="C22" i="19" s="1"/>
  <c r="D59" i="30" l="1"/>
  <c r="I82" i="36"/>
  <c r="G84" i="30"/>
  <c r="D85" i="30" s="1"/>
  <c r="E85" i="30" s="1"/>
  <c r="D96" i="30"/>
  <c r="C95" i="30" s="1"/>
  <c r="D121" i="30"/>
  <c r="E122" i="30"/>
  <c r="C29" i="23"/>
  <c r="C40" i="23" s="1"/>
  <c r="C41" i="23"/>
  <c r="C32" i="19"/>
  <c r="I68" i="18"/>
  <c r="I67" i="18"/>
  <c r="G24" i="18"/>
  <c r="E32" i="16"/>
  <c r="D62" i="16" s="1"/>
  <c r="E36" i="16"/>
  <c r="E37" i="16"/>
  <c r="E34" i="16"/>
  <c r="E35" i="16"/>
  <c r="E33" i="16"/>
  <c r="C11" i="9"/>
  <c r="C17" i="9"/>
  <c r="D18" i="9" s="1"/>
  <c r="C10" i="9"/>
  <c r="F10" i="9" s="1"/>
  <c r="F12" i="9"/>
  <c r="H9" i="10"/>
  <c r="I12" i="10"/>
  <c r="D14" i="10"/>
  <c r="C9" i="10"/>
  <c r="E9" i="10" s="1"/>
  <c r="C8" i="10"/>
  <c r="M8" i="9"/>
  <c r="C33" i="19" l="1"/>
  <c r="E33" i="19" s="1"/>
  <c r="B36" i="19"/>
  <c r="E61" i="19"/>
  <c r="B68" i="19" s="1"/>
  <c r="C32" i="23"/>
  <c r="C43" i="23" s="1"/>
  <c r="C65" i="23"/>
  <c r="D71" i="23" s="1"/>
  <c r="D58" i="23"/>
  <c r="G85" i="30"/>
  <c r="D86" i="30" s="1"/>
  <c r="E86" i="30" s="1"/>
  <c r="G86" i="30" s="1"/>
  <c r="D87" i="30" s="1"/>
  <c r="E87" i="30" s="1"/>
  <c r="G87" i="30" s="1"/>
  <c r="E101" i="30"/>
  <c r="D100" i="30"/>
  <c r="C58" i="23"/>
  <c r="D59" i="23"/>
  <c r="B58" i="23"/>
  <c r="C59" i="23"/>
  <c r="B59" i="23"/>
  <c r="I73" i="18"/>
  <c r="C40" i="19"/>
  <c r="B71" i="19" s="1"/>
  <c r="G25" i="18"/>
  <c r="G26" i="18"/>
  <c r="C45" i="16"/>
  <c r="C46" i="16" s="1" a="1"/>
  <c r="C46" i="16" s="1"/>
  <c r="D53" i="16"/>
  <c r="D32" i="16"/>
  <c r="C60" i="16" s="1"/>
  <c r="B34" i="16"/>
  <c r="B35" i="16" s="1"/>
  <c r="B36" i="16" s="1"/>
  <c r="B37"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7" i="18" l="1"/>
  <c r="H79" i="18"/>
  <c r="H40" i="19"/>
  <c r="F62" i="19"/>
  <c r="C61" i="16"/>
  <c r="D61" i="16"/>
  <c r="C66" i="23"/>
  <c r="D72" i="23" s="1"/>
  <c r="C37" i="18"/>
  <c r="C42" i="19"/>
  <c r="C44" i="19" s="1"/>
  <c r="D68" i="16"/>
  <c r="C52" i="16"/>
  <c r="F32" i="16"/>
  <c r="C33" i="16" s="1"/>
  <c r="D33" i="16" s="1"/>
  <c r="F33" i="16" s="1"/>
  <c r="C41" i="16" s="1"/>
  <c r="D19" i="9"/>
  <c r="D22" i="9" s="1"/>
  <c r="C36" i="10"/>
  <c r="F8" i="9"/>
  <c r="F19" i="9" s="1"/>
  <c r="F22" i="9" s="1"/>
  <c r="E14" i="10"/>
  <c r="E18" i="10" s="1"/>
  <c r="J83" i="18" l="1"/>
  <c r="I82" i="18"/>
  <c r="C82" i="18"/>
  <c r="C85" i="18" s="1"/>
  <c r="C88" i="18"/>
  <c r="B72" i="23"/>
  <c r="C46" i="18"/>
  <c r="C38" i="18"/>
  <c r="F44" i="19"/>
  <c r="C45" i="19"/>
  <c r="F45" i="19" s="1"/>
  <c r="C46" i="19"/>
  <c r="F46" i="19" s="1"/>
  <c r="C67" i="16"/>
  <c r="C34" i="16"/>
  <c r="D34" i="16" s="1"/>
  <c r="F34" i="16" s="1"/>
  <c r="C40" i="16"/>
  <c r="C42" i="16" s="1"/>
  <c r="E24" i="10"/>
  <c r="E36" i="10" s="1"/>
  <c r="D91" i="18" l="1"/>
  <c r="C91" i="18"/>
  <c r="B91" i="18"/>
  <c r="G46" i="19"/>
  <c r="H46" i="19" s="1"/>
  <c r="F65" i="19" s="1"/>
  <c r="G45" i="19"/>
  <c r="H45" i="19" s="1"/>
  <c r="G44" i="19"/>
  <c r="B69" i="19" s="1"/>
  <c r="C41" i="18"/>
  <c r="C35" i="16"/>
  <c r="D35" i="16" s="1"/>
  <c r="F35" i="16" s="1"/>
  <c r="C36" i="16" s="1"/>
  <c r="D36" i="16" s="1"/>
  <c r="F36" i="16" s="1"/>
  <c r="C37" i="16" s="1"/>
  <c r="D37" i="16" s="1"/>
  <c r="F37" i="16" s="1"/>
  <c r="F64" i="19" l="1"/>
  <c r="B70" i="19"/>
  <c r="H44" i="19"/>
  <c r="F63" i="19" s="1"/>
  <c r="D48" i="18"/>
  <c r="D51" i="18" s="1"/>
  <c r="L48"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AH31" i="49" s="1"/>
  <c r="H14" i="49"/>
  <c r="H34" i="49"/>
  <c r="AH34" i="49" s="1"/>
  <c r="H33" i="49"/>
  <c r="AH33" i="49" s="1"/>
  <c r="AV35" i="49"/>
  <c r="M14" i="49" s="1"/>
  <c r="M130" i="49" s="1"/>
  <c r="AV102" i="49"/>
  <c r="AH119" i="49"/>
  <c r="AH117" i="49" s="1"/>
  <c r="AH123" i="49"/>
  <c r="AH121" i="49" s="1"/>
  <c r="I130" i="49" l="1"/>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6" i="49"/>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<sst xmlns="http://schemas.openxmlformats.org/spreadsheetml/2006/main" count="3723" uniqueCount="2012">
  <si>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</si>
  <si>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</si>
  <si>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</si>
  <si>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</si>
  <si>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</si>
  <si>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</si>
  <si>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</si>
  <si>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</si>
  <si>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</si>
  <si>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</si>
  <si>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</si>
  <si>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</si>
  <si>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</si>
  <si>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</si>
  <si>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</si>
  <si>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</si>
  <si>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</si>
  <si>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</si>
  <si>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</si>
  <si>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</si>
  <si>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</si>
  <si>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</si>
  <si>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</si>
  <si>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</si>
  <si>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</si>
  <si>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</si>
  <si>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</si>
  <si>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</si>
  <si>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</si>
  <si>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</si>
  <si>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</si>
  <si>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</si>
  <si>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</si>
  <si>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</si>
  <si>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</si>
  <si>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</si>
  <si>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</si>
  <si>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</si>
  <si>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</si>
  <si>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</si>
  <si>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</si>
  <si>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</si>
  <si>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</si>
  <si>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</si>
  <si>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</si>
  <si>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</si>
  <si>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</si>
  <si>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</si>
  <si>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</si>
  <si>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</si>
  <si>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</si>
  <si>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</si>
  <si>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</si>
  <si>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</si>
  <si>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</si>
  <si>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</si>
  <si>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</si>
  <si>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</si>
  <si>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</si>
  <si>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</si>
  <si>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</si>
  <si>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</si>
  <si>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</si>
  <si>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</si>
  <si>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</si>
  <si>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</si>
  <si>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</si>
  <si>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</si>
  <si>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</si>
  <si>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</si>
  <si>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</si>
  <si>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</si>
  <si>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</si>
  <si>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</si>
  <si>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</si>
  <si>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</si>
  <si>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</si>
  <si>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</si>
  <si>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</si>
  <si>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</si>
  <si>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</si>
  <si>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</si>
  <si>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</si>
  <si>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</si>
  <si>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</si>
  <si>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</si>
  <si>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</si>
  <si>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</si>
  <si>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</si>
  <si>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</si>
  <si>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</si>
  <si>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</si>
  <si>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</si>
  <si>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</si>
  <si>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</si>
  <si>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</si>
  <si>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</si>
  <si>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</si>
  <si>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</si>
  <si>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</si>
  <si>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</si>
  <si>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</si>
  <si>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</si>
  <si>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</si>
  <si>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</si>
  <si>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</si>
  <si>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</si>
  <si>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</si>
  <si>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</si>
  <si>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</si>
  <si>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</si>
  <si>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</si>
  <si>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</si>
  <si>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</si>
  <si>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</si>
  <si>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</si>
  <si>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</si>
  <si>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</si>
  <si>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</si>
  <si>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</si>
  <si>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</si>
  <si>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</si>
  <si>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</si>
  <si>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</si>
  <si>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</si>
  <si>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</si>
  <si>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</si>
  <si>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</si>
  <si>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</si>
  <si>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</si>
  <si>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</si>
  <si>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</si>
  <si>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</si>
  <si>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</si>
  <si>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</si>
  <si>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</si>
  <si>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</si>
  <si>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</si>
  <si>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</si>
  <si>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</si>
  <si>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</si>
  <si>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</si>
  <si>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</si>
  <si>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</si>
  <si>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</si>
  <si>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</si>
  <si>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Yes</t>
  </si>
  <si>
    <t>No</t>
  </si>
  <si>
    <t>Transfer of ownership/hire purchase agreement?</t>
  </si>
  <si>
    <t>Residual Value</t>
  </si>
  <si>
    <t>Proceeds</t>
  </si>
  <si>
    <t>Gain/(Loss)</t>
  </si>
  <si>
    <t xml:space="preserve">DR </t>
  </si>
  <si>
    <t>CR</t>
  </si>
  <si>
    <t>Lease Payable</t>
  </si>
  <si>
    <t>Journal Entries</t>
  </si>
  <si>
    <t>RoU asset - cost</t>
  </si>
  <si>
    <t>Lease payable</t>
  </si>
  <si>
    <t>SPL - administrative expenses</t>
  </si>
  <si>
    <t>SPL - Depreciation charge</t>
  </si>
  <si>
    <t>RoU asset - accumulated depreciation</t>
  </si>
  <si>
    <t>DR</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</si>
  <si>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</si>
  <si>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</si>
  <si>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</si>
  <si>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</si>
  <si>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</si>
  <si>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</si>
  <si>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</si>
  <si>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</si>
  <si>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</si>
  <si>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</si>
  <si>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</si>
  <si>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</si>
  <si>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</si>
  <si>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</si>
  <si>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</si>
  <si>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</si>
  <si>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</si>
  <si>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</si>
  <si>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</si>
  <si>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</si>
  <si>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</si>
  <si>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</si>
  <si>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</si>
  <si>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</si>
  <si>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</si>
  <si>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</si>
  <si>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</si>
  <si>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</si>
  <si>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</si>
  <si>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</si>
  <si>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</si>
  <si>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</si>
  <si>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</si>
  <si>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</si>
  <si>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</si>
  <si>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</si>
  <si>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</si>
  <si>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</si>
  <si>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</si>
  <si>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</si>
  <si>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</si>
  <si>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</si>
  <si>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</si>
  <si>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</si>
  <si>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</si>
  <si>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</si>
  <si>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</si>
  <si>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</si>
  <si>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</si>
  <si>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</si>
  <si>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</si>
  <si>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</si>
  <si>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</si>
  <si>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</si>
  <si>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</si>
  <si>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</si>
  <si>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</si>
  <si>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</si>
  <si>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</si>
  <si>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</si>
  <si>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</si>
  <si>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</si>
  <si>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</si>
  <si>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</si>
  <si>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</si>
  <si>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</si>
  <si>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</si>
  <si>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</si>
  <si>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</si>
  <si>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</si>
  <si>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</si>
  <si>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</si>
  <si>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</si>
  <si>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</si>
  <si>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</si>
  <si>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</si>
  <si>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</si>
  <si>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</si>
  <si>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</si>
  <si>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</si>
  <si>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</si>
  <si>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</si>
  <si>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</si>
  <si>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</si>
  <si>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</si>
  <si>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</si>
  <si>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</si>
  <si>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</si>
  <si>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</si>
  <si>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</si>
  <si>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</si>
  <si>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</si>
  <si>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</si>
  <si>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</si>
  <si>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</si>
  <si>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</si>
  <si>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</si>
  <si>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</si>
  <si>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</si>
  <si>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</si>
  <si>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</si>
  <si>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</si>
  <si>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</si>
  <si>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</si>
  <si>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</si>
  <si>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</si>
  <si>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</si>
  <si>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</si>
  <si>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</si>
  <si>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</si>
  <si>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</si>
  <si>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</si>
  <si>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</si>
  <si>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</si>
  <si>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</si>
  <si>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</si>
  <si>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</si>
  <si>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</si>
  <si>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</si>
  <si>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</si>
  <si>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</si>
  <si>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</si>
  <si>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</si>
  <si>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</si>
  <si>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</si>
  <si>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</si>
  <si>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</si>
  <si>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</si>
  <si>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</si>
  <si>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</si>
  <si>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</si>
  <si>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</si>
  <si>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</si>
  <si>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</si>
  <si>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</si>
  <si>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</si>
  <si>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</si>
  <si>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</si>
  <si>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</si>
  <si>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</si>
  <si>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</si>
  <si>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</si>
  <si>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</si>
  <si>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</si>
  <si>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</si>
  <si>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</si>
  <si>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</si>
  <si>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</si>
  <si>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</si>
  <si>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</si>
  <si>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</si>
  <si>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</si>
  <si>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</si>
  <si>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</si>
  <si>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</si>
  <si>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</si>
  <si>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</si>
  <si>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</si>
  <si>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</si>
  <si>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</si>
  <si>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</si>
  <si>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</si>
  <si>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</si>
  <si>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</si>
  <si>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</si>
  <si>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</si>
  <si>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</si>
  <si>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</si>
  <si>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</si>
  <si>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</si>
  <si>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</si>
  <si>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</si>
  <si>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</si>
  <si>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</si>
  <si>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</si>
  <si>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</si>
  <si>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</si>
  <si>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</si>
  <si>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</si>
  <si>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</si>
  <si>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</si>
  <si>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</si>
  <si>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</si>
  <si>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</si>
  <si>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</si>
  <si>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</si>
  <si>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</si>
  <si>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</si>
  <si>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</si>
  <si>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</si>
  <si>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</si>
  <si>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</si>
  <si>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</si>
  <si>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</si>
  <si>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</si>
  <si>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</si>
  <si>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</si>
  <si>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</si>
  <si>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</si>
  <si>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</si>
  <si>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</si>
  <si>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</si>
  <si>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</si>
  <si>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</si>
  <si>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</si>
  <si>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</si>
  <si>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</si>
  <si>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</si>
  <si>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</si>
  <si>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</si>
  <si>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</si>
  <si>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</si>
  <si>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</si>
  <si>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</si>
  <si>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</si>
  <si>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</si>
  <si>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</si>
  <si>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</si>
  <si>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</si>
  <si>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</si>
  <si>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</si>
  <si>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</si>
  <si>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</si>
  <si>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</si>
  <si>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</si>
  <si>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</si>
  <si>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</si>
  <si>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</si>
  <si>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</si>
  <si>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</si>
  <si>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</si>
  <si>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</si>
  <si>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</si>
  <si>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</si>
  <si>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</si>
  <si>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</si>
  <si>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</si>
  <si>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</si>
  <si>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</si>
  <si>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</si>
  <si>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</si>
  <si>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</si>
  <si>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</si>
  <si>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</si>
  <si>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</si>
  <si>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</si>
  <si>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</si>
  <si>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</si>
  <si>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</si>
  <si>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</si>
  <si>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</si>
  <si>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</si>
  <si>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</si>
  <si>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</si>
  <si>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</si>
  <si>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</si>
  <si>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</si>
  <si>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</si>
  <si>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</si>
  <si>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</si>
  <si>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</si>
  <si>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</si>
  <si>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</si>
  <si>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</si>
  <si>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</si>
  <si>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</si>
  <si>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</si>
  <si>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</si>
  <si>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</si>
  <si>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</si>
  <si>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</si>
  <si>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</si>
  <si>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</si>
  <si>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</si>
  <si>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</si>
  <si>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</si>
  <si>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</si>
  <si>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</si>
  <si>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</si>
  <si>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</si>
  <si>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</si>
  <si>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</si>
  <si>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</si>
  <si>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</si>
  <si>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</si>
  <si>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</si>
  <si>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</si>
  <si>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</si>
  <si>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</si>
  <si>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</si>
  <si>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</si>
  <si>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</si>
  <si>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</si>
  <si>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</si>
  <si>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</si>
  <si>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</si>
  <si>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</si>
  <si>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</si>
  <si>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</si>
  <si>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</si>
  <si>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</si>
  <si>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</si>
  <si>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</si>
  <si>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</si>
  <si>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</si>
  <si>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</si>
  <si>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</si>
  <si>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</si>
  <si>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</si>
  <si>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</si>
  <si>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</si>
  <si>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</si>
  <si>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</si>
  <si>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</si>
  <si>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</si>
  <si>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</si>
  <si>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</si>
  <si>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</si>
  <si>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</si>
  <si>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</si>
  <si>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</si>
  <si>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</si>
  <si>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</si>
  <si>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</si>
  <si>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</si>
  <si>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</si>
  <si>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</si>
  <si>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</si>
  <si>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</si>
  <si>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</si>
  <si>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</si>
  <si>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</si>
  <si>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</si>
  <si>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</si>
  <si>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</si>
  <si>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</si>
  <si>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</si>
  <si>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</si>
  <si>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</si>
  <si>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</si>
  <si>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</si>
  <si>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</si>
  <si>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</si>
  <si>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</si>
  <si>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</si>
  <si>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</si>
  <si>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</si>
  <si>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</si>
  <si>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</si>
  <si>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</si>
  <si>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</si>
  <si>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</si>
  <si>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</si>
  <si>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</si>
  <si>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</si>
  <si>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</si>
  <si>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</si>
  <si>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</si>
  <si>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</si>
  <si>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</si>
  <si>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</si>
  <si>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</si>
  <si>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</si>
  <si>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</si>
  <si>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</si>
  <si>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</si>
  <si>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</si>
  <si>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</si>
  <si>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</si>
  <si>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</si>
  <si>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</si>
  <si>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</si>
  <si>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</si>
  <si>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</si>
  <si>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</si>
  <si>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</si>
  <si>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</si>
  <si>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</si>
  <si>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</si>
  <si>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</si>
  <si>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</si>
  <si>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</si>
  <si>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</si>
  <si>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</si>
  <si>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</si>
  <si>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</si>
  <si>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</si>
  <si>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</si>
  <si>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</si>
  <si>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</si>
  <si>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</si>
  <si>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</si>
  <si>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</si>
  <si>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</si>
  <si>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</si>
  <si>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</si>
  <si>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</si>
  <si>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</si>
  <si>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</si>
  <si>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</si>
  <si>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</si>
  <si>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</si>
  <si>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</si>
  <si>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</si>
  <si>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</si>
  <si>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</si>
  <si>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</si>
  <si>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</si>
  <si>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</si>
  <si>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</si>
  <si>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</si>
  <si>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</si>
  <si>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</si>
  <si>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</si>
  <si>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</si>
  <si>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</si>
  <si>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</si>
  <si>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</si>
  <si>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</si>
  <si>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</si>
  <si>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</si>
  <si>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</si>
  <si>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</si>
  <si>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</si>
  <si>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</si>
  <si>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</si>
  <si>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</si>
  <si>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</si>
  <si>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</si>
  <si>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</si>
  <si>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</si>
  <si>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</si>
  <si>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</si>
  <si>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</si>
  <si>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</si>
  <si>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</si>
  <si>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</si>
  <si>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</si>
  <si>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</si>
  <si>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</si>
  <si>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</si>
  <si>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</si>
  <si>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</si>
  <si>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</si>
  <si>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</si>
  <si>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</si>
  <si>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</si>
  <si>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</si>
  <si>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</si>
  <si>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</si>
  <si>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</si>
  <si>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</si>
  <si>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</si>
  <si>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</si>
  <si>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</si>
  <si>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</si>
  <si>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</si>
  <si>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</si>
  <si>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</si>
  <si>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</si>
  <si>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</si>
  <si>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</si>
  <si>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</si>
  <si>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</si>
  <si>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</si>
  <si>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</si>
  <si>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</si>
  <si>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</si>
  <si>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</si>
  <si>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</si>
  <si>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</si>
  <si>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</si>
  <si>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</si>
  <si>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</si>
  <si>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</si>
  <si>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</si>
  <si>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</si>
  <si>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</si>
  <si>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</si>
  <si>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</si>
  <si>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</si>
  <si>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</si>
  <si>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</si>
  <si>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</si>
  <si>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</si>
  <si>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</si>
  <si>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</si>
  <si>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</si>
  <si>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</si>
  <si>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</si>
  <si>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</si>
  <si>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</si>
  <si>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</si>
  <si>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</si>
  <si>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</si>
  <si>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</si>
  <si>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</si>
  <si>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</si>
  <si>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</si>
  <si>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</si>
  <si>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</si>
  <si>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</si>
  <si>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</si>
  <si>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</si>
  <si>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</si>
  <si>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</si>
  <si>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</si>
  <si>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</si>
  <si>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</si>
  <si>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</si>
  <si>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</si>
  <si>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</si>
  <si>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</si>
  <si>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</si>
  <si>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</si>
  <si>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</si>
  <si>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</si>
  <si>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</si>
  <si>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</si>
  <si>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</si>
  <si>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</si>
  <si>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</si>
  <si>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</si>
  <si>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</si>
  <si>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</si>
  <si>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</si>
  <si>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</si>
  <si>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</si>
  <si>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</si>
  <si>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</si>
  <si>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</si>
  <si>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</si>
  <si>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</si>
  <si>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</si>
  <si>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</si>
  <si>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</si>
  <si>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</si>
  <si>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</si>
  <si>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</si>
  <si>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</si>
  <si>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</si>
  <si>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</si>
  <si>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</si>
  <si>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</si>
  <si>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</si>
  <si>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</si>
  <si>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</si>
  <si>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</si>
  <si>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</si>
  <si>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</si>
  <si>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</si>
  <si>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</si>
  <si>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</si>
  <si>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</si>
  <si>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</si>
  <si>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</si>
  <si>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</si>
  <si>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</si>
  <si>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</si>
  <si>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</si>
  <si>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</si>
  <si>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</si>
  <si>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</si>
  <si>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</si>
  <si>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</si>
  <si>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</si>
  <si>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</si>
  <si>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</si>
  <si>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</si>
  <si>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</si>
  <si>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</si>
  <si>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</si>
  <si>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</si>
  <si>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</si>
  <si>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</si>
  <si>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</si>
  <si>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</si>
  <si>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</si>
  <si>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</si>
  <si>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</si>
  <si>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</si>
  <si>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</si>
  <si>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</si>
  <si>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</si>
  <si>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</si>
  <si>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</si>
  <si>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</si>
  <si>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</si>
  <si>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</si>
  <si>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</si>
  <si>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</si>
  <si>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</si>
  <si>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</si>
  <si>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</si>
  <si>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</si>
  <si>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</si>
  <si>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</si>
  <si>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</si>
  <si>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</si>
  <si>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</si>
  <si>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</si>
  <si>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</si>
  <si>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</si>
  <si>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</si>
  <si>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</si>
  <si>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</si>
  <si>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</si>
  <si>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</si>
  <si>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</si>
  <si>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</si>
  <si>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</si>
  <si>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</si>
  <si>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</si>
  <si>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</si>
  <si>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</si>
  <si>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</si>
  <si>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</si>
  <si>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</si>
  <si>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</si>
  <si>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</si>
  <si>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</si>
  <si>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</si>
  <si>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</si>
  <si>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</si>
  <si>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</si>
  <si>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</si>
  <si>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</si>
  <si>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</si>
  <si>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</si>
  <si>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</si>
  <si>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</si>
  <si>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</si>
  <si>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</si>
  <si>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</si>
  <si>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</si>
  <si>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</si>
  <si>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</si>
  <si>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</si>
  <si>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</si>
  <si>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</si>
  <si>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</si>
  <si>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</si>
  <si>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</si>
  <si>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</si>
  <si>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</si>
  <si>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</si>
  <si>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</si>
  <si>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</si>
  <si>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</si>
  <si>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</si>
  <si>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</si>
  <si>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</si>
  <si>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</si>
  <si>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</si>
  <si>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</si>
  <si>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</si>
  <si>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</si>
  <si>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</si>
  <si>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</si>
  <si>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</si>
  <si>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</si>
  <si>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</si>
  <si>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</si>
  <si>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</si>
  <si>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</si>
  <si>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</si>
  <si>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</si>
  <si>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</si>
  <si>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</si>
  <si>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</si>
  <si>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</si>
  <si>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</si>
  <si>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</si>
  <si>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</si>
  <si>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</si>
  <si>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</si>
  <si>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</si>
  <si>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</si>
  <si>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</si>
  <si>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</si>
  <si>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</si>
  <si>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</si>
  <si>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</si>
  <si>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</si>
  <si>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</si>
  <si>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</si>
  <si>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</si>
  <si>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</si>
  <si>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</si>
  <si>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</si>
  <si>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</si>
  <si>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</si>
  <si>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</si>
  <si>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</si>
  <si>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</si>
  <si>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</si>
  <si>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</si>
  <si>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</si>
  <si>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</si>
  <si>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</si>
  <si>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</si>
  <si>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</si>
  <si>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</si>
  <si>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</si>
  <si>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</si>
  <si>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</si>
  <si>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</si>
  <si>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</si>
  <si>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</si>
  <si>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</si>
  <si>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</si>
  <si>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</si>
  <si>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</si>
  <si>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</si>
  <si>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</si>
  <si>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</si>
  <si>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</si>
  <si>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</si>
  <si>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</si>
  <si>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</si>
  <si>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</si>
  <si>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</si>
  <si>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</si>
  <si>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</si>
  <si>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</si>
  <si>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</si>
  <si>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</si>
  <si>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</si>
  <si>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</si>
  <si>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</si>
  <si>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</si>
  <si>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</si>
  <si>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</si>
  <si>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</si>
  <si>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</si>
  <si>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</si>
  <si>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</si>
  <si>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</si>
  <si>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</si>
  <si>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</si>
  <si>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</si>
  <si>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</si>
  <si>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</si>
  <si>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</si>
  <si>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</si>
  <si>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</si>
  <si>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</si>
  <si>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</si>
  <si>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</si>
  <si>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</si>
  <si>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</si>
  <si>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</si>
  <si>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</si>
  <si>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</si>
  <si>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</si>
  <si>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</si>
  <si>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</si>
  <si>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</si>
  <si>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</si>
  <si>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</si>
  <si>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</si>
  <si>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</si>
  <si>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</si>
  <si>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</si>
  <si>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</si>
  <si>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</si>
  <si>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</si>
  <si>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</si>
  <si>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</si>
  <si>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</si>
  <si>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</si>
  <si>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</si>
  <si>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</si>
  <si>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</si>
  <si>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</si>
  <si>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</si>
  <si>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</si>
  <si>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</si>
  <si>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</si>
  <si>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</si>
  <si>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</si>
  <si>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</si>
  <si>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</si>
  <si>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</si>
  <si>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</si>
  <si>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</si>
  <si>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</si>
  <si>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</si>
  <si>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</si>
  <si>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</si>
  <si>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</si>
  <si>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</si>
  <si>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</si>
  <si>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</si>
  <si>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</si>
  <si>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</si>
  <si>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</si>
  <si>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</si>
  <si>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</si>
  <si>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</si>
  <si>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</si>
  <si>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</si>
  <si>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</si>
  <si>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</si>
  <si>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</si>
  <si>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</si>
  <si>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</si>
  <si>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</si>
  <si>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</si>
  <si>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</si>
  <si>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</si>
  <si>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</si>
  <si>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</si>
  <si>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</si>
  <si>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</si>
  <si>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</si>
  <si>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</si>
  <si>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</si>
  <si>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</si>
  <si>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</si>
  <si>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</si>
  <si>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</si>
  <si>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</si>
  <si>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</si>
  <si>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</si>
  <si>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</si>
  <si>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</si>
  <si>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</si>
  <si>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</si>
  <si>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</si>
  <si>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</si>
  <si>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</si>
  <si>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</si>
  <si>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</si>
  <si>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</si>
  <si>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</si>
  <si>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</si>
  <si>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</si>
  <si>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</si>
  <si>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</si>
  <si>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</si>
  <si>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</si>
  <si>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</si>
  <si>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</si>
  <si>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</si>
  <si>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</si>
  <si>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</si>
  <si>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</si>
  <si>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</si>
  <si>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</si>
  <si>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</si>
  <si>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</si>
  <si>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</si>
  <si>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</si>
  <si>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</si>
  <si>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</si>
  <si>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</si>
  <si>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</si>
  <si>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</si>
  <si>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</si>
  <si>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</si>
  <si>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</si>
  <si>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</si>
  <si>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</si>
  <si>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</si>
  <si>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</si>
  <si>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</si>
  <si>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</si>
  <si>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</si>
  <si>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</si>
  <si>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</si>
  <si>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</si>
  <si>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</si>
  <si>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</si>
  <si>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</si>
  <si>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</si>
  <si>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</si>
  <si>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</si>
  <si>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</si>
  <si>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</si>
  <si>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</si>
  <si>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</si>
  <si>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</si>
  <si>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</si>
  <si>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</si>
  <si>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</si>
  <si>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</si>
  <si>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</si>
  <si>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</si>
  <si>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</si>
  <si>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</si>
  <si>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</si>
  <si>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</si>
  <si>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</si>
  <si>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</si>
  <si>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</si>
  <si>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</si>
  <si>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</si>
  <si>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</si>
  <si>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</si>
  <si>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</si>
  <si>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</si>
  <si>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</si>
  <si>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</si>
  <si>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</si>
  <si>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</si>
  <si>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</si>
  <si>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</si>
  <si>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</si>
  <si>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</si>
  <si>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</si>
  <si>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</si>
  <si>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</si>
  <si>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</si>
  <si>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</si>
  <si>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</si>
  <si>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</si>
  <si>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</si>
  <si>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</si>
  <si>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</si>
  <si>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</si>
  <si>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</si>
  <si>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</si>
  <si>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</si>
  <si>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</si>
  <si>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</si>
  <si>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</si>
  <si>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</si>
  <si>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</si>
  <si>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</si>
  <si>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</si>
  <si>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</si>
  <si>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</si>
  <si>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</si>
  <si>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</si>
  <si>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</si>
  <si>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</si>
  <si>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</si>
  <si>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</si>
  <si>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</si>
  <si>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</si>
  <si>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</si>
  <si>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</si>
  <si>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</si>
  <si>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</si>
  <si>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</si>
  <si>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</si>
  <si>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</si>
  <si>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</si>
  <si>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</si>
  <si>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</si>
  <si>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</si>
  <si>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</si>
  <si>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</si>
  <si>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</si>
  <si>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</si>
  <si>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</si>
  <si>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</si>
  <si>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</si>
  <si>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</si>
  <si>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</si>
  <si>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</si>
  <si>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</si>
  <si>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</si>
  <si>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</si>
  <si>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</si>
  <si>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</si>
  <si>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</si>
  <si>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</si>
  <si>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</si>
  <si>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</si>
  <si>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</si>
  <si>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</si>
  <si>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</si>
  <si>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</si>
  <si>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</si>
  <si>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</si>
  <si>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</si>
  <si>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</si>
  <si>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</si>
  <si>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</si>
  <si>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</si>
  <si>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</si>
  <si>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</si>
  <si>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</si>
  <si>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</si>
  <si>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</si>
  <si>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</si>
  <si>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</si>
  <si>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</si>
  <si>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</si>
  <si>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</si>
  <si>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</si>
  <si>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</si>
  <si>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</si>
  <si>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</si>
  <si>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</si>
  <si>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</si>
  <si>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</si>
  <si>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</si>
  <si>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</si>
  <si>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</si>
  <si>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</si>
  <si>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</si>
  <si>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</si>
  <si>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</si>
  <si>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</si>
  <si>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</si>
  <si>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</si>
  <si>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</si>
  <si>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</si>
  <si>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</si>
  <si>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</si>
  <si>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</si>
  <si>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</si>
  <si>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</si>
  <si>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</si>
  <si>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</si>
  <si>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</si>
  <si>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</si>
  <si>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</si>
  <si>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</si>
  <si>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</si>
  <si>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</si>
  <si>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</si>
  <si>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</si>
  <si>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</si>
  <si>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</si>
  <si>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</si>
  <si>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</si>
  <si>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</si>
  <si>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</si>
  <si>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</si>
  <si>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</si>
  <si>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</si>
  <si>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</si>
  <si>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</si>
  <si>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</si>
  <si>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</si>
  <si>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</si>
  <si>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</si>
  <si>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</si>
  <si>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</si>
  <si>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</si>
  <si>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</si>
  <si>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</si>
  <si>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</si>
  <si>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</si>
  <si>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</si>
  <si>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</si>
  <si>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</si>
  <si>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</si>
  <si>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</si>
  <si>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</si>
  <si>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</si>
  <si>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</si>
  <si>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</si>
  <si>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</si>
  <si>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</si>
  <si>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</si>
  <si>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</si>
  <si>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</si>
  <si>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</si>
  <si>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</si>
  <si>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</si>
  <si>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</si>
  <si>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</si>
  <si>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</si>
  <si>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</si>
  <si>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</si>
  <si>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</si>
  <si>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</si>
  <si>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</si>
  <si>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</si>
  <si>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</si>
  <si>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</si>
  <si>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</si>
  <si>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</si>
  <si>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</si>
  <si>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</si>
  <si>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</si>
  <si>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</si>
  <si>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</si>
  <si>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</si>
  <si>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</si>
  <si>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</si>
  <si>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</si>
  <si>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</si>
  <si>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</si>
  <si>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</si>
  <si>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</si>
  <si>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</si>
  <si>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</si>
  <si>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</si>
  <si>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</si>
  <si>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</si>
  <si>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</si>
  <si>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</si>
  <si>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</si>
  <si>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</si>
  <si>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</si>
  <si>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</si>
  <si>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</si>
  <si>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</si>
  <si>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</si>
  <si>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</si>
  <si>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</si>
  <si>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</si>
  <si>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</si>
  <si>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</si>
  <si>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</si>
  <si>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</si>
  <si>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</si>
  <si>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</si>
  <si>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</si>
  <si>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</si>
  <si>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</si>
  <si>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</si>
  <si>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</si>
  <si>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</si>
  <si>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</si>
  <si>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</si>
  <si>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</si>
  <si>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</si>
  <si>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</si>
  <si>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</si>
  <si>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</si>
  <si>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</si>
  <si>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</si>
  <si>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</si>
  <si>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</si>
  <si>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</si>
  <si>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</si>
  <si>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</si>
  <si>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</si>
  <si>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</si>
  <si>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</si>
  <si>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</si>
  <si>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</si>
  <si>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</si>
  <si>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</si>
  <si>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</si>
  <si>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</si>
  <si>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</si>
  <si>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</si>
  <si>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</si>
  <si>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</si>
  <si>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</si>
  <si>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</si>
  <si>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</si>
  <si>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</si>
  <si>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</si>
  <si>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</si>
  <si>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</si>
  <si>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</si>
  <si>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</si>
  <si>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</si>
  <si>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</si>
  <si>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</si>
  <si>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</si>
  <si>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</si>
  <si>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</si>
  <si>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</si>
  <si>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</si>
  <si>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</si>
  <si>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</si>
  <si>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</si>
  <si>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</si>
  <si>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</si>
  <si>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</si>
  <si>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</si>
  <si>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</si>
  <si>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</si>
  <si>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</si>
  <si>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</si>
  <si>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</si>
  <si>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</si>
  <si>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</si>
  <si>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</si>
  <si>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</si>
  <si>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</si>
  <si>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</si>
  <si>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</si>
  <si>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</si>
  <si>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</si>
  <si>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</si>
  <si>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</si>
  <si>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</si>
  <si>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</si>
  <si>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</si>
  <si>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</si>
  <si>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</si>
  <si>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</si>
  <si>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</si>
  <si>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</si>
  <si>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</si>
  <si>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</si>
  <si>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</si>
  <si>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</si>
  <si>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</si>
  <si>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</si>
  <si>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</si>
  <si>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</si>
  <si>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</si>
  <si>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</si>
  <si>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</si>
  <si>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</si>
  <si>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</si>
  <si>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</si>
  <si>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</si>
  <si>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</si>
  <si>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</si>
  <si>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</si>
  <si>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</si>
  <si>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</si>
  <si>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</si>
  <si>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</si>
  <si>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</si>
  <si>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</si>
  <si>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</si>
  <si>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</si>
  <si>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</si>
  <si>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</si>
  <si>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</si>
  <si>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</si>
  <si>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</si>
  <si>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</si>
  <si>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</si>
  <si>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</si>
  <si>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</si>
  <si>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</si>
  <si>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</si>
  <si>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</si>
  <si>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</si>
  <si>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</si>
  <si>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</si>
  <si>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</si>
  <si>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</si>
  <si>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</si>
  <si>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</si>
  <si>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</si>
  <si>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</si>
  <si>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</si>
  <si>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</si>
  <si>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</si>
  <si>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</si>
  <si>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</si>
  <si>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</si>
  <si>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</si>
  <si>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</si>
  <si>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</si>
  <si>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</si>
  <si>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</si>
  <si>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</si>
  <si>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</si>
  <si>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</si>
  <si>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</si>
  <si>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</si>
  <si>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</si>
  <si>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</si>
  <si>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</si>
  <si>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</si>
  <si>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</si>
  <si>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</si>
  <si>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</si>
  <si>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</si>
  <si>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</si>
  <si>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</si>
  <si>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</si>
  <si>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</si>
  <si>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</si>
  <si>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</si>
  <si>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</si>
  <si>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</si>
  <si>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</si>
  <si>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</si>
  <si>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</si>
  <si>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</si>
  <si>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</si>
  <si>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</si>
  <si>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</si>
  <si>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</si>
  <si>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</si>
  <si>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</si>
  <si>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</si>
  <si>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</si>
  <si>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</si>
  <si>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</si>
  <si>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</si>
  <si>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</si>
  <si>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</si>
  <si>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</si>
  <si>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</si>
  <si>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</si>
  <si>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</si>
  <si>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</si>
  <si>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</si>
  <si>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</si>
  <si>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</si>
  <si>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</si>
  <si>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</si>
  <si>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</si>
  <si>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</si>
  <si>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</si>
  <si>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</si>
  <si>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</si>
  <si>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</si>
  <si>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</si>
  <si>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</si>
  <si>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</si>
  <si>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</si>
  <si>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</si>
  <si>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</si>
  <si>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</si>
  <si>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</si>
  <si>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</si>
  <si>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</si>
  <si>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</si>
  <si>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</si>
  <si>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</si>
  <si>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</si>
  <si>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</si>
  <si>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</si>
  <si>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</si>
  <si>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</si>
  <si>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</si>
  <si>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</si>
  <si>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</si>
  <si>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</si>
  <si>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</si>
  <si>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</si>
  <si>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</si>
  <si>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</si>
  <si>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</si>
  <si>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</si>
  <si>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</si>
  <si>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</si>
  <si>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</si>
  <si>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</si>
  <si>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</si>
  <si>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</si>
  <si>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</si>
  <si>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</si>
  <si>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</si>
  <si>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</si>
  <si>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</si>
  <si>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</si>
  <si>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</si>
  <si>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</si>
  <si>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</si>
  <si>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</si>
  <si>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</si>
  <si>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</si>
  <si>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</si>
  <si>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</si>
  <si>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</si>
  <si>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</si>
  <si>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</si>
  <si>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</si>
  <si>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</si>
  <si>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</si>
  <si>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</si>
  <si>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</si>
  <si>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</si>
  <si>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</si>
  <si>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</si>
  <si>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</si>
  <si>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</si>
  <si>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</si>
  <si>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</si>
  <si>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</si>
  <si>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</si>
  <si>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</si>
  <si>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</si>
  <si>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</si>
  <si>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</si>
  <si>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</si>
  <si>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</si>
  <si>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</si>
  <si>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</si>
  <si>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</si>
  <si>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</si>
  <si>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</si>
  <si>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</si>
  <si>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</si>
  <si>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</si>
  <si>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</si>
  <si>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</si>
  <si>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</si>
  <si>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</si>
  <si>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</si>
  <si>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</si>
  <si>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</si>
  <si>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</si>
  <si>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</si>
  <si>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</si>
  <si>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</si>
  <si>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</si>
  <si>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</si>
  <si>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</si>
  <si>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</si>
  <si>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</si>
  <si>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</si>
  <si>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</si>
  <si>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</si>
  <si>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</si>
  <si>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</si>
  <si>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</si>
  <si>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</si>
  <si>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</si>
  <si>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</si>
  <si>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</si>
  <si>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</si>
  <si>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</si>
  <si>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</si>
  <si>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</si>
  <si>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</si>
  <si>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</si>
  <si>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</si>
  <si>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</si>
  <si>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</si>
  <si>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</si>
  <si>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</si>
  <si>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</si>
  <si>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</si>
  <si>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</si>
  <si>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</si>
  <si>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</si>
  <si>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</si>
  <si>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</si>
  <si>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</si>
  <si>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</si>
  <si>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</si>
  <si>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</si>
  <si>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</si>
  <si>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</si>
  <si>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</si>
  <si>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</si>
  <si>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</si>
  <si>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</si>
  <si>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</si>
  <si>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</si>
  <si>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</si>
  <si>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</si>
  <si>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</si>
  <si>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</si>
  <si>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</si>
  <si>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</si>
  <si>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</si>
  <si>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</si>
  <si>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</si>
  <si>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</si>
  <si>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</si>
  <si>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</si>
  <si>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</si>
  <si>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</si>
  <si>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</si>
  <si>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</si>
  <si>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</si>
  <si>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</si>
  <si>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</si>
  <si>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</si>
  <si>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</si>
  <si>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</si>
  <si>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</si>
  <si>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</si>
  <si>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</si>
  <si>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</si>
  <si>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</si>
  <si>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</si>
  <si>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</si>
  <si>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</si>
  <si>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</si>
  <si>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</si>
  <si>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</si>
  <si>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</si>
  <si>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</si>
  <si>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</si>
  <si>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</si>
  <si>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</si>
  <si>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</si>
  <si>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</si>
  <si>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</si>
  <si>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</si>
  <si>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</si>
  <si>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</si>
  <si>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</si>
  <si>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</si>
  <si>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</si>
  <si>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</si>
  <si>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</si>
  <si>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</si>
  <si>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</si>
  <si>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</si>
  <si>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</si>
  <si>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</si>
  <si>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</si>
  <si>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</si>
  <si>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</si>
  <si>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</si>
  <si>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</si>
  <si>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</si>
  <si>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</si>
  <si>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</si>
  <si>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</si>
  <si>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</si>
  <si>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</si>
  <si>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</si>
  <si>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</si>
  <si>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</si>
  <si>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</si>
  <si>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</si>
  <si>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</si>
  <si>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</si>
  <si>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</si>
  <si>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</si>
  <si>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</si>
  <si>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</si>
  <si>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</si>
  <si>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</si>
  <si>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</si>
  <si>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</si>
  <si>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</si>
  <si>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</si>
  <si>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</si>
  <si>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</si>
  <si>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</si>
  <si>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</si>
  <si>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</si>
  <si>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</si>
  <si>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</si>
  <si>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</si>
  <si>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</si>
  <si>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</si>
  <si>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</si>
  <si>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</si>
  <si>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</si>
  <si>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</si>
  <si>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</si>
  <si>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</si>
  <si>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</si>
  <si>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</si>
  <si>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</si>
  <si>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</si>
  <si>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</si>
  <si>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</si>
  <si>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</si>
  <si>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</si>
  <si>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</si>
  <si>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</si>
  <si>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</si>
  <si>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</si>
  <si>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</si>
  <si>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</si>
  <si>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</si>
  <si>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</si>
  <si>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</si>
  <si>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</si>
  <si>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</si>
  <si>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</si>
  <si>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</si>
  <si>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</si>
  <si>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</si>
  <si>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</si>
  <si>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</si>
  <si>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</si>
  <si>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</si>
  <si>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</si>
  <si>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</si>
  <si>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</si>
  <si>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</si>
  <si>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</si>
  <si>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</si>
  <si>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</si>
  <si>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</si>
  <si>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</si>
  <si>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</si>
  <si>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</si>
  <si>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</si>
  <si>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</si>
  <si>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</si>
  <si>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</si>
  <si>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</si>
  <si>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</si>
  <si>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</si>
  <si>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</si>
  <si>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</si>
  <si>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</si>
  <si>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</si>
  <si>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</si>
  <si>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</si>
  <si>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</si>
  <si>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</si>
  <si>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</si>
  <si>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</si>
  <si>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</si>
  <si>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</si>
  <si>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</si>
  <si>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</si>
  <si>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</si>
  <si>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</si>
  <si>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</si>
  <si>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</si>
  <si>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</si>
  <si>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</si>
  <si>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</si>
  <si>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</si>
  <si>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</si>
  <si>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</si>
  <si>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</si>
  <si>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</si>
  <si>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</si>
  <si>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</si>
  <si>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</si>
  <si>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</si>
  <si>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</si>
  <si>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</si>
  <si>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</si>
  <si>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</si>
  <si>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</si>
  <si>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</si>
  <si>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</si>
  <si>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</si>
  <si>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</si>
  <si>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</si>
  <si>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</si>
  <si>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</si>
  <si>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</si>
  <si>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</si>
  <si>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</si>
  <si>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</si>
  <si>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</si>
  <si>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</si>
  <si>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</si>
  <si>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</si>
  <si>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</si>
  <si>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</si>
  <si>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</si>
  <si>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</si>
  <si>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</si>
  <si>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</si>
  <si>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</si>
  <si>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</si>
  <si>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</si>
  <si>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</si>
  <si>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</si>
  <si>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</si>
  <si>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</si>
  <si>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</si>
  <si>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</si>
  <si>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</si>
  <si>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</si>
  <si>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</si>
  <si>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</si>
  <si>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</si>
  <si>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</si>
  <si>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</si>
  <si>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</si>
  <si>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</si>
  <si>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</si>
  <si>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</si>
  <si>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</si>
  <si>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</si>
  <si>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</si>
  <si>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</si>
  <si>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</si>
  <si>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</si>
  <si>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</si>
  <si>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</si>
  <si>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</si>
  <si>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</si>
  <si>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</si>
  <si>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</si>
  <si>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</si>
  <si>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</si>
  <si>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</si>
  <si>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</si>
  <si>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</si>
  <si>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</si>
  <si>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</si>
  <si>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</si>
  <si>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</si>
  <si>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</si>
  <si>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</si>
  <si>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</si>
  <si>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</si>
  <si>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</si>
  <si>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</si>
  <si>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</si>
  <si>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</si>
  <si>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</si>
  <si>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</si>
  <si>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</si>
  <si>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</si>
  <si>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</si>
  <si>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</si>
  <si>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</si>
  <si>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</si>
  <si>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</si>
  <si>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</si>
  <si>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</si>
  <si>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</si>
  <si>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</si>
  <si>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</si>
  <si>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</si>
  <si>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</si>
  <si>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</si>
  <si>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</si>
  <si>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</si>
  <si>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</si>
  <si>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</si>
  <si>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</si>
  <si>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</si>
  <si>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</si>
  <si>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</si>
  <si>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</si>
  <si>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</si>
  <si>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</si>
  <si>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</si>
  <si>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</si>
  <si>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</si>
  <si>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</si>
  <si>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</si>
  <si>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</si>
  <si>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</si>
  <si>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</si>
  <si>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</si>
  <si>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</si>
  <si>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</si>
  <si>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</si>
  <si>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</si>
  <si>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</si>
  <si>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</si>
  <si>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</si>
  <si>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</si>
  <si>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</si>
  <si>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</si>
  <si>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</si>
  <si>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</si>
  <si>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</si>
  <si>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</si>
  <si>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</si>
  <si>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</si>
  <si>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</si>
  <si>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</si>
  <si>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</si>
  <si>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</si>
  <si>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</si>
  <si>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</si>
  <si>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</si>
  <si>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</si>
  <si>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</si>
  <si>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</si>
  <si>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</si>
  <si>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</si>
  <si>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</si>
  <si>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</si>
  <si>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</si>
  <si>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</si>
  <si>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</si>
  <si>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</si>
  <si>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</si>
  <si>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</si>
  <si>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</si>
  <si>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</si>
  <si>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</si>
  <si>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</si>
  <si>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</si>
  <si>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</si>
  <si>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</si>
  <si>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</si>
  <si>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</si>
  <si>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</si>
  <si>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</si>
  <si>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</si>
  <si>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</si>
  <si>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</si>
  <si>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</si>
  <si>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</si>
  <si>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</si>
  <si>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</si>
  <si>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</si>
  <si>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</si>
  <si>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</si>
  <si>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</si>
  <si>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</si>
  <si>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</si>
  <si>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</si>
  <si>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</si>
  <si>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</si>
  <si>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</si>
  <si>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</si>
  <si>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</si>
  <si>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</si>
  <si>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</si>
  <si>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</si>
  <si>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</si>
  <si>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</si>
  <si>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</si>
  <si>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</si>
  <si>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</si>
  <si>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</si>
  <si>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</si>
  <si>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</si>
  <si>
    <t>Mx Brooklyn</t>
  </si>
  <si>
    <t>Mx Cruz</t>
  </si>
  <si>
    <t>Mx Romeo</t>
  </si>
  <si>
    <t>Mx Harper</t>
  </si>
  <si>
    <t>CR Share premium (or cash  - delete as appropriate)</t>
  </si>
  <si>
    <t>Fari value increase</t>
  </si>
  <si>
    <t>Loans</t>
  </si>
  <si>
    <t>Gross proceeds</t>
  </si>
  <si>
    <t>Proceeds from issue of debt</t>
  </si>
  <si>
    <t>Positve is negative movement.  Double check if moves from an asset to a liability</t>
  </si>
  <si>
    <t>RM -  A</t>
  </si>
  <si>
    <t>RM -  F</t>
  </si>
  <si>
    <t>D. lab - F</t>
  </si>
  <si>
    <t>D. lab - A</t>
  </si>
  <si>
    <t>Prodn o/h - A</t>
  </si>
  <si>
    <t>Professional fees (architect and surveyor)</t>
  </si>
  <si>
    <t>Specialised materials</t>
  </si>
  <si>
    <t>External contractors</t>
  </si>
  <si>
    <t>Main</t>
  </si>
  <si>
    <t>&lt;&lt;&lt;&lt;watch for a cash element.  Take this off the fair value of the asset as we are only measuring the non-cash consideration here.</t>
  </si>
  <si>
    <t>Inventories must be valued at the lower of cost and net realisable value (NRV).</t>
  </si>
  <si>
    <t>Selling and distribution variance should be used to adjust NRV.</t>
  </si>
  <si>
    <t>Inventories must be valued at their [cost/nrv] of £xxx as net realisable value is less than/is greater than the unit cost.</t>
  </si>
  <si>
    <t>Sale and Leaseback:</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</si>
  <si>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</si>
  <si>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The proceeds received represent the leasing of the asset (lease liability of £…) and the balance represents the sales proceeds for the part of the asset not leased 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</si>
  <si>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</si>
  <si>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</si>
  <si>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</si>
  <si>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Asset Cost</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</si>
  <si>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</si>
  <si>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Accumlated depreciation</t>
  </si>
  <si>
    <t>Carrying amount of underlying asset</t>
  </si>
  <si>
    <t>FV of underlying asset</t>
  </si>
  <si>
    <t>% retained equal to discounted lease payments/ FV</t>
  </si>
  <si>
    <t>PV of future payments or FV of RoU asset</t>
  </si>
  <si>
    <t>Proceeds - Carrying value</t>
  </si>
  <si>
    <t>CR Lease payable</t>
  </si>
  <si>
    <t>DR RoU property - cost</t>
  </si>
  <si>
    <t>(Carrying amount/Fair value)*discounted lease payments)</t>
  </si>
  <si>
    <t>Presented as separate category of asset or separately within disclosure note.</t>
  </si>
  <si>
    <t>(Total gain/Fair value of asset)*(Proceeds - Discounted lease payments)</t>
  </si>
  <si>
    <t>Gain on sale relates to part sold</t>
  </si>
  <si>
    <t>CR PPE</t>
  </si>
  <si>
    <t>DR Property - accumulated depreciation</t>
  </si>
  <si>
    <t>Depreciation Charge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</si>
</sst>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 numFmtId="175" formatCode="#,##0;[Red]\(#,##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35">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0" fontId="20" fillId="7" borderId="24" xfId="4" applyFont="1" applyFill="1" applyBorder="1" applyAlignment="1">
      <alignment vertical="center" wrapText="1"/>
    </xf>
    <xf numFmtId="0" fontId="10" fillId="7" borderId="25" xfId="4" applyFont="1" applyFill="1" applyBorder="1" applyAlignment="1">
      <alignmen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0" fontId="9" fillId="7" borderId="24" xfId="4" applyFont="1" applyFill="1" applyBorder="1" applyAlignment="1">
      <alignment horizontal="lef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10" fillId="0" borderId="0" xfId="4" applyFont="1" applyFill="1" applyAlignment="1">
      <alignmen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16" fillId="0" borderId="0" xfId="1" applyFont="1"/>
    <xf numFmtId="0" fontId="18" fillId="0" borderId="0" xfId="0" applyFont="1" applyAlignment="1">
      <alignment horizontal="left"/>
    </xf>
    <xf numFmtId="0" fontId="28" fillId="0" borderId="14" xfId="0" applyFont="1" applyBorder="1"/>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175" fontId="0" fillId="2" borderId="0" xfId="0" applyNumberFormat="1" applyFill="1"/>
    <xf numFmtId="175" fontId="0" fillId="7" borderId="1" xfId="0" applyNumberFormat="1" applyFill="1" applyBorder="1"/>
    <xf numFmtId="175" fontId="0" fillId="2" borderId="0" xfId="1" applyNumberFormat="1" applyFont="1" applyFill="1"/>
    <xf numFmtId="175" fontId="1" fillId="7" borderId="0" xfId="0" applyNumberFormat="1" applyFont="1" applyFill="1"/>
    <xf numFmtId="175" fontId="0" fillId="7" borderId="0" xfId="0" applyNumberFormat="1" applyFill="1"/>
    <xf numFmtId="175" fontId="0" fillId="0" borderId="4" xfId="1" applyNumberFormat="1" applyFont="1" applyBorder="1"/>
    <xf numFmtId="175" fontId="0" fillId="7" borderId="1" xfId="1" applyNumberFormat="1" applyFont="1" applyFill="1" applyBorder="1"/>
    <xf numFmtId="175" fontId="0" fillId="7" borderId="0" xfId="1" applyNumberFormat="1" applyFont="1" applyFill="1"/>
    <xf numFmtId="175" fontId="0" fillId="0" borderId="1" xfId="1" applyNumberFormat="1" applyFont="1" applyBorder="1"/>
    <xf numFmtId="175" fontId="0" fillId="7" borderId="0" xfId="0" applyNumberFormat="1" applyFill="1" applyBorder="1"/>
    <xf numFmtId="175" fontId="9" fillId="7" borderId="0" xfId="4" applyNumberFormat="1" applyFont="1" applyFill="1" applyAlignment="1">
      <alignment vertical="center" wrapText="1"/>
    </xf>
    <xf numFmtId="175" fontId="9" fillId="2" borderId="0" xfId="1" applyNumberFormat="1" applyFont="1" applyFill="1" applyAlignment="1">
      <alignment vertical="center" wrapText="1"/>
    </xf>
    <xf numFmtId="175" fontId="0" fillId="0" borderId="4" xfId="0" applyNumberFormat="1" applyBorder="1"/>
    <xf numFmtId="175" fontId="0" fillId="2" borderId="0" xfId="1" applyNumberFormat="1" applyFont="1" applyFill="1" applyBorder="1"/>
    <xf numFmtId="175" fontId="9" fillId="2" borderId="0" xfId="4" applyNumberFormat="1" applyFont="1" applyFill="1" applyAlignment="1">
      <alignment vertical="center" wrapText="1"/>
    </xf>
    <xf numFmtId="175" fontId="0" fillId="0" borderId="1" xfId="0" applyNumberFormat="1" applyBorder="1"/>
    <xf numFmtId="175" fontId="0" fillId="0" borderId="0" xfId="0" applyNumberFormat="1"/>
    <xf numFmtId="175" fontId="9" fillId="0" borderId="32" xfId="4" applyNumberFormat="1" applyFont="1" applyFill="1" applyBorder="1" applyAlignment="1">
      <alignment vertical="center" wrapText="1"/>
    </xf>
    <xf numFmtId="175" fontId="9" fillId="0" borderId="1" xfId="4" applyNumberFormat="1" applyFont="1" applyFill="1" applyBorder="1" applyAlignment="1">
      <alignment vertical="center" wrapText="1"/>
    </xf>
    <xf numFmtId="175" fontId="9" fillId="0" borderId="4" xfId="1" applyNumberFormat="1" applyFont="1" applyFill="1" applyBorder="1" applyAlignment="1">
      <alignment vertical="center" wrapText="1"/>
    </xf>
    <xf numFmtId="175" fontId="9" fillId="0" borderId="1" xfId="1" applyNumberFormat="1" applyFont="1" applyFill="1" applyBorder="1" applyAlignment="1">
      <alignment vertical="center" wrapText="1"/>
    </xf>
    <xf numFmtId="175" fontId="9" fillId="9" borderId="24" xfId="4" applyNumberFormat="1" applyFont="1" applyFill="1" applyBorder="1" applyAlignment="1">
      <alignment horizontal="right" vertical="center" wrapText="1"/>
    </xf>
    <xf numFmtId="175" fontId="9" fillId="7" borderId="24" xfId="4" applyNumberFormat="1" applyFont="1" applyFill="1" applyBorder="1" applyAlignment="1">
      <alignment horizontal="right" vertical="center" wrapText="1"/>
    </xf>
    <xf numFmtId="175" fontId="9" fillId="7" borderId="25" xfId="4" applyNumberFormat="1" applyFont="1" applyFill="1" applyBorder="1" applyAlignment="1">
      <alignment horizontal="right" vertical="center" wrapText="1"/>
    </xf>
    <xf numFmtId="175" fontId="9" fillId="2" borderId="25" xfId="4" applyNumberFormat="1" applyFont="1" applyFill="1" applyBorder="1" applyAlignment="1">
      <alignment horizontal="right" vertical="center" wrapText="1"/>
    </xf>
    <xf numFmtId="175" fontId="9" fillId="2" borderId="33" xfId="4" applyNumberFormat="1" applyFont="1" applyFill="1" applyBorder="1" applyAlignment="1">
      <alignment horizontal="right" vertical="center" wrapText="1"/>
    </xf>
    <xf numFmtId="175" fontId="9" fillId="10" borderId="26" xfId="4" applyNumberFormat="1" applyFont="1" applyFill="1" applyBorder="1" applyAlignment="1">
      <alignment horizontal="right" vertical="center" wrapText="1"/>
    </xf>
    <xf numFmtId="175" fontId="9" fillId="9" borderId="25" xfId="4" applyNumberFormat="1" applyFont="1" applyFill="1" applyBorder="1" applyAlignment="1">
      <alignment horizontal="right" vertical="center" wrapText="1"/>
    </xf>
    <xf numFmtId="175" fontId="9" fillId="10" borderId="28" xfId="4" applyNumberFormat="1" applyFont="1" applyFill="1" applyBorder="1" applyAlignment="1">
      <alignment horizontal="right" vertical="center" wrapText="1"/>
    </xf>
    <xf numFmtId="175" fontId="9" fillId="9" borderId="33" xfId="4" applyNumberFormat="1" applyFont="1" applyFill="1" applyBorder="1" applyAlignment="1">
      <alignment horizontal="right" vertical="center" wrapText="1"/>
    </xf>
    <xf numFmtId="175" fontId="9" fillId="7" borderId="28" xfId="4" applyNumberFormat="1" applyFont="1" applyFill="1" applyBorder="1" applyAlignment="1">
      <alignment horizontal="right" vertical="center" wrapText="1"/>
    </xf>
    <xf numFmtId="175" fontId="9" fillId="10" borderId="24" xfId="4" applyNumberFormat="1" applyFont="1" applyFill="1" applyBorder="1" applyAlignment="1">
      <alignment horizontal="right" vertical="center" wrapText="1"/>
    </xf>
    <xf numFmtId="175" fontId="9" fillId="10" borderId="33" xfId="4" applyNumberFormat="1" applyFont="1" applyFill="1" applyBorder="1" applyAlignment="1">
      <alignment horizontal="right" vertical="center" wrapText="1"/>
    </xf>
    <xf numFmtId="175" fontId="9" fillId="9" borderId="30" xfId="4" applyNumberFormat="1" applyFont="1" applyFill="1" applyBorder="1" applyAlignment="1">
      <alignment horizontal="right" vertical="center" wrapText="1"/>
    </xf>
    <xf numFmtId="0" fontId="0" fillId="2" borderId="8" xfId="0" applyFill="1" applyBorder="1" applyAlignment="1">
      <alignment vertical="top"/>
    </xf>
    <xf numFmtId="0" fontId="0" fillId="2" borderId="8" xfId="0" applyFont="1" applyFill="1" applyBorder="1" applyAlignment="1"/>
    <xf numFmtId="175" fontId="0" fillId="7" borderId="32" xfId="1" applyNumberFormat="1" applyFont="1" applyFill="1" applyBorder="1"/>
    <xf numFmtId="175" fontId="0" fillId="0" borderId="0" xfId="1" applyNumberFormat="1" applyFont="1" applyBorder="1"/>
    <xf numFmtId="175" fontId="0" fillId="0" borderId="0" xfId="0" applyNumberFormat="1" applyBorder="1"/>
    <xf numFmtId="175" fontId="0" fillId="0" borderId="9" xfId="0" applyNumberFormat="1" applyBorder="1"/>
    <xf numFmtId="175" fontId="0" fillId="0" borderId="9" xfId="0" applyNumberFormat="1" applyFill="1" applyBorder="1"/>
    <xf numFmtId="175" fontId="0" fillId="2" borderId="0" xfId="0" applyNumberFormat="1" applyFill="1" applyBorder="1"/>
    <xf numFmtId="175" fontId="0" fillId="0" borderId="3" xfId="0" applyNumberFormat="1" applyBorder="1"/>
    <xf numFmtId="175" fontId="0" fillId="2" borderId="0" xfId="1" applyNumberFormat="1" applyFont="1" applyFill="1" applyAlignment="1">
      <alignment horizontal="right"/>
    </xf>
    <xf numFmtId="175" fontId="0" fillId="0" borderId="0" xfId="0" applyNumberFormat="1" applyAlignment="1">
      <alignment horizontal="right"/>
    </xf>
    <xf numFmtId="175" fontId="0" fillId="0" borderId="0" xfId="1" applyNumberFormat="1" applyFont="1"/>
    <xf numFmtId="175" fontId="9" fillId="0" borderId="0" xfId="4" applyNumberFormat="1" applyFont="1" applyFill="1" applyBorder="1" applyAlignment="1">
      <alignment vertical="center" wrapText="1"/>
    </xf>
    <xf numFmtId="175" fontId="9" fillId="2" borderId="14" xfId="4" applyNumberFormat="1" applyFont="1" applyFill="1" applyBorder="1" applyAlignment="1">
      <alignment vertical="center" wrapText="1"/>
    </xf>
    <xf numFmtId="175" fontId="9" fillId="2" borderId="32" xfId="4" applyNumberFormat="1" applyFont="1" applyFill="1" applyBorder="1" applyAlignment="1">
      <alignment vertical="center" wrapText="1"/>
    </xf>
    <xf numFmtId="0" fontId="1" fillId="7" borderId="71" xfId="0" applyFont="1" applyFill="1" applyBorder="1"/>
    <xf numFmtId="0" fontId="9" fillId="7" borderId="71" xfId="4" applyFont="1" applyFill="1" applyBorder="1" applyAlignment="1">
      <alignment vertical="center" wrapText="1"/>
    </xf>
    <xf numFmtId="175" fontId="1" fillId="0" borderId="0" xfId="0" applyNumberFormat="1" applyFont="1"/>
    <xf numFmtId="175" fontId="9" fillId="0" borderId="0" xfId="4" applyNumberFormat="1" applyFont="1" applyFill="1" applyAlignment="1">
      <alignment vertical="center" wrapText="1"/>
    </xf>
    <xf numFmtId="175" fontId="9" fillId="0" borderId="4" xfId="4" applyNumberFormat="1" applyFont="1" applyFill="1" applyBorder="1" applyAlignment="1">
      <alignment vertical="center" wrapText="1"/>
    </xf>
    <xf numFmtId="175" fontId="9" fillId="2" borderId="24" xfId="4" applyNumberFormat="1" applyFont="1" applyFill="1" applyBorder="1" applyAlignment="1">
      <alignment horizontal="right" vertical="center" wrapText="1"/>
    </xf>
    <xf numFmtId="175" fontId="0" fillId="0" borderId="0" xfId="0" applyNumberFormat="1" applyFont="1" applyBorder="1"/>
    <xf numFmtId="175" fontId="1" fillId="0" borderId="32" xfId="1" applyNumberFormat="1" applyFont="1" applyBorder="1"/>
    <xf numFmtId="175" fontId="1" fillId="0" borderId="0" xfId="1" applyNumberFormat="1" applyFont="1" applyBorder="1"/>
    <xf numFmtId="175" fontId="1" fillId="0" borderId="0" xfId="0" applyNumberFormat="1" applyFont="1" applyBorder="1"/>
    <xf numFmtId="175" fontId="0" fillId="0" borderId="0" xfId="1" applyNumberFormat="1" applyFont="1" applyFill="1" applyBorder="1"/>
    <xf numFmtId="175" fontId="0" fillId="0" borderId="0" xfId="0" applyNumberFormat="1" applyFill="1"/>
    <xf numFmtId="0" fontId="1" fillId="0" borderId="0" xfId="0" applyFont="1" applyAlignment="1">
      <alignment horizontal="center" vertical="center"/>
    </xf>
    <xf numFmtId="43" fontId="23" fillId="0" borderId="0" xfId="0" applyNumberFormat="1" applyFont="1"/>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5" xfId="0" applyFont="1" applyFill="1" applyBorder="1" applyAlignment="1">
      <alignment horizontal="center"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10" fillId="7" borderId="67" xfId="0" applyFont="1" applyFill="1" applyBorder="1" applyAlignment="1">
      <alignment horizontal="center" vertical="center" wrapText="1"/>
    </xf>
    <xf numFmtId="0" fontId="9" fillId="7" borderId="0" xfId="0" applyFont="1" applyFill="1" applyAlignment="1">
      <alignment horizontal="left"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6" fillId="0" borderId="0" xfId="0" quotePrefix="1" applyFont="1"/>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177801</xdr:rowOff>
    </xdr:from>
    <xdr:to>
      <xdr:col>7</xdr:col>
      <xdr:colOff>400375</xdr:colOff>
      <xdr:row>12</xdr:row>
      <xdr:rowOff>133350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609600" y="177801"/>
          <a:ext cx="4057975" cy="2241549"/>
        </a:xfrm>
        <a:prstGeom prst="rect">
          <a:avLst/>
        </a:prstGeom>
      </xdr:spPr>
    </xdr:pic>
    <xdr:clientData/>
  </xdr:twoCellAnchor>
  <xdr:twoCellAnchor editAs="oneCell">
    <xdr:from>
      <xdr:col>1</xdr:col>
      <xdr:colOff>0</xdr:colOff>
      <xdr:row>12</xdr:row>
      <xdr:rowOff>166724</xdr:rowOff>
    </xdr:from>
    <xdr:to>
      <xdr:col>7</xdr:col>
      <xdr:colOff>317500</xdr:colOff>
      <xdr:row>27</xdr:row>
      <xdr:rowOff>47625</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09600" y="2452724"/>
          <a:ext cx="3975100" cy="2738401"/>
        </a:xfrm>
        <a:prstGeom prst="rect">
          <a:avLst/>
        </a:prstGeom>
      </xdr:spPr>
    </xdr:pic>
    <xdr:clientData/>
  </xdr:twoCellAnchor>
  <xdr:twoCellAnchor editAs="oneCell">
    <xdr:from>
      <xdr:col>1</xdr:col>
      <xdr:colOff>0</xdr:colOff>
      <xdr:row>28</xdr:row>
      <xdr:rowOff>0</xdr:rowOff>
    </xdr:from>
    <xdr:to>
      <xdr:col>7</xdr:col>
      <xdr:colOff>458975</xdr:colOff>
      <xdr:row>42</xdr:row>
      <xdr:rowOff>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609600" y="5334000"/>
          <a:ext cx="4116575" cy="2667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9</xdr:row>
      <xdr:rowOff>37598</xdr:rowOff>
    </xdr:from>
    <xdr:to>
      <xdr:col>16</xdr:col>
      <xdr:colOff>293340</xdr:colOff>
      <xdr:row>12</xdr:row>
      <xdr:rowOff>19410</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31</xdr:row>
      <xdr:rowOff>155222</xdr:rowOff>
    </xdr:from>
    <xdr:to>
      <xdr:col>14</xdr:col>
      <xdr:colOff>412612</xdr:colOff>
      <xdr:row>42</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9</xdr:row>
      <xdr:rowOff>22225</xdr:rowOff>
    </xdr:from>
    <xdr:to>
      <xdr:col>34</xdr:col>
      <xdr:colOff>191135</xdr:colOff>
      <xdr:row>17</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32</xdr:col>
      <xdr:colOff>205158</xdr:colOff>
      <xdr:row>63</xdr:row>
      <xdr:rowOff>105835</xdr:rowOff>
    </xdr:from>
    <xdr:to>
      <xdr:col>40</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28</xdr:row>
      <xdr:rowOff>6221</xdr:rowOff>
    </xdr:from>
    <xdr:to>
      <xdr:col>10</xdr:col>
      <xdr:colOff>256427</xdr:colOff>
      <xdr:row>33</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34</xdr:row>
      <xdr:rowOff>112854</xdr:rowOff>
    </xdr:from>
    <xdr:to>
      <xdr:col>10</xdr:col>
      <xdr:colOff>262270</xdr:colOff>
      <xdr:row>46</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1066800</xdr:colOff>
      <xdr:row>26</xdr:row>
      <xdr:rowOff>80878</xdr:rowOff>
    </xdr:from>
    <xdr:to>
      <xdr:col>7</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23</xdr:col>
      <xdr:colOff>433916</xdr:colOff>
      <xdr:row>4</xdr:row>
      <xdr:rowOff>314004</xdr:rowOff>
    </xdr:from>
    <xdr:to>
      <xdr:col>31</xdr:col>
      <xdr:colOff>296333</xdr:colOff>
      <xdr:row>32</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twoCellAnchor editAs="oneCell">
    <xdr:from>
      <xdr:col>10</xdr:col>
      <xdr:colOff>5796</xdr:colOff>
      <xdr:row>6</xdr:row>
      <xdr:rowOff>0</xdr:rowOff>
    </xdr:from>
    <xdr:to>
      <xdr:col>15</xdr:col>
      <xdr:colOff>0</xdr:colOff>
      <xdr:row>18</xdr:row>
      <xdr:rowOff>131357</xdr:rowOff>
    </xdr:to>
    <xdr:pic>
      <xdr:nvPicPr>
        <xdr:cNvPr id="4" name="Picture 3">
          <a:extLst>
            <a:ext uri="{FF2B5EF4-FFF2-40B4-BE49-F238E27FC236}">
              <a16:creationId xmlns:a16="http://schemas.microsoft.com/office/drawing/2014/main" id="{1DA6F7FC-ED7A-7AC0-8EB2-D6DE75C6DC7C}"/>
            </a:ext>
          </a:extLst>
        </xdr:cNvPr>
        <xdr:cNvPicPr>
          <a:picLocks noChangeAspect="1"/>
        </xdr:cNvPicPr>
      </xdr:nvPicPr>
      <xdr:blipFill>
        <a:blip xmlns:r="http://schemas.openxmlformats.org/officeDocument/2006/relationships" r:embed="rId2"/>
        <a:stretch>
          <a:fillRect/>
        </a:stretch>
      </xdr:blipFill>
      <xdr:spPr>
        <a:xfrm>
          <a:off x="19963472" y="2790265"/>
          <a:ext cx="3849028" cy="282076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0</xdr:colOff>
      <xdr:row>2</xdr:row>
      <xdr:rowOff>72708</xdr:rowOff>
    </xdr:from>
    <xdr:to>
      <xdr:col>9</xdr:col>
      <xdr:colOff>110369</xdr:colOff>
      <xdr:row>9</xdr:row>
      <xdr:rowOff>163286</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14437179" y="480922"/>
          <a:ext cx="3403297" cy="376450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9</xdr:row>
      <xdr:rowOff>177800</xdr:rowOff>
    </xdr:from>
    <xdr:to>
      <xdr:col>15</xdr:col>
      <xdr:colOff>460374</xdr:colOff>
      <xdr:row>21</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390525</xdr:colOff>
      <xdr:row>12</xdr:row>
      <xdr:rowOff>139700</xdr:rowOff>
    </xdr:from>
    <xdr:to>
      <xdr:col>17</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9</xdr:col>
      <xdr:colOff>304800</xdr:colOff>
      <xdr:row>18</xdr:row>
      <xdr:rowOff>28575</xdr:rowOff>
    </xdr:from>
    <xdr:to>
      <xdr:col>16</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9</xdr:col>
      <xdr:colOff>581025</xdr:colOff>
      <xdr:row>6</xdr:row>
      <xdr:rowOff>25400</xdr:rowOff>
    </xdr:from>
    <xdr:to>
      <xdr:col>17</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17</xdr:col>
      <xdr:colOff>349250</xdr:colOff>
      <xdr:row>3</xdr:row>
      <xdr:rowOff>161925</xdr:rowOff>
    </xdr:from>
    <xdr:to>
      <xdr:col>22</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17</xdr:col>
      <xdr:colOff>460374</xdr:colOff>
      <xdr:row>3</xdr:row>
      <xdr:rowOff>166688</xdr:rowOff>
    </xdr:from>
    <xdr:to>
      <xdr:col>23</xdr:col>
      <xdr:colOff>311329</xdr:colOff>
      <xdr:row>20</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31749</xdr:colOff>
      <xdr:row>24</xdr:row>
      <xdr:rowOff>15874</xdr:rowOff>
    </xdr:from>
    <xdr:to>
      <xdr:col>18</xdr:col>
      <xdr:colOff>400359</xdr:colOff>
      <xdr:row>32</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17" sqref="B17"/>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382</v>
      </c>
    </row>
    <row r="3" spans="2:12" x14ac:dyDescent="0.25">
      <c r="B3" s="161" t="s">
        <v>1354</v>
      </c>
    </row>
    <row r="4" spans="2:12" x14ac:dyDescent="0.25">
      <c r="B4" s="161" t="s">
        <v>956</v>
      </c>
    </row>
    <row r="5" spans="2:12" x14ac:dyDescent="0.25">
      <c r="B5" s="161" t="s">
        <v>1051</v>
      </c>
    </row>
    <row r="6" spans="2:12" x14ac:dyDescent="0.25">
      <c r="B6" s="161" t="s">
        <v>1355</v>
      </c>
    </row>
    <row r="7" spans="2:12" x14ac:dyDescent="0.25">
      <c r="B7" s="161" t="s">
        <v>1865</v>
      </c>
    </row>
    <row r="8" spans="2:12" x14ac:dyDescent="0.25">
      <c r="B8" s="161" t="s">
        <v>1356</v>
      </c>
    </row>
    <row r="9" spans="2:12" x14ac:dyDescent="0.25">
      <c r="B9" s="161" t="s">
        <v>1861</v>
      </c>
    </row>
    <row r="10" spans="2:12" x14ac:dyDescent="0.25">
      <c r="B10" s="161" t="s">
        <v>957</v>
      </c>
    </row>
    <row r="11" spans="2:12" x14ac:dyDescent="0.25">
      <c r="B11" s="161" t="s">
        <v>36</v>
      </c>
    </row>
    <row r="12" spans="2:12" x14ac:dyDescent="0.25">
      <c r="B12" s="161" t="s">
        <v>375</v>
      </c>
    </row>
    <row r="13" spans="2:12" x14ac:dyDescent="0.25">
      <c r="B13" s="161" t="s">
        <v>376</v>
      </c>
    </row>
    <row r="14" spans="2:12" x14ac:dyDescent="0.25">
      <c r="B14" s="161" t="s">
        <v>381</v>
      </c>
    </row>
    <row r="15" spans="2:12" x14ac:dyDescent="0.25">
      <c r="B15" s="161" t="s">
        <v>219</v>
      </c>
      <c r="L15" s="11"/>
    </row>
    <row r="16" spans="2:12" x14ac:dyDescent="0.25">
      <c r="B16" s="161" t="s">
        <v>377</v>
      </c>
    </row>
    <row r="17" spans="2:13" x14ac:dyDescent="0.25">
      <c r="B17" s="161" t="s">
        <v>115</v>
      </c>
    </row>
    <row r="18" spans="2:13" x14ac:dyDescent="0.25">
      <c r="B18" s="161" t="s">
        <v>560</v>
      </c>
    </row>
    <row r="19" spans="2:13" x14ac:dyDescent="0.25">
      <c r="B19" s="161" t="s">
        <v>734</v>
      </c>
    </row>
    <row r="20" spans="2:13" x14ac:dyDescent="0.25">
      <c r="B20" s="161" t="s">
        <v>378</v>
      </c>
    </row>
    <row r="21" spans="2:13" x14ac:dyDescent="0.25">
      <c r="B21" s="161" t="s">
        <v>380</v>
      </c>
    </row>
    <row r="22" spans="2:13" x14ac:dyDescent="0.25">
      <c r="B22" s="161" t="s">
        <v>119</v>
      </c>
      <c r="M22" s="12"/>
    </row>
    <row r="23" spans="2:13" x14ac:dyDescent="0.25">
      <c r="B23" s="161" t="s">
        <v>460</v>
      </c>
    </row>
    <row r="24" spans="2:13" x14ac:dyDescent="0.25">
      <c r="B24" s="161" t="s">
        <v>1050</v>
      </c>
    </row>
    <row r="25" spans="2:13" x14ac:dyDescent="0.25">
      <c r="B25" s="161" t="s">
        <v>1137</v>
      </c>
    </row>
    <row r="26" spans="2:13" x14ac:dyDescent="0.25">
      <c r="B26" s="161" t="s">
        <v>668</v>
      </c>
    </row>
    <row r="27" spans="2:13" x14ac:dyDescent="0.25">
      <c r="B27" s="161" t="s">
        <v>1863</v>
      </c>
    </row>
    <row r="28" spans="2:13" x14ac:dyDescent="0.25">
      <c r="B28" s="161" t="s">
        <v>1209</v>
      </c>
    </row>
    <row r="29" spans="2:13" x14ac:dyDescent="0.25">
      <c r="B29" s="161" t="s">
        <v>1864</v>
      </c>
    </row>
    <row r="30" spans="2:13" x14ac:dyDescent="0.25">
      <c r="B30" s="161" t="s">
        <v>21</v>
      </c>
    </row>
    <row r="31" spans="2:13" x14ac:dyDescent="0.25">
      <c r="B31" s="161" t="s">
        <v>1866</v>
      </c>
    </row>
    <row r="32" spans="2:13" x14ac:dyDescent="0.25">
      <c r="B32" s="161" t="s">
        <v>1948</v>
      </c>
    </row>
    <row r="33" spans="2:2" x14ac:dyDescent="0.25">
      <c r="B33" s="161" t="s">
        <v>1949</v>
      </c>
    </row>
    <row r="34" spans="2:2" x14ac:dyDescent="0.25">
      <c r="B34" s="161" t="s">
        <v>1160</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A1:C3"/>
  <sheetViews>
    <sheetView workbookViewId="0"/>
  </sheetViews>
  <sheetFormatPr defaultRowHeight="15" x14ac:dyDescent="0.25"/>
  <cols>
    <col min="1" max="1" width="5.42578125" bestFit="1" customWidth="1"/>
    <col min="2" max="2" width="12.42578125" customWidth="1"/>
    <col min="3" max="3" width="17.28515625" bestFit="1" customWidth="1"/>
  </cols>
  <sheetData>
    <row r="1" spans="1:3" x14ac:dyDescent="0.25">
      <c r="A1" s="161" t="s">
        <v>1984</v>
      </c>
    </row>
    <row r="2" spans="1:3" x14ac:dyDescent="0.25">
      <c r="B2" t="s">
        <v>11</v>
      </c>
      <c r="C2" s="3"/>
    </row>
    <row r="3" spans="1:3" x14ac:dyDescent="0.25">
      <c r="B3" t="s">
        <v>12</v>
      </c>
      <c r="C3" s="139"/>
    </row>
  </sheetData>
  <hyperlinks>
    <hyperlink ref="A1" location="Main!A1" display="Main" xr:uid="{73ED5F10-7417-4FB6-BEF7-4C6E501CBFB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49" t="s">
        <v>126</v>
      </c>
      <c r="C37" s="849"/>
      <c r="D37" s="849"/>
      <c r="E37" s="849"/>
      <c r="F37" s="849"/>
      <c r="G37" s="849"/>
      <c r="H37" s="849"/>
    </row>
    <row r="38" spans="2:8" x14ac:dyDescent="0.25">
      <c r="B38" s="849"/>
      <c r="C38" s="849"/>
      <c r="D38" s="849"/>
      <c r="E38" s="849"/>
      <c r="F38" s="849"/>
      <c r="G38" s="849"/>
      <c r="H38" s="849"/>
    </row>
    <row r="39" spans="2:8" x14ac:dyDescent="0.25">
      <c r="B39" s="849"/>
      <c r="C39" s="849"/>
      <c r="D39" s="849"/>
      <c r="E39" s="849"/>
      <c r="F39" s="849"/>
      <c r="G39" s="849"/>
      <c r="H39" s="849"/>
    </row>
    <row r="40" spans="2:8" x14ac:dyDescent="0.25">
      <c r="B40" s="849"/>
      <c r="C40" s="849"/>
      <c r="D40" s="849"/>
      <c r="E40" s="849"/>
      <c r="F40" s="849"/>
      <c r="G40" s="849"/>
      <c r="H40" s="849"/>
    </row>
    <row r="41" spans="2:8" x14ac:dyDescent="0.25">
      <c r="B41" s="849"/>
      <c r="C41" s="849"/>
      <c r="D41" s="849"/>
      <c r="E41" s="849"/>
      <c r="F41" s="849"/>
      <c r="G41" s="849"/>
      <c r="H41" s="849"/>
    </row>
    <row r="42" spans="2:8" x14ac:dyDescent="0.25">
      <c r="B42" s="849"/>
      <c r="C42" s="849"/>
      <c r="D42" s="849"/>
      <c r="E42" s="849"/>
      <c r="F42" s="849"/>
      <c r="G42" s="849"/>
      <c r="H42" s="849"/>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6"/>
    <col min="2" max="2" width="73.5703125" style="226" customWidth="1"/>
    <col min="3" max="3" width="93.140625" style="226" hidden="1" customWidth="1"/>
    <col min="4" max="6" width="17.28515625" style="243" customWidth="1"/>
    <col min="7" max="7" width="14.42578125" style="243" customWidth="1"/>
    <col min="8" max="8" width="13.42578125" style="243" customWidth="1"/>
    <col min="9" max="9" width="12.140625" style="243" customWidth="1"/>
    <col min="10" max="10" width="13.42578125" style="243" customWidth="1"/>
    <col min="11" max="11" width="10.42578125" style="243" customWidth="1"/>
    <col min="12" max="12" width="11.5703125" style="243" customWidth="1"/>
    <col min="13" max="13" width="10.42578125" style="243" customWidth="1"/>
    <col min="14" max="14" width="10.85546875" style="243" customWidth="1"/>
    <col min="15" max="15" width="15" style="243" customWidth="1"/>
    <col min="16" max="16" width="11.5703125" style="243" customWidth="1"/>
    <col min="17" max="17" width="15" style="243" customWidth="1"/>
    <col min="18" max="24" width="11.5703125" style="243" customWidth="1"/>
    <col min="25" max="25" width="10.42578125" style="243" customWidth="1"/>
    <col min="26" max="26" width="10" style="243" customWidth="1"/>
    <col min="27" max="27" width="17.28515625" style="243" customWidth="1"/>
    <col min="28" max="28" width="3.5703125" style="226"/>
    <col min="29" max="38" width="3.5703125" style="265"/>
    <col min="39" max="39" width="40.5703125" style="265" customWidth="1"/>
    <col min="40" max="40" width="25.42578125" style="265" customWidth="1"/>
    <col min="41" max="41" width="29.5703125" style="265" customWidth="1"/>
    <col min="42" max="42" width="6.5703125" style="265" customWidth="1"/>
    <col min="43" max="44" width="3.5703125" style="265"/>
    <col min="45" max="45" width="60.140625" style="265" customWidth="1"/>
    <col min="46" max="46" width="3.5703125" style="265" customWidth="1"/>
    <col min="47" max="47" width="20.85546875" style="265" customWidth="1"/>
    <col min="48" max="48" width="20.5703125" style="265" customWidth="1"/>
    <col min="49" max="53" width="3.5703125" style="265"/>
    <col min="54" max="54" width="6.28515625" style="265" bestFit="1" customWidth="1"/>
    <col min="55" max="55" width="3.5703125" style="265"/>
    <col min="56" max="56" width="17.28515625" style="265" customWidth="1"/>
    <col min="57" max="57" width="6.85546875" style="265" bestFit="1" customWidth="1"/>
    <col min="58" max="59" width="3.5703125" style="265"/>
    <col min="60" max="61" width="13.85546875" style="265" bestFit="1" customWidth="1"/>
    <col min="62" max="63" width="3.5703125" style="265"/>
    <col min="64" max="72" width="3.5703125" style="398"/>
    <col min="73" max="16384" width="3.5703125" style="226"/>
  </cols>
  <sheetData>
    <row r="2" spans="2:72" ht="18.75" customHeight="1" x14ac:dyDescent="0.25">
      <c r="B2" s="224" t="s">
        <v>636</v>
      </c>
      <c r="C2" s="853" t="s">
        <v>637</v>
      </c>
      <c r="D2" s="225"/>
      <c r="E2" s="225"/>
      <c r="F2" s="225"/>
      <c r="G2" s="297"/>
      <c r="H2" s="297"/>
      <c r="I2" s="297"/>
      <c r="J2" s="297"/>
      <c r="K2" s="297"/>
      <c r="L2" s="297"/>
      <c r="M2" s="297"/>
      <c r="N2" s="297"/>
      <c r="O2" s="297"/>
      <c r="P2" s="297"/>
      <c r="Q2" s="297"/>
      <c r="R2" s="297"/>
      <c r="S2" s="297"/>
      <c r="T2" s="297"/>
      <c r="U2" s="297"/>
      <c r="V2" s="297"/>
      <c r="W2" s="297"/>
      <c r="X2" s="297"/>
      <c r="Y2" s="297"/>
      <c r="Z2" s="297"/>
      <c r="AA2" s="225"/>
      <c r="AM2" s="266" t="s">
        <v>753</v>
      </c>
      <c r="AN2" s="363">
        <f>SUM(AN6:AN1048576)</f>
        <v>10658.599999999999</v>
      </c>
      <c r="AO2" s="363">
        <f>SUM(AO6:AO1048576)</f>
        <v>10658.6</v>
      </c>
      <c r="AP2" s="363">
        <f>AO2-AN2</f>
        <v>0</v>
      </c>
    </row>
    <row r="3" spans="2:72" ht="18.75" customHeight="1" x14ac:dyDescent="0.25">
      <c r="B3" s="227" t="s">
        <v>638</v>
      </c>
      <c r="C3" s="858"/>
      <c r="D3" s="225"/>
      <c r="E3" s="225"/>
      <c r="F3" s="280"/>
      <c r="G3" s="850">
        <v>1</v>
      </c>
      <c r="H3" s="856"/>
      <c r="I3" s="850">
        <v>2</v>
      </c>
      <c r="J3" s="856"/>
      <c r="K3" s="850">
        <v>3</v>
      </c>
      <c r="L3" s="851"/>
      <c r="M3" s="856">
        <v>4</v>
      </c>
      <c r="N3" s="851"/>
      <c r="O3" s="850">
        <v>5</v>
      </c>
      <c r="P3" s="851"/>
      <c r="Q3" s="850">
        <v>6</v>
      </c>
      <c r="R3" s="851"/>
      <c r="S3" s="850">
        <v>7</v>
      </c>
      <c r="T3" s="851"/>
      <c r="U3" s="850">
        <v>8</v>
      </c>
      <c r="V3" s="851"/>
      <c r="W3" s="850">
        <v>9</v>
      </c>
      <c r="X3" s="851"/>
      <c r="Y3" s="850">
        <v>10</v>
      </c>
      <c r="Z3" s="851"/>
      <c r="AA3" s="308"/>
    </row>
    <row r="4" spans="2:72" ht="18.75" customHeight="1" thickBot="1" x14ac:dyDescent="0.3">
      <c r="B4" s="228" t="s">
        <v>852</v>
      </c>
      <c r="C4" s="859"/>
      <c r="D4" s="229" t="s">
        <v>639</v>
      </c>
      <c r="E4" s="229" t="s">
        <v>640</v>
      </c>
      <c r="F4" s="281" t="s">
        <v>641</v>
      </c>
      <c r="G4" s="298" t="s">
        <v>642</v>
      </c>
      <c r="H4" s="281" t="s">
        <v>643</v>
      </c>
      <c r="I4" s="298" t="s">
        <v>642</v>
      </c>
      <c r="J4" s="281" t="s">
        <v>643</v>
      </c>
      <c r="K4" s="298" t="s">
        <v>642</v>
      </c>
      <c r="L4" s="299" t="s">
        <v>643</v>
      </c>
      <c r="M4" s="291" t="s">
        <v>642</v>
      </c>
      <c r="N4" s="299" t="s">
        <v>643</v>
      </c>
      <c r="O4" s="298" t="s">
        <v>642</v>
      </c>
      <c r="P4" s="299" t="s">
        <v>643</v>
      </c>
      <c r="Q4" s="298" t="s">
        <v>642</v>
      </c>
      <c r="R4" s="299" t="s">
        <v>643</v>
      </c>
      <c r="S4" s="298" t="s">
        <v>642</v>
      </c>
      <c r="T4" s="299" t="s">
        <v>643</v>
      </c>
      <c r="U4" s="298" t="s">
        <v>642</v>
      </c>
      <c r="V4" s="299" t="s">
        <v>643</v>
      </c>
      <c r="W4" s="298" t="s">
        <v>642</v>
      </c>
      <c r="X4" s="299" t="s">
        <v>643</v>
      </c>
      <c r="Y4" s="298" t="s">
        <v>642</v>
      </c>
      <c r="Z4" s="299" t="s">
        <v>643</v>
      </c>
      <c r="AA4" s="291" t="s">
        <v>644</v>
      </c>
      <c r="AM4" s="266" t="s">
        <v>243</v>
      </c>
      <c r="AN4" s="267" t="s">
        <v>141</v>
      </c>
      <c r="AO4" s="267" t="s">
        <v>141</v>
      </c>
      <c r="BC4" s="371" t="s">
        <v>729</v>
      </c>
      <c r="BH4" s="261"/>
    </row>
    <row r="5" spans="2:72" ht="18.75" customHeight="1" thickBot="1" x14ac:dyDescent="0.3">
      <c r="B5" s="230"/>
      <c r="C5" s="231" t="s">
        <v>645</v>
      </c>
      <c r="D5" s="229" t="s">
        <v>141</v>
      </c>
      <c r="E5" s="229" t="s">
        <v>141</v>
      </c>
      <c r="F5" s="281" t="s">
        <v>141</v>
      </c>
      <c r="G5" s="298" t="s">
        <v>141</v>
      </c>
      <c r="H5" s="281" t="s">
        <v>141</v>
      </c>
      <c r="I5" s="298" t="s">
        <v>141</v>
      </c>
      <c r="J5" s="281" t="s">
        <v>141</v>
      </c>
      <c r="K5" s="298" t="s">
        <v>141</v>
      </c>
      <c r="L5" s="299" t="s">
        <v>141</v>
      </c>
      <c r="M5" s="291" t="s">
        <v>141</v>
      </c>
      <c r="N5" s="229" t="s">
        <v>141</v>
      </c>
      <c r="O5" s="229" t="s">
        <v>141</v>
      </c>
      <c r="P5" s="229" t="s">
        <v>141</v>
      </c>
      <c r="Q5" s="229" t="s">
        <v>141</v>
      </c>
      <c r="R5" s="229" t="s">
        <v>141</v>
      </c>
      <c r="S5" s="229" t="s">
        <v>141</v>
      </c>
      <c r="T5" s="229" t="s">
        <v>141</v>
      </c>
      <c r="U5" s="229" t="s">
        <v>141</v>
      </c>
      <c r="V5" s="229" t="s">
        <v>141</v>
      </c>
      <c r="W5" s="229" t="s">
        <v>141</v>
      </c>
      <c r="X5" s="229" t="s">
        <v>141</v>
      </c>
      <c r="Y5" s="229" t="s">
        <v>141</v>
      </c>
      <c r="Z5" s="229" t="s">
        <v>141</v>
      </c>
      <c r="AA5" s="291" t="s">
        <v>10</v>
      </c>
    </row>
    <row r="6" spans="2:72" ht="18.75" customHeight="1" thickBot="1" x14ac:dyDescent="0.3">
      <c r="B6" s="227" t="s">
        <v>646</v>
      </c>
      <c r="C6" s="232"/>
      <c r="D6" s="233"/>
      <c r="E6" s="233"/>
      <c r="F6" s="282"/>
      <c r="G6" s="300"/>
      <c r="H6" s="282"/>
      <c r="I6" s="300"/>
      <c r="J6" s="282"/>
      <c r="K6" s="300"/>
      <c r="L6" s="301"/>
      <c r="M6" s="292"/>
      <c r="N6" s="301"/>
      <c r="O6" s="300"/>
      <c r="P6" s="301"/>
      <c r="Q6" s="300"/>
      <c r="R6" s="301"/>
      <c r="S6" s="380"/>
      <c r="T6" s="381"/>
      <c r="U6" s="380"/>
      <c r="V6" s="381"/>
      <c r="W6" s="318"/>
      <c r="X6" s="318"/>
      <c r="Y6" s="300"/>
      <c r="Z6" s="301"/>
      <c r="AA6" s="292"/>
      <c r="AL6" s="268">
        <v>1</v>
      </c>
      <c r="AM6" s="265" t="s">
        <v>680</v>
      </c>
      <c r="AN6" s="269">
        <f>AU12</f>
        <v>1000</v>
      </c>
      <c r="AS6" s="270" t="s">
        <v>687</v>
      </c>
      <c r="AT6" s="271"/>
      <c r="AU6" s="275" t="s">
        <v>513</v>
      </c>
      <c r="AV6" s="187">
        <v>0.2</v>
      </c>
    </row>
    <row r="7" spans="2:72" ht="18.75" customHeight="1" x14ac:dyDescent="0.25">
      <c r="B7" s="227" t="s">
        <v>73</v>
      </c>
      <c r="C7" s="232"/>
      <c r="D7" s="233"/>
      <c r="E7" s="233"/>
      <c r="F7" s="282"/>
      <c r="G7" s="300"/>
      <c r="H7" s="282"/>
      <c r="I7" s="300"/>
      <c r="J7" s="282"/>
      <c r="K7" s="300"/>
      <c r="L7" s="301"/>
      <c r="M7" s="292"/>
      <c r="N7" s="301"/>
      <c r="O7" s="300"/>
      <c r="P7" s="301"/>
      <c r="Q7" s="300"/>
      <c r="R7" s="301"/>
      <c r="S7" s="380"/>
      <c r="T7" s="381"/>
      <c r="U7" s="380"/>
      <c r="V7" s="381"/>
      <c r="W7" s="318"/>
      <c r="X7" s="318"/>
      <c r="Y7" s="300"/>
      <c r="Z7" s="301"/>
      <c r="AA7" s="292"/>
      <c r="AM7" s="265" t="s">
        <v>681</v>
      </c>
      <c r="AN7" s="269">
        <f>AU14</f>
        <v>3260</v>
      </c>
      <c r="AS7" s="271"/>
      <c r="AT7" s="271"/>
      <c r="AU7" s="271"/>
      <c r="AV7"/>
      <c r="BC7" s="277" t="s">
        <v>744</v>
      </c>
      <c r="BH7" s="264"/>
    </row>
    <row r="8" spans="2:72" ht="18.75" customHeight="1" x14ac:dyDescent="0.25">
      <c r="B8" s="230" t="s">
        <v>647</v>
      </c>
      <c r="C8" s="232"/>
      <c r="D8" s="234">
        <v>147000</v>
      </c>
      <c r="E8" s="234">
        <v>82000</v>
      </c>
      <c r="F8" s="283">
        <f>SUM(D8:E8)</f>
        <v>229000</v>
      </c>
      <c r="G8" s="302"/>
      <c r="H8" s="323"/>
      <c r="I8" s="302"/>
      <c r="J8" s="323"/>
      <c r="K8" s="302"/>
      <c r="L8" s="303"/>
      <c r="M8" s="293"/>
      <c r="N8" s="303"/>
      <c r="O8" s="302"/>
      <c r="P8" s="303"/>
      <c r="Q8" s="302"/>
      <c r="R8" s="303"/>
      <c r="S8" s="382"/>
      <c r="T8" s="377"/>
      <c r="U8" s="382"/>
      <c r="V8" s="377"/>
      <c r="W8" s="319">
        <f>SUMIF($AM$71:$AM$82,"DR PPE - Cost",AN$71:AN$82)+SUMIF($AM$71:$AM$82,"DR PPE - Accumulated depreciation",AN$71:AN$82)</f>
        <v>0</v>
      </c>
      <c r="X8" s="319">
        <f>SUMIF($AM$71:$AM$82,"CR PPE - Cost",AO$71:AO$82)+SUMIF($AM$71:$AM$82,"CR PPE - Accumulated depreciation",AO$71:AO$82)</f>
        <v>0</v>
      </c>
      <c r="Y8" s="302"/>
      <c r="Z8" s="303"/>
      <c r="AA8" s="309">
        <f>SUM(F8:Z8)</f>
        <v>229000</v>
      </c>
      <c r="AM8" s="265" t="s">
        <v>732</v>
      </c>
      <c r="AN8" s="272">
        <f>AU15</f>
        <v>0</v>
      </c>
      <c r="AS8" s="271" t="s">
        <v>512</v>
      </c>
      <c r="AT8" s="271"/>
      <c r="AU8" s="271"/>
      <c r="AV8" s="244">
        <v>4500</v>
      </c>
      <c r="BC8" s="277" t="s">
        <v>746</v>
      </c>
      <c r="BG8" s="264"/>
    </row>
    <row r="9" spans="2:72" ht="18.75" customHeight="1" x14ac:dyDescent="0.25">
      <c r="B9" s="230"/>
      <c r="C9" s="232"/>
      <c r="D9" s="233"/>
      <c r="E9" s="233"/>
      <c r="F9" s="282"/>
      <c r="G9" s="302"/>
      <c r="H9" s="323"/>
      <c r="I9" s="302"/>
      <c r="J9" s="323"/>
      <c r="K9" s="302"/>
      <c r="L9" s="303"/>
      <c r="M9" s="293"/>
      <c r="N9" s="303"/>
      <c r="O9" s="302"/>
      <c r="P9" s="303"/>
      <c r="Q9" s="302"/>
      <c r="R9" s="303"/>
      <c r="S9" s="382"/>
      <c r="T9" s="377"/>
      <c r="U9" s="382"/>
      <c r="V9" s="377"/>
      <c r="W9" s="319"/>
      <c r="X9" s="319"/>
      <c r="Y9" s="302"/>
      <c r="Z9" s="303"/>
      <c r="AA9" s="292"/>
      <c r="AM9" s="265" t="str" cm="1">
        <f t="array" ref="AM9">_xlfn.IFS(AV16&gt;0,"DR Goodwill",AV16&lt;0,"CR Gain on Bargain Purchase",AV16=0," ")</f>
        <v>DR Goodwill</v>
      </c>
      <c r="AN9" s="273">
        <f>AV16</f>
        <v>932</v>
      </c>
      <c r="AS9" s="271" t="s">
        <v>510</v>
      </c>
      <c r="AT9" s="271"/>
      <c r="AU9" s="276"/>
      <c r="AV9" s="276">
        <f>AV15*AV6</f>
        <v>892</v>
      </c>
      <c r="BC9" s="277" t="s">
        <v>745</v>
      </c>
      <c r="BH9" s="273">
        <f>BG8*BH4</f>
        <v>0</v>
      </c>
    </row>
    <row r="10" spans="2:72" ht="18.75" customHeight="1" x14ac:dyDescent="0.25">
      <c r="B10" s="230" t="s">
        <v>220</v>
      </c>
      <c r="C10" s="232"/>
      <c r="D10" s="234"/>
      <c r="E10" s="234"/>
      <c r="F10" s="283">
        <f>SUM(D10:E10)</f>
        <v>0</v>
      </c>
      <c r="G10" s="302">
        <f>SUMIF(AM6:AM12,"DR Goodwill",AN6:AN12)</f>
        <v>932</v>
      </c>
      <c r="H10" s="323">
        <f>-SUMIF(AM6:AM12,"CR Goodwill",AO6:AO12)</f>
        <v>0</v>
      </c>
      <c r="I10" s="302">
        <f>SUMIF(AM18:AM20,"DR Goodwill",AN18:AN20)</f>
        <v>0</v>
      </c>
      <c r="J10" s="323">
        <f>-SUMIF(AM18:AM20,"CR Goodwill",AO18:AO20)</f>
        <v>-652.4</v>
      </c>
      <c r="K10" s="302">
        <f>SUMIF($AM$23:$AM$27,"DR Goodwill",$AN$23:$AN$27)</f>
        <v>0</v>
      </c>
      <c r="L10" s="303">
        <f>-SUMIF($AM$23:$AM$27,"CR Goodwill",$AO$23:$AO$27)</f>
        <v>0</v>
      </c>
      <c r="M10" s="293"/>
      <c r="N10" s="303"/>
      <c r="O10" s="302"/>
      <c r="P10" s="303"/>
      <c r="Q10" s="302"/>
      <c r="R10" s="303"/>
      <c r="S10" s="382"/>
      <c r="T10" s="377"/>
      <c r="U10" s="382"/>
      <c r="V10" s="377"/>
      <c r="W10" s="319"/>
      <c r="X10" s="319"/>
      <c r="Y10" s="302"/>
      <c r="Z10" s="303"/>
      <c r="AA10" s="309">
        <f>SUM(F10:Z10)</f>
        <v>279.60000000000002</v>
      </c>
      <c r="AM10" s="265" t="s">
        <v>741</v>
      </c>
      <c r="AN10" s="273">
        <f>AU13</f>
        <v>200</v>
      </c>
      <c r="AS10" s="271"/>
      <c r="AT10" s="271"/>
      <c r="AU10" s="276"/>
      <c r="AV10" s="262">
        <f>SUM(AV8:AV9)</f>
        <v>5392</v>
      </c>
      <c r="BC10" s="277" t="s">
        <v>747</v>
      </c>
      <c r="BH10" s="362">
        <f>BH7-BH9</f>
        <v>0</v>
      </c>
    </row>
    <row r="11" spans="2:72" ht="18.75" customHeight="1" x14ac:dyDescent="0.25">
      <c r="B11" s="230"/>
      <c r="C11" s="232"/>
      <c r="D11" s="233"/>
      <c r="E11" s="233"/>
      <c r="F11" s="282"/>
      <c r="G11" s="302"/>
      <c r="H11" s="323"/>
      <c r="I11" s="302"/>
      <c r="J11" s="323"/>
      <c r="K11" s="302"/>
      <c r="L11" s="303"/>
      <c r="M11" s="293"/>
      <c r="N11" s="303"/>
      <c r="O11" s="302"/>
      <c r="P11" s="303"/>
      <c r="Q11" s="302"/>
      <c r="R11" s="303"/>
      <c r="S11" s="382"/>
      <c r="T11" s="377"/>
      <c r="U11" s="382"/>
      <c r="V11" s="377"/>
      <c r="W11" s="319"/>
      <c r="X11" s="319"/>
      <c r="Y11" s="302"/>
      <c r="Z11" s="303"/>
      <c r="AA11" s="292"/>
      <c r="AM11" s="265" t="s">
        <v>740</v>
      </c>
      <c r="AO11" s="269">
        <f>AV8</f>
        <v>4500</v>
      </c>
      <c r="AS11" s="271"/>
      <c r="AT11" s="271"/>
      <c r="AU11" s="276"/>
      <c r="AV11" s="276"/>
    </row>
    <row r="12" spans="2:72" ht="18.75" customHeight="1" x14ac:dyDescent="0.25">
      <c r="B12" s="230" t="s">
        <v>648</v>
      </c>
      <c r="C12" s="232" t="s">
        <v>649</v>
      </c>
      <c r="D12" s="234"/>
      <c r="E12" s="234"/>
      <c r="F12" s="283">
        <f>SUM(D12:E12)</f>
        <v>0</v>
      </c>
      <c r="G12" s="302"/>
      <c r="H12" s="323"/>
      <c r="I12" s="302"/>
      <c r="J12" s="323"/>
      <c r="K12" s="302"/>
      <c r="L12" s="303"/>
      <c r="M12" s="293"/>
      <c r="N12" s="303"/>
      <c r="O12" s="302"/>
      <c r="P12" s="303"/>
      <c r="Q12" s="302"/>
      <c r="R12" s="303"/>
      <c r="S12" s="382"/>
      <c r="T12" s="377"/>
      <c r="U12" s="382"/>
      <c r="V12" s="377"/>
      <c r="W12" s="319"/>
      <c r="X12" s="319"/>
      <c r="Y12" s="302"/>
      <c r="Z12" s="303"/>
      <c r="AA12" s="309">
        <f>SUM(F12:Z12)</f>
        <v>0</v>
      </c>
      <c r="AM12" s="265" t="s">
        <v>682</v>
      </c>
      <c r="AO12" s="269">
        <f>AV9</f>
        <v>892</v>
      </c>
      <c r="AS12" s="271" t="s">
        <v>678</v>
      </c>
      <c r="AT12" s="271"/>
      <c r="AU12" s="14">
        <v>1000</v>
      </c>
      <c r="AV12" s="11"/>
      <c r="BD12" s="857"/>
      <c r="BE12" s="857"/>
      <c r="BF12" s="857"/>
      <c r="BG12" s="857"/>
      <c r="BH12" s="857"/>
      <c r="BI12" s="857"/>
      <c r="BJ12" s="857"/>
      <c r="BK12" s="857"/>
      <c r="BL12" s="852" t="s">
        <v>742</v>
      </c>
      <c r="BM12" s="852"/>
      <c r="BN12" s="852"/>
      <c r="BO12" s="852"/>
      <c r="BP12" s="852"/>
      <c r="BQ12" s="852"/>
      <c r="BR12" s="852"/>
      <c r="BS12" s="852"/>
      <c r="BT12" s="852"/>
    </row>
    <row r="13" spans="2:72" ht="18.75" customHeight="1" x14ac:dyDescent="0.25">
      <c r="B13" s="230" t="s">
        <v>679</v>
      </c>
      <c r="C13" s="232"/>
      <c r="D13" s="234">
        <v>80000</v>
      </c>
      <c r="E13" s="234"/>
      <c r="F13" s="283">
        <f>SUM(D13:E13)</f>
        <v>80000</v>
      </c>
      <c r="G13" s="302">
        <f>SUMIF($AM6:$AM12,"DR Investment in subsidiary",$AN:$AN)</f>
        <v>0</v>
      </c>
      <c r="H13" s="323">
        <f>-SUMIF($AM6:$AM12,"CR Investment in subsidiary",AO6:AO12)</f>
        <v>-4500</v>
      </c>
      <c r="I13" s="302">
        <f>SUMIF($AM18:$AM20,"DR Investment in subsidiary",$AN18:$AN20)</f>
        <v>0</v>
      </c>
      <c r="J13" s="323">
        <f>-SUMIF($AM18:$AM20,"CR Investment in subsidiary",AN18:AQ20)</f>
        <v>0</v>
      </c>
      <c r="K13" s="302"/>
      <c r="L13" s="303"/>
      <c r="M13" s="293"/>
      <c r="N13" s="303"/>
      <c r="O13" s="302"/>
      <c r="P13" s="303"/>
      <c r="Q13" s="302"/>
      <c r="R13" s="303"/>
      <c r="S13" s="382"/>
      <c r="T13" s="377"/>
      <c r="U13" s="382"/>
      <c r="V13" s="377"/>
      <c r="W13" s="319"/>
      <c r="X13" s="319"/>
      <c r="Y13" s="302"/>
      <c r="Z13" s="303"/>
      <c r="AA13" s="309">
        <f>SUM(F13:Z13)</f>
        <v>75500</v>
      </c>
      <c r="AS13" s="271" t="s">
        <v>660</v>
      </c>
      <c r="AU13" s="14">
        <v>200</v>
      </c>
      <c r="BD13" s="857"/>
      <c r="BE13" s="857"/>
      <c r="BF13" s="857"/>
      <c r="BG13" s="857"/>
      <c r="BH13" s="857"/>
      <c r="BI13" s="857"/>
      <c r="BJ13" s="857"/>
      <c r="BK13" s="857"/>
      <c r="BL13" s="852"/>
      <c r="BM13" s="852"/>
      <c r="BN13" s="852"/>
      <c r="BO13" s="852"/>
      <c r="BP13" s="852"/>
      <c r="BQ13" s="852"/>
      <c r="BR13" s="852"/>
      <c r="BS13" s="852"/>
      <c r="BT13" s="852"/>
    </row>
    <row r="14" spans="2:72" ht="18.75" customHeight="1" x14ac:dyDescent="0.25">
      <c r="B14" s="230" t="s">
        <v>650</v>
      </c>
      <c r="C14" s="232" t="s">
        <v>651</v>
      </c>
      <c r="D14" s="234"/>
      <c r="E14" s="234"/>
      <c r="F14" s="283">
        <f>SUM(D14:E14)</f>
        <v>0</v>
      </c>
      <c r="G14" s="302"/>
      <c r="H14" s="323"/>
      <c r="I14" s="302"/>
      <c r="J14" s="323"/>
      <c r="K14" s="302"/>
      <c r="L14" s="303"/>
      <c r="M14" s="293"/>
      <c r="N14" s="303"/>
      <c r="O14" s="302"/>
      <c r="P14" s="303"/>
      <c r="Q14" s="302"/>
      <c r="R14" s="303"/>
      <c r="S14" s="382"/>
      <c r="T14" s="377"/>
      <c r="U14" s="382"/>
      <c r="V14" s="377"/>
      <c r="W14" s="319"/>
      <c r="X14" s="319"/>
      <c r="Y14" s="302"/>
      <c r="Z14" s="303"/>
      <c r="AA14" s="309">
        <f>SUM(F14:Z14)</f>
        <v>0</v>
      </c>
      <c r="AS14" s="271" t="s">
        <v>19</v>
      </c>
      <c r="AT14" s="271"/>
      <c r="AU14" s="14">
        <v>3260</v>
      </c>
      <c r="AV14" s="273"/>
      <c r="BD14" s="857"/>
      <c r="BE14" s="857"/>
      <c r="BF14" s="857"/>
      <c r="BG14" s="857"/>
      <c r="BH14" s="857"/>
      <c r="BI14" s="857"/>
      <c r="BJ14" s="857"/>
      <c r="BK14" s="857"/>
      <c r="BL14" s="852"/>
      <c r="BM14" s="852"/>
      <c r="BN14" s="852"/>
      <c r="BO14" s="852"/>
      <c r="BP14" s="852"/>
      <c r="BQ14" s="852"/>
      <c r="BR14" s="852"/>
      <c r="BS14" s="852"/>
      <c r="BT14" s="852"/>
    </row>
    <row r="15" spans="2:72" ht="18.75" customHeight="1" x14ac:dyDescent="0.25">
      <c r="B15" s="230" t="s">
        <v>652</v>
      </c>
      <c r="C15" s="232" t="s">
        <v>649</v>
      </c>
      <c r="D15" s="235"/>
      <c r="E15" s="235"/>
      <c r="F15" s="284">
        <f>SUM(D15:E15)</f>
        <v>0</v>
      </c>
      <c r="G15" s="302"/>
      <c r="H15" s="323"/>
      <c r="I15" s="302"/>
      <c r="J15" s="323"/>
      <c r="K15" s="302"/>
      <c r="L15" s="303"/>
      <c r="M15" s="293"/>
      <c r="N15" s="303"/>
      <c r="O15" s="302"/>
      <c r="P15" s="303"/>
      <c r="Q15" s="302"/>
      <c r="R15" s="303"/>
      <c r="S15" s="382"/>
      <c r="T15" s="377"/>
      <c r="U15" s="382"/>
      <c r="V15" s="377"/>
      <c r="W15" s="319"/>
      <c r="X15" s="319"/>
      <c r="Y15" s="302"/>
      <c r="Z15" s="303"/>
      <c r="AA15" s="309">
        <f>SUM(F15:Z15)</f>
        <v>0</v>
      </c>
      <c r="AS15" s="265" t="s">
        <v>730</v>
      </c>
      <c r="AU15" s="14"/>
      <c r="AV15" s="11">
        <f>SUM(AU12:AU15)</f>
        <v>4460</v>
      </c>
      <c r="BD15" s="857"/>
      <c r="BE15" s="857"/>
      <c r="BF15" s="857"/>
      <c r="BG15" s="857"/>
      <c r="BH15" s="857"/>
      <c r="BI15" s="857"/>
      <c r="BJ15" s="857"/>
      <c r="BK15" s="857"/>
      <c r="BL15" s="852"/>
      <c r="BM15" s="852"/>
      <c r="BN15" s="852"/>
      <c r="BO15" s="852"/>
      <c r="BP15" s="852"/>
      <c r="BQ15" s="852"/>
      <c r="BR15" s="852"/>
      <c r="BS15" s="852"/>
      <c r="BT15" s="852"/>
    </row>
    <row r="16" spans="2:72" ht="18.75" customHeight="1" x14ac:dyDescent="0.25">
      <c r="B16" s="230"/>
      <c r="C16" s="232"/>
      <c r="D16" s="236">
        <f>SUM(D8:D15)</f>
        <v>227000</v>
      </c>
      <c r="E16" s="236">
        <f>SUM(E8:E15)</f>
        <v>82000</v>
      </c>
      <c r="F16" s="285">
        <f>SUM(F8:F15)</f>
        <v>309000</v>
      </c>
      <c r="G16" s="300"/>
      <c r="H16" s="282"/>
      <c r="I16" s="315"/>
      <c r="J16" s="401"/>
      <c r="K16" s="315"/>
      <c r="L16" s="316"/>
      <c r="M16" s="294"/>
      <c r="N16" s="316"/>
      <c r="O16" s="315"/>
      <c r="P16" s="316"/>
      <c r="Q16" s="315"/>
      <c r="R16" s="316"/>
      <c r="S16" s="383"/>
      <c r="T16" s="384"/>
      <c r="U16" s="383"/>
      <c r="V16" s="384"/>
      <c r="W16" s="320"/>
      <c r="X16" s="320"/>
      <c r="Y16" s="315"/>
      <c r="Z16" s="316"/>
      <c r="AA16" s="310">
        <f>SUM(AA8:AA15)</f>
        <v>304779.59999999998</v>
      </c>
      <c r="AS16" s="270" t="s">
        <v>220</v>
      </c>
      <c r="AT16" s="271"/>
      <c r="AU16" s="11"/>
      <c r="AV16" s="263">
        <f>AV10-AV15</f>
        <v>932</v>
      </c>
    </row>
    <row r="17" spans="2:64" ht="18.75" customHeight="1" thickBot="1" x14ac:dyDescent="0.3">
      <c r="B17" s="227" t="s">
        <v>76</v>
      </c>
      <c r="C17" s="232"/>
      <c r="D17" s="237"/>
      <c r="E17" s="237"/>
      <c r="F17" s="286"/>
      <c r="G17" s="304"/>
      <c r="H17" s="286"/>
      <c r="I17" s="304"/>
      <c r="J17" s="286"/>
      <c r="K17" s="304"/>
      <c r="L17" s="305"/>
      <c r="M17" s="295"/>
      <c r="N17" s="305"/>
      <c r="O17" s="304"/>
      <c r="P17" s="305"/>
      <c r="Q17" s="304"/>
      <c r="R17" s="305"/>
      <c r="S17" s="385"/>
      <c r="T17" s="386"/>
      <c r="U17" s="385"/>
      <c r="V17" s="386"/>
      <c r="W17" s="321"/>
      <c r="X17" s="321"/>
      <c r="Y17" s="304"/>
      <c r="Z17" s="305"/>
      <c r="AA17" s="295"/>
      <c r="AU17" s="273"/>
      <c r="AV17" s="273"/>
    </row>
    <row r="18" spans="2:64" ht="18.75" customHeight="1" thickBot="1" x14ac:dyDescent="0.3">
      <c r="B18" s="230" t="s">
        <v>56</v>
      </c>
      <c r="C18" s="232"/>
      <c r="D18" s="234">
        <v>73200</v>
      </c>
      <c r="E18" s="234">
        <v>35200</v>
      </c>
      <c r="F18" s="283">
        <f>SUM(D18:E18)</f>
        <v>108400</v>
      </c>
      <c r="G18" s="302"/>
      <c r="H18" s="323"/>
      <c r="I18" s="302"/>
      <c r="J18" s="323"/>
      <c r="K18" s="302"/>
      <c r="L18" s="303"/>
      <c r="M18" s="293"/>
      <c r="N18" s="303"/>
      <c r="O18" s="302">
        <f>SUMIF($AM$39:$AM$43,"DR Inventory",$AN$39:$AN$43)</f>
        <v>0</v>
      </c>
      <c r="P18" s="303">
        <f>-SUMIF($AM$39:$AM$67,"CR inventory",$AO$39:$AO$67)</f>
        <v>0</v>
      </c>
      <c r="Q18" s="302">
        <f>SUMIF($AM$46:$AM$50,"DR Inventory",$AN$46:$AN$50)</f>
        <v>0</v>
      </c>
      <c r="R18" s="303">
        <f>-SUMIF($AM$46:$AM$50,"CR inventory",$AO$46:$AO$50)</f>
        <v>0</v>
      </c>
      <c r="S18" s="302">
        <f>SUMIF($AM$54:$AM$61,"DR Inventory",$AN$54:$AN$61)</f>
        <v>0</v>
      </c>
      <c r="T18" s="303">
        <f>-SUMIF($AM$54:$AM$61,"CR inventory",$AO$54:$AO$61)</f>
        <v>0</v>
      </c>
      <c r="U18" s="382"/>
      <c r="V18" s="377"/>
      <c r="W18" s="319"/>
      <c r="X18" s="319"/>
      <c r="Y18" s="302"/>
      <c r="Z18" s="303"/>
      <c r="AA18" s="309">
        <f>SUM(F18:P18)</f>
        <v>108400</v>
      </c>
      <c r="AL18" s="274">
        <v>2</v>
      </c>
      <c r="AM18" s="265" t="s">
        <v>681</v>
      </c>
      <c r="AN18" s="265">
        <f>AV20</f>
        <v>652.4</v>
      </c>
      <c r="AS18" s="266" t="s">
        <v>218</v>
      </c>
      <c r="AU18" s="273"/>
      <c r="AV18" s="273"/>
    </row>
    <row r="19" spans="2:64" ht="18.75" customHeight="1" x14ac:dyDescent="0.25">
      <c r="B19" s="230" t="s">
        <v>653</v>
      </c>
      <c r="C19" s="232"/>
      <c r="D19" s="234">
        <f>83700+14700</f>
        <v>98400</v>
      </c>
      <c r="E19" s="234">
        <v>46900</v>
      </c>
      <c r="F19" s="283">
        <f>SUM(D19:E19)</f>
        <v>145300</v>
      </c>
      <c r="G19" s="302"/>
      <c r="H19" s="323"/>
      <c r="I19" s="302"/>
      <c r="J19" s="323"/>
      <c r="K19" s="302"/>
      <c r="L19" s="303"/>
      <c r="M19" s="293"/>
      <c r="N19" s="303"/>
      <c r="O19" s="302">
        <f>SUMIF($AM$39:$AM$43,"DR Trade receivables",$AN$39:$AN$43)</f>
        <v>0</v>
      </c>
      <c r="P19" s="303">
        <f>-SUMIF($AM$39:$AM$67,"CR Trade receivables",$AO$39:$AO$67)</f>
        <v>0</v>
      </c>
      <c r="Q19" s="302"/>
      <c r="R19" s="303"/>
      <c r="S19" s="382"/>
      <c r="T19" s="377"/>
      <c r="U19" s="382"/>
      <c r="V19" s="377"/>
      <c r="W19" s="319"/>
      <c r="X19" s="319"/>
      <c r="Y19" s="302"/>
      <c r="Z19" s="303"/>
      <c r="AA19" s="309">
        <f>SUM(F19:Z19)</f>
        <v>145300</v>
      </c>
      <c r="AM19" s="265" t="s">
        <v>685</v>
      </c>
      <c r="AN19" s="265">
        <f>AV19</f>
        <v>0</v>
      </c>
      <c r="AS19" s="265" t="s">
        <v>683</v>
      </c>
      <c r="AU19" s="273"/>
      <c r="AV19" s="264"/>
    </row>
    <row r="20" spans="2:64" ht="18.75" customHeight="1" x14ac:dyDescent="0.25">
      <c r="B20" s="230" t="s">
        <v>654</v>
      </c>
      <c r="C20" s="232" t="s">
        <v>649</v>
      </c>
      <c r="D20" s="234"/>
      <c r="E20" s="234"/>
      <c r="F20" s="283">
        <f>SUM(D20:E20)</f>
        <v>0</v>
      </c>
      <c r="G20" s="302"/>
      <c r="H20" s="323"/>
      <c r="I20" s="302"/>
      <c r="J20" s="323"/>
      <c r="K20" s="302"/>
      <c r="L20" s="303"/>
      <c r="M20" s="293"/>
      <c r="N20" s="303"/>
      <c r="O20" s="302"/>
      <c r="P20" s="303"/>
      <c r="Q20" s="302"/>
      <c r="R20" s="303"/>
      <c r="S20" s="382"/>
      <c r="T20" s="377"/>
      <c r="U20" s="382"/>
      <c r="V20" s="377"/>
      <c r="W20" s="319"/>
      <c r="X20" s="319"/>
      <c r="Y20" s="302"/>
      <c r="Z20" s="303"/>
      <c r="AA20" s="309">
        <f>SUM(F20:Z20)</f>
        <v>0</v>
      </c>
      <c r="AM20" s="265" t="s">
        <v>686</v>
      </c>
      <c r="AO20" s="265">
        <f>AV19+AV20</f>
        <v>652.4</v>
      </c>
      <c r="AS20" s="265" t="s">
        <v>684</v>
      </c>
      <c r="AU20" s="273"/>
      <c r="AV20" s="264">
        <f>AV16*0.7</f>
        <v>652.4</v>
      </c>
    </row>
    <row r="21" spans="2:64" ht="18.75" customHeight="1" x14ac:dyDescent="0.25">
      <c r="B21" s="230" t="s">
        <v>92</v>
      </c>
      <c r="C21" s="232"/>
      <c r="D21" s="234">
        <v>8000</v>
      </c>
      <c r="E21" s="234">
        <v>25150</v>
      </c>
      <c r="F21" s="283">
        <f>SUM(D21:E21)</f>
        <v>33150</v>
      </c>
      <c r="G21" s="302"/>
      <c r="H21" s="323"/>
      <c r="I21" s="302"/>
      <c r="J21" s="323"/>
      <c r="K21" s="302"/>
      <c r="L21" s="303"/>
      <c r="M21" s="293"/>
      <c r="N21" s="303"/>
      <c r="O21" s="302">
        <f>SUMIF($AM$39:$AM$43,"DR Cash and cash equivalents",$AN$39:$AN$43)</f>
        <v>0</v>
      </c>
      <c r="P21" s="303">
        <f>-SUMIF($AM$39:$AM$67,"CR Cash and cash equivalents",$AO$39:$AO$67)</f>
        <v>0</v>
      </c>
      <c r="Q21" s="302"/>
      <c r="R21" s="303"/>
      <c r="S21" s="382"/>
      <c r="T21" s="377"/>
      <c r="U21" s="382"/>
      <c r="V21" s="377"/>
      <c r="W21" s="319"/>
      <c r="X21" s="319"/>
      <c r="Y21" s="302"/>
      <c r="Z21" s="303"/>
      <c r="AA21" s="309">
        <f>SUM(F21:Z21)</f>
        <v>33150</v>
      </c>
      <c r="AU21" s="273"/>
      <c r="AV21" s="273"/>
    </row>
    <row r="22" spans="2:64" ht="18.75" customHeight="1" thickBot="1" x14ac:dyDescent="0.3">
      <c r="B22" s="230"/>
      <c r="C22" s="232"/>
      <c r="D22" s="236">
        <f>SUM(D18:D21)</f>
        <v>179600</v>
      </c>
      <c r="E22" s="236">
        <f>SUM(E18:E21)</f>
        <v>107250</v>
      </c>
      <c r="F22" s="285">
        <f>SUM(F18:F21)</f>
        <v>286850</v>
      </c>
      <c r="G22" s="300"/>
      <c r="H22" s="282"/>
      <c r="I22" s="300"/>
      <c r="J22" s="282"/>
      <c r="K22" s="315"/>
      <c r="L22" s="316"/>
      <c r="M22" s="294"/>
      <c r="N22" s="316"/>
      <c r="O22" s="315"/>
      <c r="P22" s="316"/>
      <c r="Q22" s="315"/>
      <c r="R22" s="316"/>
      <c r="S22" s="383"/>
      <c r="T22" s="384"/>
      <c r="U22" s="383"/>
      <c r="V22" s="384"/>
      <c r="W22" s="320"/>
      <c r="X22" s="320"/>
      <c r="Y22" s="315"/>
      <c r="Z22" s="316"/>
      <c r="AA22" s="310">
        <f>SUM(AA18:AA21)</f>
        <v>286850</v>
      </c>
      <c r="AS22" s="266" t="s">
        <v>693</v>
      </c>
      <c r="AU22" s="273"/>
      <c r="AV22" s="273"/>
    </row>
    <row r="23" spans="2:64" ht="18.75" customHeight="1" thickBot="1" x14ac:dyDescent="0.3">
      <c r="B23" s="227" t="s">
        <v>655</v>
      </c>
      <c r="C23" s="232"/>
      <c r="D23" s="238">
        <f>SUM(D16,D22)</f>
        <v>406600</v>
      </c>
      <c r="E23" s="238">
        <f>SUM(E16,E22)</f>
        <v>189250</v>
      </c>
      <c r="F23" s="287">
        <f>SUM(F16,F22)</f>
        <v>595850</v>
      </c>
      <c r="G23" s="300"/>
      <c r="H23" s="282"/>
      <c r="I23" s="300"/>
      <c r="J23" s="282"/>
      <c r="K23" s="315"/>
      <c r="L23" s="316"/>
      <c r="M23" s="294"/>
      <c r="N23" s="316"/>
      <c r="O23" s="315"/>
      <c r="P23" s="316"/>
      <c r="Q23" s="315"/>
      <c r="R23" s="316"/>
      <c r="S23" s="383"/>
      <c r="T23" s="384"/>
      <c r="U23" s="383"/>
      <c r="V23" s="384"/>
      <c r="W23" s="320"/>
      <c r="X23" s="320"/>
      <c r="Y23" s="315"/>
      <c r="Z23" s="316"/>
      <c r="AA23" s="311">
        <f>SUM(AA16,AA22)</f>
        <v>591629.6</v>
      </c>
      <c r="AL23" s="274">
        <v>3</v>
      </c>
      <c r="AM23" s="265" t="s">
        <v>690</v>
      </c>
      <c r="AN23" s="265">
        <f>AV28</f>
        <v>150.6</v>
      </c>
      <c r="AS23" s="265" t="str">
        <f>"Retained earnings "&amp;B4</f>
        <v>Retained earnings as at 30 September 2018</v>
      </c>
      <c r="AU23" s="273"/>
      <c r="AV23" s="264">
        <v>2984</v>
      </c>
    </row>
    <row r="24" spans="2:64" ht="18.75" customHeight="1" x14ac:dyDescent="0.25">
      <c r="B24" s="230"/>
      <c r="C24" s="232"/>
      <c r="D24" s="237"/>
      <c r="E24" s="237"/>
      <c r="F24" s="286"/>
      <c r="G24" s="304"/>
      <c r="H24" s="286"/>
      <c r="I24" s="304"/>
      <c r="J24" s="286"/>
      <c r="K24" s="304"/>
      <c r="L24" s="305"/>
      <c r="M24" s="295"/>
      <c r="N24" s="305"/>
      <c r="O24" s="304"/>
      <c r="P24" s="305"/>
      <c r="Q24" s="304"/>
      <c r="R24" s="305"/>
      <c r="S24" s="385"/>
      <c r="T24" s="386"/>
      <c r="U24" s="385"/>
      <c r="V24" s="386"/>
      <c r="W24" s="321"/>
      <c r="X24" s="321"/>
      <c r="Y24" s="304"/>
      <c r="Z24" s="305"/>
      <c r="AA24" s="295"/>
      <c r="AM24" s="265" t="s">
        <v>691</v>
      </c>
      <c r="AO24" s="265">
        <f>AV28</f>
        <v>150.6</v>
      </c>
      <c r="AS24" s="265" t="s">
        <v>733</v>
      </c>
      <c r="AV24" s="264">
        <v>-1029</v>
      </c>
      <c r="BL24" s="399" t="s">
        <v>748</v>
      </c>
    </row>
    <row r="25" spans="2:64" ht="18.75" customHeight="1" x14ac:dyDescent="0.25">
      <c r="B25" s="227" t="s">
        <v>656</v>
      </c>
      <c r="C25" s="232"/>
      <c r="D25" s="233"/>
      <c r="E25" s="233"/>
      <c r="F25" s="282"/>
      <c r="G25" s="300"/>
      <c r="H25" s="282"/>
      <c r="I25" s="300"/>
      <c r="J25" s="282"/>
      <c r="K25" s="300"/>
      <c r="L25" s="301"/>
      <c r="M25" s="292"/>
      <c r="N25" s="301"/>
      <c r="O25" s="300"/>
      <c r="P25" s="301"/>
      <c r="Q25" s="300"/>
      <c r="R25" s="301"/>
      <c r="S25" s="380"/>
      <c r="T25" s="381"/>
      <c r="U25" s="380"/>
      <c r="V25" s="381"/>
      <c r="W25" s="318"/>
      <c r="X25" s="318"/>
      <c r="Y25" s="300"/>
      <c r="Z25" s="301"/>
      <c r="AA25" s="292"/>
      <c r="AS25" s="265" t="s">
        <v>800</v>
      </c>
      <c r="AV25" s="264"/>
      <c r="BL25" s="399" t="s">
        <v>752</v>
      </c>
    </row>
    <row r="26" spans="2:64" ht="18.75" customHeight="1" x14ac:dyDescent="0.25">
      <c r="B26" s="227" t="s">
        <v>657</v>
      </c>
      <c r="C26" s="232"/>
      <c r="D26" s="233"/>
      <c r="E26" s="233"/>
      <c r="F26" s="282"/>
      <c r="G26" s="300"/>
      <c r="H26" s="282"/>
      <c r="I26" s="300"/>
      <c r="J26" s="282"/>
      <c r="K26" s="300"/>
      <c r="L26" s="301"/>
      <c r="M26" s="292"/>
      <c r="N26" s="301"/>
      <c r="O26" s="300"/>
      <c r="P26" s="301"/>
      <c r="Q26" s="300"/>
      <c r="R26" s="301"/>
      <c r="S26" s="380"/>
      <c r="T26" s="381"/>
      <c r="U26" s="380"/>
      <c r="V26" s="381"/>
      <c r="W26" s="318"/>
      <c r="X26" s="318"/>
      <c r="Y26" s="300"/>
      <c r="Z26" s="301"/>
      <c r="AA26" s="292"/>
      <c r="AM26" s="265" t="s">
        <v>807</v>
      </c>
      <c r="AN26" s="265">
        <f>AV31</f>
        <v>0</v>
      </c>
      <c r="AS26" s="265" t="s">
        <v>688</v>
      </c>
      <c r="AU26" s="273"/>
      <c r="AV26" s="420">
        <f>AU14</f>
        <v>3260</v>
      </c>
      <c r="BL26" s="399" t="s">
        <v>806</v>
      </c>
    </row>
    <row r="27" spans="2:64" ht="18.75" customHeight="1" x14ac:dyDescent="0.25">
      <c r="B27" s="230" t="s">
        <v>658</v>
      </c>
      <c r="C27" s="232"/>
      <c r="D27" s="234">
        <v>250000</v>
      </c>
      <c r="E27" s="234">
        <v>50000</v>
      </c>
      <c r="F27" s="283">
        <f>SUM(D27:E27)</f>
        <v>300000</v>
      </c>
      <c r="G27" s="302">
        <f>SUMIF($AM6:$AM12,"DR Share Capital",$AN6:$AN12)</f>
        <v>1000</v>
      </c>
      <c r="H27" s="323">
        <f>-SUMIF($AM6:$AM12,"CR Share Capital",$AO6:$AO12)</f>
        <v>0</v>
      </c>
      <c r="I27" s="302">
        <f>SUMIF($AM18:$AM20,"DR Share Capital",$AN18:$AN20)</f>
        <v>0</v>
      </c>
      <c r="J27" s="323">
        <f>-SUMIF($AM18:$AM20,"CR Share Capital",$AO18:$AO20)</f>
        <v>0</v>
      </c>
      <c r="K27" s="302"/>
      <c r="L27" s="303"/>
      <c r="M27" s="293"/>
      <c r="N27" s="303"/>
      <c r="O27" s="302"/>
      <c r="P27" s="303"/>
      <c r="Q27" s="302"/>
      <c r="R27" s="303"/>
      <c r="S27" s="382"/>
      <c r="T27" s="377"/>
      <c r="U27" s="382"/>
      <c r="V27" s="377"/>
      <c r="W27" s="319"/>
      <c r="X27" s="319"/>
      <c r="Y27" s="302"/>
      <c r="Z27" s="303"/>
      <c r="AA27" s="309">
        <f>F27-SUM(G27:Z27)</f>
        <v>299000</v>
      </c>
      <c r="AM27" s="265" t="s">
        <v>691</v>
      </c>
      <c r="AO27" s="265">
        <f>AV31</f>
        <v>0</v>
      </c>
      <c r="AS27" s="265" t="s">
        <v>689</v>
      </c>
      <c r="AU27" s="273"/>
      <c r="AV27" s="273">
        <f>AV23-AV26-AV24+AV25</f>
        <v>753</v>
      </c>
    </row>
    <row r="28" spans="2:64" ht="18.75" customHeight="1" thickBot="1" x14ac:dyDescent="0.3">
      <c r="B28" s="230" t="s">
        <v>659</v>
      </c>
      <c r="C28" s="232"/>
      <c r="D28" s="234"/>
      <c r="E28" s="234"/>
      <c r="F28" s="283">
        <f>SUM(D28:E28)</f>
        <v>0</v>
      </c>
      <c r="G28" s="302"/>
      <c r="H28" s="323"/>
      <c r="I28" s="302"/>
      <c r="J28" s="323"/>
      <c r="K28" s="302"/>
      <c r="L28" s="303"/>
      <c r="M28" s="293"/>
      <c r="N28" s="303"/>
      <c r="O28" s="302"/>
      <c r="P28" s="303"/>
      <c r="Q28" s="302"/>
      <c r="R28" s="303"/>
      <c r="S28" s="382"/>
      <c r="T28" s="377"/>
      <c r="U28" s="382"/>
      <c r="V28" s="377"/>
      <c r="W28" s="319"/>
      <c r="X28" s="319"/>
      <c r="Y28" s="302"/>
      <c r="Z28" s="303"/>
      <c r="AA28" s="309">
        <f>F28-SUM(G28:Z28)</f>
        <v>0</v>
      </c>
      <c r="AS28" s="265" t="str">
        <f>"NCI share of historical profit (*"&amp;AV6&amp;")"</f>
        <v>NCI share of historical profit (*0.2)</v>
      </c>
      <c r="AV28" s="279">
        <f>AV27*AV6</f>
        <v>150.6</v>
      </c>
    </row>
    <row r="29" spans="2:64" ht="18.75" customHeight="1" thickTop="1" x14ac:dyDescent="0.25">
      <c r="B29" s="230" t="s">
        <v>660</v>
      </c>
      <c r="C29" s="232"/>
      <c r="D29" s="234"/>
      <c r="E29" s="234">
        <v>6250</v>
      </c>
      <c r="F29" s="283">
        <f>SUM(D29:E29)</f>
        <v>6250</v>
      </c>
      <c r="G29" s="302">
        <f>SUMIF($AM4:$AM10,"DR Share Premium",$AN4:$AN10)</f>
        <v>200</v>
      </c>
      <c r="H29" s="323">
        <f>-SUMIF($AM4:$AM10,"CR Share Premium",AO4:AO10)</f>
        <v>0</v>
      </c>
      <c r="I29" s="302"/>
      <c r="J29" s="323"/>
      <c r="K29" s="302"/>
      <c r="L29" s="303"/>
      <c r="M29" s="293"/>
      <c r="N29" s="303"/>
      <c r="O29" s="302"/>
      <c r="P29" s="303"/>
      <c r="Q29" s="302"/>
      <c r="R29" s="303"/>
      <c r="S29" s="382"/>
      <c r="T29" s="377"/>
      <c r="U29" s="382"/>
      <c r="V29" s="377"/>
      <c r="W29" s="319"/>
      <c r="X29" s="319"/>
      <c r="Y29" s="302"/>
      <c r="Z29" s="303"/>
      <c r="AA29" s="309">
        <f>F29-SUM(G29:Z29)</f>
        <v>6050</v>
      </c>
    </row>
    <row r="30" spans="2:64" ht="18.75" customHeight="1" x14ac:dyDescent="0.25">
      <c r="B30" s="230" t="s">
        <v>661</v>
      </c>
      <c r="C30" s="232"/>
      <c r="D30" s="234"/>
      <c r="E30" s="234">
        <v>15000</v>
      </c>
      <c r="F30" s="283">
        <f>SUM(D30:E30)</f>
        <v>15000</v>
      </c>
      <c r="G30" s="302"/>
      <c r="H30" s="323"/>
      <c r="I30" s="302"/>
      <c r="J30" s="323"/>
      <c r="K30" s="302"/>
      <c r="L30" s="303"/>
      <c r="M30" s="293"/>
      <c r="N30" s="303"/>
      <c r="O30" s="302"/>
      <c r="P30" s="303"/>
      <c r="Q30" s="302"/>
      <c r="R30" s="303"/>
      <c r="S30" s="382"/>
      <c r="T30" s="377"/>
      <c r="U30" s="382"/>
      <c r="V30" s="377"/>
      <c r="W30" s="319"/>
      <c r="X30" s="319"/>
      <c r="Y30" s="302"/>
      <c r="Z30" s="303"/>
      <c r="AA30" s="309">
        <f>F30-SUM(G30:Z30)</f>
        <v>15000</v>
      </c>
      <c r="AS30" s="265" t="s">
        <v>808</v>
      </c>
    </row>
    <row r="31" spans="2:64" ht="18.75" customHeight="1" thickBot="1" x14ac:dyDescent="0.3">
      <c r="B31" s="230" t="s">
        <v>497</v>
      </c>
      <c r="C31" s="232"/>
      <c r="D31" s="234">
        <v>33600</v>
      </c>
      <c r="E31" s="234">
        <v>38000</v>
      </c>
      <c r="F31" s="283">
        <f>SUM(D31:E31)</f>
        <v>71600</v>
      </c>
      <c r="G31" s="302">
        <f>SUMIF($AM6:$AM12,"DR Retained Earnings",$AN6:$AN12)</f>
        <v>3260</v>
      </c>
      <c r="H31" s="323">
        <f>-SUMIF($AM6:$AM12,"CR Retained Earnings",AO6:AO12)</f>
        <v>0</v>
      </c>
      <c r="I31" s="302">
        <f>SUMIF($AM18:$AM20,"DR Retained Earnings",$AN18:$AN20)</f>
        <v>652.4</v>
      </c>
      <c r="J31" s="323">
        <f>-SUMIF($AM18:$AM20,"CR Retained Earnings",AQ18:AQ20)</f>
        <v>0</v>
      </c>
      <c r="K31" s="302">
        <f>SUMIF($AM$23:$AM$27,"DR Retained Earnings",$AN$23:$AN$27)</f>
        <v>150.6</v>
      </c>
      <c r="L31" s="303">
        <f>-SUMIF($AM$23:$AM$27,"CR Retained Earnings",$AO$23:$AO$27)</f>
        <v>0</v>
      </c>
      <c r="M31" s="293"/>
      <c r="N31" s="303"/>
      <c r="O31" s="302">
        <f>SUMIF($AM$39:$AM$43,"DR Retained Earnings",$AN$39:$AN$43)</f>
        <v>0</v>
      </c>
      <c r="P31" s="303">
        <f>SUMIF($AM$39:$AM$43,"CR Retained Earnings",$AO$39:$AO$43)</f>
        <v>0</v>
      </c>
      <c r="Q31" s="302">
        <f>SUMIF($AM$46:$AM$50,"DR Retained Earnings",$AN$46:$AN$50)</f>
        <v>0</v>
      </c>
      <c r="R31" s="302">
        <f>-SUMIF($AM$46:$AM$50,"CR Retained Earnings",$AO$46:$AO$50)</f>
        <v>0</v>
      </c>
      <c r="S31" s="382"/>
      <c r="T31" s="377"/>
      <c r="U31" s="382"/>
      <c r="V31" s="377"/>
      <c r="W31" s="319"/>
      <c r="X31" s="319"/>
      <c r="Y31" s="302">
        <f>SUMIF($AM$84:$AM$85,"DR Retained Earnings",$AN$84:$AN$85)</f>
        <v>0</v>
      </c>
      <c r="Z31" s="303">
        <f>-SUMIF($AM$84:$AM$85,"CR Retained Earnings",$AO$84:$AO$85)</f>
        <v>-205.8</v>
      </c>
      <c r="AA31" s="309">
        <f>F31-SUM(G31:Z31)</f>
        <v>67742.8</v>
      </c>
      <c r="AS31" s="265" t="str">
        <f>"NCI share of revaluation reserve (*"&amp;AV6&amp;")"</f>
        <v>NCI share of revaluation reserve (*0.2)</v>
      </c>
      <c r="AV31" s="278">
        <f>AV30*AV6</f>
        <v>0</v>
      </c>
    </row>
    <row r="32" spans="2:64" ht="18.75" customHeight="1" thickTop="1" thickBot="1" x14ac:dyDescent="0.3">
      <c r="B32" s="230"/>
      <c r="C32" s="232"/>
      <c r="D32" s="233"/>
      <c r="E32" s="233"/>
      <c r="F32" s="282"/>
      <c r="G32" s="300"/>
      <c r="H32" s="282"/>
      <c r="I32" s="300"/>
      <c r="J32" s="282"/>
      <c r="K32" s="300"/>
      <c r="L32" s="301"/>
      <c r="M32" s="292"/>
      <c r="N32" s="301"/>
      <c r="O32" s="300"/>
      <c r="P32" s="301"/>
      <c r="Q32" s="300"/>
      <c r="R32" s="301"/>
      <c r="S32" s="380"/>
      <c r="T32" s="381"/>
      <c r="U32" s="380"/>
      <c r="V32" s="381"/>
      <c r="W32" s="318"/>
      <c r="X32" s="318"/>
      <c r="Y32" s="300"/>
      <c r="Z32" s="301"/>
      <c r="AA32" s="292"/>
    </row>
    <row r="33" spans="2:64" ht="18.75" customHeight="1" thickBot="1" x14ac:dyDescent="0.3">
      <c r="B33" s="230"/>
      <c r="C33" s="232"/>
      <c r="D33" s="233"/>
      <c r="E33" s="233"/>
      <c r="F33" s="282"/>
      <c r="G33" s="300"/>
      <c r="H33" s="282"/>
      <c r="I33" s="300"/>
      <c r="J33" s="282"/>
      <c r="K33" s="300"/>
      <c r="L33" s="301"/>
      <c r="M33" s="292"/>
      <c r="N33" s="301"/>
      <c r="O33" s="300"/>
      <c r="P33" s="301"/>
      <c r="Q33" s="300"/>
      <c r="R33" s="301"/>
      <c r="S33" s="380"/>
      <c r="T33" s="381"/>
      <c r="U33" s="380"/>
      <c r="V33" s="381"/>
      <c r="W33" s="318"/>
      <c r="X33" s="318"/>
      <c r="Y33" s="300"/>
      <c r="Z33" s="301"/>
      <c r="AA33" s="292"/>
      <c r="AL33" s="274">
        <v>4</v>
      </c>
      <c r="AM33" s="265" t="s">
        <v>695</v>
      </c>
      <c r="AN33" s="273">
        <f>AV36</f>
        <v>-205.8</v>
      </c>
      <c r="AO33" s="273"/>
    </row>
    <row r="34" spans="2:64" ht="18.75" customHeight="1" x14ac:dyDescent="0.25">
      <c r="B34" s="230" t="s">
        <v>662</v>
      </c>
      <c r="C34" s="232" t="s">
        <v>663</v>
      </c>
      <c r="D34" s="234"/>
      <c r="E34" s="234"/>
      <c r="F34" s="283">
        <f>SUM(D34:E34)</f>
        <v>0</v>
      </c>
      <c r="G34" s="302"/>
      <c r="H34" s="323"/>
      <c r="I34" s="302"/>
      <c r="J34" s="323"/>
      <c r="K34" s="302"/>
      <c r="L34" s="303"/>
      <c r="M34" s="293"/>
      <c r="N34" s="303"/>
      <c r="O34" s="302"/>
      <c r="P34" s="303"/>
      <c r="Q34" s="302"/>
      <c r="R34" s="303"/>
      <c r="S34" s="382"/>
      <c r="T34" s="377"/>
      <c r="U34" s="382"/>
      <c r="V34" s="377"/>
      <c r="W34" s="319"/>
      <c r="X34" s="319"/>
      <c r="Y34" s="302"/>
      <c r="Z34" s="303"/>
      <c r="AA34" s="309">
        <f>F34-SUM(G34:Z34)</f>
        <v>0</v>
      </c>
      <c r="AM34" s="265" t="s">
        <v>691</v>
      </c>
      <c r="AN34" s="273"/>
      <c r="AO34" s="273">
        <f>AV36</f>
        <v>-205.8</v>
      </c>
      <c r="AS34" s="266" t="s">
        <v>692</v>
      </c>
      <c r="BL34" s="399" t="s">
        <v>731</v>
      </c>
    </row>
    <row r="35" spans="2:64" ht="18.75" customHeight="1" x14ac:dyDescent="0.25">
      <c r="B35" s="230"/>
      <c r="C35" s="232"/>
      <c r="D35" s="239">
        <f>SUM(D27:D34)</f>
        <v>283600</v>
      </c>
      <c r="E35" s="239">
        <f>SUM(E27:E34)</f>
        <v>109250</v>
      </c>
      <c r="F35" s="288">
        <f>SUM(F27:F34)</f>
        <v>392850</v>
      </c>
      <c r="G35" s="300"/>
      <c r="H35" s="282"/>
      <c r="I35" s="304"/>
      <c r="J35" s="286"/>
      <c r="K35" s="304"/>
      <c r="L35" s="305"/>
      <c r="M35" s="295"/>
      <c r="N35" s="305"/>
      <c r="O35" s="304"/>
      <c r="P35" s="305"/>
      <c r="Q35" s="304"/>
      <c r="R35" s="305"/>
      <c r="S35" s="385"/>
      <c r="T35" s="386"/>
      <c r="U35" s="385"/>
      <c r="V35" s="386"/>
      <c r="W35" s="321"/>
      <c r="X35" s="321"/>
      <c r="Y35" s="304"/>
      <c r="Z35" s="305"/>
      <c r="AA35" s="312">
        <f>SUM(AA27:AA34)</f>
        <v>387792.8</v>
      </c>
      <c r="AS35" s="265" t="s">
        <v>694</v>
      </c>
      <c r="AV35" s="264">
        <v>-1029</v>
      </c>
    </row>
    <row r="36" spans="2:64" ht="18.75" customHeight="1" thickBot="1" x14ac:dyDescent="0.3">
      <c r="B36" s="227" t="s">
        <v>664</v>
      </c>
      <c r="C36" s="232" t="s">
        <v>665</v>
      </c>
      <c r="D36" s="240"/>
      <c r="E36" s="240"/>
      <c r="F36" s="289">
        <f>SUM(D36:E36)</f>
        <v>0</v>
      </c>
      <c r="G36" s="302">
        <f>SUMIF($AM12:$AM17,"DR SFP - non-controlling interest",$AN12:$AN17)</f>
        <v>0</v>
      </c>
      <c r="H36" s="323">
        <f>-SUMIF($AM12:$AM17,"CR SFP - non-controlling interest",AO12:AO17)</f>
        <v>-892</v>
      </c>
      <c r="I36" s="317"/>
      <c r="J36" s="329"/>
      <c r="K36" s="387">
        <f>-SUMIF($AM$23:$AM$27,"DR SFP - Non-controlling interests",$AN$23:$AN$27)</f>
        <v>0</v>
      </c>
      <c r="L36" s="303">
        <f>-SUMIF($AM$23:$AM$27,"CR SFP - Non-controlling interests",$AO$23:$AO$27)</f>
        <v>-150.6</v>
      </c>
      <c r="M36" s="377">
        <f>-SUMIF($AM$33:$AM$34,"DR SFP - Non-controlling interests",$AN$33:$AN$34)</f>
        <v>0</v>
      </c>
      <c r="N36" s="303">
        <f>-SUMIF($AM$33:$AM$34,"CR SFP - Non-controlling interests",$AO$33:$AO$34)</f>
        <v>205.8</v>
      </c>
      <c r="O36" s="302">
        <f>SUMIF($AM$39:$AM$43,"DR SFP - Non-controlling interests",$AN$39:$AN$43)</f>
        <v>0</v>
      </c>
      <c r="P36" s="303">
        <f>SUMIF($AM$39:$AM$43,"CR SFP - Non-controlling interests",$AO$39:$AO$43)</f>
        <v>0</v>
      </c>
      <c r="Q36" s="302">
        <f>SUMIF($AM$46:$AM$50,"DR SFP - Non-controlling interests",$AN$46:$AN$50)</f>
        <v>0</v>
      </c>
      <c r="R36" s="303">
        <f>SUMIF($AM$46:$AM$50,"CR SFP - Non-controlling interests",$AO$46:$AO$50)</f>
        <v>0</v>
      </c>
      <c r="S36" s="302">
        <f>SUMIF($AM$54:$AM$61,"DR SFP - Non-controlling interests",$AN$54:$AN$61)</f>
        <v>0</v>
      </c>
      <c r="T36" s="303">
        <f>-SUMIF($AM$54:$AM$61,"CR SFP - Non-controlling interests",$AO$54:$AO$61)</f>
        <v>0</v>
      </c>
      <c r="U36" s="302"/>
      <c r="V36" s="303"/>
      <c r="W36" s="319">
        <f>SUMIF($AM$71:$AM$82,"DR SFP - Non-controlling interests",AN$71:AN$82)</f>
        <v>0</v>
      </c>
      <c r="X36" s="319">
        <f>SUMIF($AM$71:$AM$82,"CR SFP - Non-controlling interests",AO$71:AO$82)</f>
        <v>0</v>
      </c>
      <c r="Y36" s="302">
        <f>-SUMIF($AM$84:$AM$85,"DR SFP - Non-controlling interests",$AN$84:$AN$85)</f>
        <v>0</v>
      </c>
      <c r="Z36" s="303">
        <f>-SUMIF($AM$84:$AM$85,"CR SFP - Non-controlling interests",$AO$84:$AO$85)</f>
        <v>0</v>
      </c>
      <c r="AA36" s="309">
        <f>F36-SUM(G36:Z36)</f>
        <v>836.8</v>
      </c>
      <c r="AS36" s="265" t="str">
        <f>"NCI share of current year profit (*"&amp;AV6&amp;")"</f>
        <v>NCI share of current year profit (*0.2)</v>
      </c>
      <c r="AV36" s="279">
        <f>AV35*AV6</f>
        <v>-205.8</v>
      </c>
    </row>
    <row r="37" spans="2:64" ht="18.75" customHeight="1" thickTop="1" x14ac:dyDescent="0.25">
      <c r="B37" s="227"/>
      <c r="C37" s="232"/>
      <c r="D37" s="233"/>
      <c r="E37" s="233"/>
      <c r="F37" s="282"/>
      <c r="G37" s="300"/>
      <c r="H37" s="282"/>
      <c r="I37" s="300"/>
      <c r="J37" s="282"/>
      <c r="K37" s="300"/>
      <c r="L37" s="301"/>
      <c r="M37" s="292"/>
      <c r="N37" s="301"/>
      <c r="O37" s="300"/>
      <c r="P37" s="301"/>
      <c r="Q37" s="300"/>
      <c r="R37" s="301"/>
      <c r="S37" s="380"/>
      <c r="T37" s="381"/>
      <c r="U37" s="380"/>
      <c r="V37" s="381"/>
      <c r="W37" s="318"/>
      <c r="X37" s="318"/>
      <c r="Y37" s="300"/>
      <c r="Z37" s="301"/>
      <c r="AA37" s="292"/>
    </row>
    <row r="38" spans="2:64" ht="18.75" customHeight="1" thickBot="1" x14ac:dyDescent="0.3">
      <c r="B38" s="227"/>
      <c r="C38" s="232"/>
      <c r="D38" s="233"/>
      <c r="E38" s="233"/>
      <c r="F38" s="282"/>
      <c r="G38" s="300"/>
      <c r="H38" s="282"/>
      <c r="I38" s="300"/>
      <c r="J38" s="282"/>
      <c r="K38" s="300"/>
      <c r="L38" s="301"/>
      <c r="M38" s="292"/>
      <c r="N38" s="301"/>
      <c r="O38" s="300"/>
      <c r="P38" s="301"/>
      <c r="Q38" s="300"/>
      <c r="R38" s="301"/>
      <c r="S38" s="380"/>
      <c r="T38" s="381"/>
      <c r="U38" s="380"/>
      <c r="V38" s="381"/>
      <c r="W38" s="318"/>
      <c r="X38" s="318"/>
      <c r="Y38" s="300"/>
      <c r="Z38" s="301"/>
      <c r="AA38" s="292"/>
      <c r="BL38" s="399" t="s">
        <v>754</v>
      </c>
    </row>
    <row r="39" spans="2:64" ht="18.75" customHeight="1" thickBot="1" x14ac:dyDescent="0.3">
      <c r="B39" s="227" t="s">
        <v>666</v>
      </c>
      <c r="C39" s="232"/>
      <c r="D39" s="236">
        <f>D35+D36</f>
        <v>283600</v>
      </c>
      <c r="E39" s="236">
        <f>E35+E36</f>
        <v>109250</v>
      </c>
      <c r="F39" s="285">
        <f>F35+F36</f>
        <v>392850</v>
      </c>
      <c r="G39" s="300"/>
      <c r="H39" s="282"/>
      <c r="I39" s="315"/>
      <c r="J39" s="401"/>
      <c r="K39" s="315"/>
      <c r="L39" s="316"/>
      <c r="M39" s="294"/>
      <c r="N39" s="316"/>
      <c r="O39" s="315"/>
      <c r="P39" s="316"/>
      <c r="Q39" s="315"/>
      <c r="R39" s="316"/>
      <c r="S39" s="383"/>
      <c r="T39" s="384"/>
      <c r="U39" s="383"/>
      <c r="V39" s="384"/>
      <c r="W39" s="320"/>
      <c r="X39" s="320"/>
      <c r="Y39" s="315"/>
      <c r="Z39" s="316"/>
      <c r="AA39" s="310">
        <f>AA35+AA36</f>
        <v>388629.6</v>
      </c>
      <c r="AL39" s="274">
        <v>5</v>
      </c>
      <c r="AM39" s="245" t="s">
        <v>805</v>
      </c>
      <c r="AN39" s="372">
        <f>AV40</f>
        <v>0</v>
      </c>
      <c r="AS39" s="266" t="s">
        <v>749</v>
      </c>
    </row>
    <row r="40" spans="2:64" ht="18.75" customHeight="1" x14ac:dyDescent="0.25">
      <c r="B40" s="230"/>
      <c r="C40" s="232"/>
      <c r="D40" s="233"/>
      <c r="E40" s="233"/>
      <c r="F40" s="282"/>
      <c r="G40" s="300"/>
      <c r="H40" s="282"/>
      <c r="I40" s="300"/>
      <c r="J40" s="282"/>
      <c r="K40" s="300"/>
      <c r="L40" s="301"/>
      <c r="M40" s="292"/>
      <c r="N40" s="301"/>
      <c r="O40" s="300"/>
      <c r="P40" s="301"/>
      <c r="Q40" s="300"/>
      <c r="R40" s="301"/>
      <c r="S40" s="380"/>
      <c r="T40" s="381"/>
      <c r="U40" s="380"/>
      <c r="V40" s="381"/>
      <c r="W40" s="318"/>
      <c r="X40" s="318"/>
      <c r="Y40" s="300"/>
      <c r="Z40" s="301"/>
      <c r="AA40" s="292"/>
      <c r="AM40" s="245" t="s">
        <v>795</v>
      </c>
      <c r="AO40" s="372">
        <f>AV40</f>
        <v>0</v>
      </c>
      <c r="AS40" s="265" t="s">
        <v>750</v>
      </c>
      <c r="AV40" s="373"/>
    </row>
    <row r="41" spans="2:64" ht="18.75" customHeight="1" x14ac:dyDescent="0.25">
      <c r="B41" s="227" t="s">
        <v>82</v>
      </c>
      <c r="C41" s="232"/>
      <c r="D41" s="233"/>
      <c r="E41" s="233"/>
      <c r="F41" s="282"/>
      <c r="G41" s="300"/>
      <c r="H41" s="282"/>
      <c r="I41" s="300"/>
      <c r="J41" s="282"/>
      <c r="K41" s="300"/>
      <c r="L41" s="301"/>
      <c r="M41" s="292"/>
      <c r="N41" s="301"/>
      <c r="O41" s="300"/>
      <c r="P41" s="301"/>
      <c r="Q41" s="300"/>
      <c r="R41" s="301"/>
      <c r="S41" s="380"/>
      <c r="T41" s="381"/>
      <c r="U41" s="380"/>
      <c r="V41" s="381"/>
      <c r="W41" s="318"/>
      <c r="X41" s="318"/>
      <c r="Y41" s="300"/>
      <c r="Z41" s="301"/>
      <c r="AA41" s="292"/>
      <c r="AS41" s="265" t="s">
        <v>797</v>
      </c>
      <c r="AV41" s="264"/>
    </row>
    <row r="42" spans="2:64" ht="18.75" customHeight="1" x14ac:dyDescent="0.25">
      <c r="B42" s="230" t="s">
        <v>667</v>
      </c>
      <c r="C42" s="232" t="s">
        <v>649</v>
      </c>
      <c r="D42" s="234"/>
      <c r="E42" s="234">
        <v>20000</v>
      </c>
      <c r="F42" s="283">
        <f>SUM(D42:E42)</f>
        <v>20000</v>
      </c>
      <c r="G42" s="302"/>
      <c r="H42" s="323"/>
      <c r="I42" s="302"/>
      <c r="J42" s="323"/>
      <c r="K42" s="302"/>
      <c r="L42" s="303"/>
      <c r="M42" s="293"/>
      <c r="N42" s="303"/>
      <c r="O42" s="302"/>
      <c r="P42" s="303"/>
      <c r="Q42" s="302"/>
      <c r="R42" s="303"/>
      <c r="S42" s="382"/>
      <c r="T42" s="377"/>
      <c r="U42" s="382"/>
      <c r="V42" s="377"/>
      <c r="W42" s="319"/>
      <c r="X42" s="319"/>
      <c r="Y42" s="302"/>
      <c r="Z42" s="303"/>
      <c r="AA42" s="309">
        <f>F42-SUM(G42:Z42)</f>
        <v>20000</v>
      </c>
      <c r="AM42" s="245" t="s">
        <v>796</v>
      </c>
      <c r="AN42" s="265">
        <f>AV41</f>
        <v>0</v>
      </c>
    </row>
    <row r="43" spans="2:64" ht="18.75" customHeight="1" x14ac:dyDescent="0.25">
      <c r="B43" s="230" t="s">
        <v>668</v>
      </c>
      <c r="C43" s="232" t="s">
        <v>669</v>
      </c>
      <c r="D43" s="234"/>
      <c r="E43" s="234"/>
      <c r="F43" s="283">
        <f>SUM(D43:E43)</f>
        <v>0</v>
      </c>
      <c r="G43" s="302"/>
      <c r="H43" s="323"/>
      <c r="I43" s="302"/>
      <c r="J43" s="323"/>
      <c r="K43" s="302"/>
      <c r="L43" s="303"/>
      <c r="M43" s="293"/>
      <c r="N43" s="303"/>
      <c r="O43" s="302"/>
      <c r="P43" s="303"/>
      <c r="Q43" s="302"/>
      <c r="R43" s="303"/>
      <c r="S43" s="382"/>
      <c r="T43" s="377"/>
      <c r="U43" s="382"/>
      <c r="V43" s="377"/>
      <c r="W43" s="319"/>
      <c r="X43" s="319"/>
      <c r="Y43" s="302"/>
      <c r="Z43" s="303"/>
      <c r="AA43" s="309">
        <f>F43-SUM(G43:Z43)</f>
        <v>0</v>
      </c>
      <c r="AM43" s="245" t="s">
        <v>795</v>
      </c>
      <c r="AO43" s="265">
        <f>AV41</f>
        <v>0</v>
      </c>
    </row>
    <row r="44" spans="2:64" ht="18.75" customHeight="1" x14ac:dyDescent="0.25">
      <c r="B44" s="230" t="s">
        <v>670</v>
      </c>
      <c r="C44" s="232" t="s">
        <v>649</v>
      </c>
      <c r="D44" s="234"/>
      <c r="E44" s="234"/>
      <c r="F44" s="283">
        <f>SUM(D44:E44)</f>
        <v>0</v>
      </c>
      <c r="G44" s="302"/>
      <c r="H44" s="323"/>
      <c r="I44" s="302"/>
      <c r="J44" s="323"/>
      <c r="K44" s="302"/>
      <c r="L44" s="303"/>
      <c r="M44" s="293"/>
      <c r="N44" s="303"/>
      <c r="O44" s="302"/>
      <c r="P44" s="303"/>
      <c r="Q44" s="302"/>
      <c r="R44" s="303"/>
      <c r="S44" s="382"/>
      <c r="T44" s="377"/>
      <c r="U44" s="382"/>
      <c r="V44" s="377"/>
      <c r="W44" s="319"/>
      <c r="X44" s="319"/>
      <c r="Y44" s="302"/>
      <c r="Z44" s="303"/>
      <c r="AA44" s="309">
        <f>F44-SUM(G44:Z44)</f>
        <v>0</v>
      </c>
    </row>
    <row r="45" spans="2:64" ht="18.75" customHeight="1" thickBot="1" x14ac:dyDescent="0.3">
      <c r="B45" s="227" t="s">
        <v>671</v>
      </c>
      <c r="C45" s="232"/>
      <c r="D45" s="236">
        <f>SUM(D42:D44)</f>
        <v>0</v>
      </c>
      <c r="E45" s="236">
        <f>SUM(E42:E44)</f>
        <v>20000</v>
      </c>
      <c r="F45" s="285">
        <f>SUM(F42:F44)</f>
        <v>20000</v>
      </c>
      <c r="G45" s="300"/>
      <c r="H45" s="282"/>
      <c r="I45" s="315"/>
      <c r="J45" s="401"/>
      <c r="K45" s="315"/>
      <c r="L45" s="316"/>
      <c r="M45" s="294"/>
      <c r="N45" s="316"/>
      <c r="O45" s="315"/>
      <c r="P45" s="316"/>
      <c r="Q45" s="315"/>
      <c r="R45" s="316"/>
      <c r="S45" s="383"/>
      <c r="T45" s="384"/>
      <c r="U45" s="383"/>
      <c r="V45" s="384"/>
      <c r="W45" s="320"/>
      <c r="X45" s="320"/>
      <c r="Y45" s="315"/>
      <c r="Z45" s="316"/>
      <c r="AA45" s="310">
        <f>SUM(AA42:AA44)</f>
        <v>20000</v>
      </c>
    </row>
    <row r="46" spans="2:64" ht="18.75" customHeight="1" thickBot="1" x14ac:dyDescent="0.3">
      <c r="B46" s="230"/>
      <c r="C46" s="232"/>
      <c r="D46" s="233"/>
      <c r="E46" s="233"/>
      <c r="F46" s="282"/>
      <c r="G46" s="300"/>
      <c r="H46" s="282"/>
      <c r="I46" s="300"/>
      <c r="J46" s="282"/>
      <c r="K46" s="300"/>
      <c r="L46" s="301"/>
      <c r="M46" s="292"/>
      <c r="N46" s="301"/>
      <c r="O46" s="300"/>
      <c r="P46" s="301"/>
      <c r="Q46" s="300"/>
      <c r="R46" s="301"/>
      <c r="S46" s="380"/>
      <c r="T46" s="381"/>
      <c r="U46" s="380"/>
      <c r="V46" s="381"/>
      <c r="W46" s="318"/>
      <c r="X46" s="318"/>
      <c r="Y46" s="300"/>
      <c r="Z46" s="301"/>
      <c r="AA46" s="292"/>
      <c r="AL46" s="274">
        <v>6</v>
      </c>
      <c r="AM46" s="265" t="s">
        <v>758</v>
      </c>
      <c r="AN46" s="273">
        <f>AV49</f>
        <v>0</v>
      </c>
      <c r="AO46" s="273"/>
      <c r="AS46" s="266" t="s">
        <v>751</v>
      </c>
    </row>
    <row r="47" spans="2:64" ht="18.75" customHeight="1" x14ac:dyDescent="0.25">
      <c r="B47" s="227" t="s">
        <v>84</v>
      </c>
      <c r="C47" s="232"/>
      <c r="D47" s="233"/>
      <c r="E47" s="233"/>
      <c r="F47" s="282"/>
      <c r="G47" s="300"/>
      <c r="H47" s="282"/>
      <c r="I47" s="300"/>
      <c r="J47" s="282"/>
      <c r="K47" s="300"/>
      <c r="L47" s="301"/>
      <c r="M47" s="292"/>
      <c r="N47" s="301"/>
      <c r="O47" s="300"/>
      <c r="P47" s="301"/>
      <c r="Q47" s="300"/>
      <c r="R47" s="301"/>
      <c r="S47" s="380"/>
      <c r="T47" s="381"/>
      <c r="U47" s="380"/>
      <c r="V47" s="381"/>
      <c r="W47" s="318"/>
      <c r="X47" s="318"/>
      <c r="Y47" s="300"/>
      <c r="Z47" s="301"/>
      <c r="AA47" s="292"/>
      <c r="AM47" s="265" t="s">
        <v>591</v>
      </c>
      <c r="AN47" s="273"/>
      <c r="AO47" s="273">
        <f>AV49</f>
        <v>0</v>
      </c>
      <c r="AS47" s="265" t="s">
        <v>757</v>
      </c>
      <c r="AV47" s="264">
        <f>AV25</f>
        <v>0</v>
      </c>
    </row>
    <row r="48" spans="2:64" ht="18.75" customHeight="1" x14ac:dyDescent="0.25">
      <c r="B48" s="230" t="s">
        <v>86</v>
      </c>
      <c r="C48" s="232"/>
      <c r="D48" s="242">
        <v>123000</v>
      </c>
      <c r="E48" s="242">
        <f>8000+52000</f>
        <v>60000</v>
      </c>
      <c r="F48" s="290">
        <f>SUM(D48:E48)</f>
        <v>183000</v>
      </c>
      <c r="G48" s="302"/>
      <c r="H48" s="323"/>
      <c r="I48" s="302"/>
      <c r="J48" s="323"/>
      <c r="K48" s="302"/>
      <c r="L48" s="303"/>
      <c r="M48" s="293"/>
      <c r="N48" s="303"/>
      <c r="O48" s="302">
        <f>SUMIF($AM$39:$AM$43,"DR Trade payables",$AN$39:$AN$43)</f>
        <v>0</v>
      </c>
      <c r="P48" s="303">
        <f>-SUMIF($AM$39:$AM$67,"CR Trade payables",$AO$39:$AO$67)</f>
        <v>0</v>
      </c>
      <c r="Q48" s="302"/>
      <c r="R48" s="303"/>
      <c r="S48" s="382"/>
      <c r="T48" s="377"/>
      <c r="U48" s="382"/>
      <c r="V48" s="377"/>
      <c r="W48" s="319"/>
      <c r="X48" s="319"/>
      <c r="Y48" s="302"/>
      <c r="Z48" s="303"/>
      <c r="AA48" s="309">
        <f>F48-SUM(G48:Z48)</f>
        <v>183000</v>
      </c>
      <c r="AN48" s="273"/>
      <c r="AO48" s="273"/>
    </row>
    <row r="49" spans="2:64" ht="18.75" customHeight="1" x14ac:dyDescent="0.25">
      <c r="B49" s="230" t="s">
        <v>672</v>
      </c>
      <c r="C49" s="232" t="s">
        <v>649</v>
      </c>
      <c r="D49" s="242"/>
      <c r="E49" s="242"/>
      <c r="F49" s="290">
        <f>SUM(D49:E49)</f>
        <v>0</v>
      </c>
      <c r="G49" s="302"/>
      <c r="H49" s="323"/>
      <c r="I49" s="302"/>
      <c r="J49" s="323"/>
      <c r="K49" s="302"/>
      <c r="L49" s="303"/>
      <c r="M49" s="293"/>
      <c r="N49" s="303"/>
      <c r="O49" s="302"/>
      <c r="P49" s="303"/>
      <c r="Q49" s="302"/>
      <c r="R49" s="303"/>
      <c r="S49" s="382"/>
      <c r="T49" s="377"/>
      <c r="U49" s="382"/>
      <c r="V49" s="377"/>
      <c r="W49" s="319"/>
      <c r="X49" s="319"/>
      <c r="Y49" s="302"/>
      <c r="Z49" s="303"/>
      <c r="AA49" s="309">
        <f>F49-SUM(G49:Z49)</f>
        <v>0</v>
      </c>
      <c r="AM49" s="265" t="s">
        <v>759</v>
      </c>
      <c r="AN49" s="273">
        <f>AV50</f>
        <v>0</v>
      </c>
      <c r="AO49" s="273"/>
      <c r="AS49" s="265" t="s">
        <v>755</v>
      </c>
      <c r="AV49" s="273">
        <f>AV47-AV50</f>
        <v>0</v>
      </c>
    </row>
    <row r="50" spans="2:64" ht="18.75" customHeight="1" x14ac:dyDescent="0.25">
      <c r="B50" s="230" t="s">
        <v>673</v>
      </c>
      <c r="C50" s="232" t="s">
        <v>649</v>
      </c>
      <c r="D50" s="242"/>
      <c r="E50" s="242"/>
      <c r="F50" s="290">
        <f>SUM(D50:E50)</f>
        <v>0</v>
      </c>
      <c r="G50" s="302"/>
      <c r="H50" s="323"/>
      <c r="I50" s="302"/>
      <c r="J50" s="323"/>
      <c r="K50" s="302"/>
      <c r="L50" s="303"/>
      <c r="M50" s="293"/>
      <c r="N50" s="303"/>
      <c r="O50" s="302"/>
      <c r="P50" s="303"/>
      <c r="Q50" s="302"/>
      <c r="R50" s="303"/>
      <c r="S50" s="382"/>
      <c r="T50" s="377"/>
      <c r="U50" s="382"/>
      <c r="V50" s="377"/>
      <c r="W50" s="319"/>
      <c r="X50" s="319"/>
      <c r="Y50" s="302"/>
      <c r="Z50" s="303"/>
      <c r="AA50" s="309">
        <f>F50-SUM(G50:Z50)</f>
        <v>0</v>
      </c>
      <c r="AM50" s="265" t="s">
        <v>591</v>
      </c>
      <c r="AN50" s="273"/>
      <c r="AO50" s="273">
        <f>AV50</f>
        <v>0</v>
      </c>
      <c r="AS50" s="265" t="s">
        <v>756</v>
      </c>
      <c r="AV50" s="273">
        <f>AV47*AV6</f>
        <v>0</v>
      </c>
    </row>
    <row r="51" spans="2:64" ht="18.75" customHeight="1" x14ac:dyDescent="0.25">
      <c r="B51" s="230" t="s">
        <v>87</v>
      </c>
      <c r="C51" s="232"/>
      <c r="D51" s="242"/>
      <c r="E51" s="242"/>
      <c r="F51" s="290">
        <f>SUM(D51:E51)</f>
        <v>0</v>
      </c>
      <c r="G51" s="302"/>
      <c r="H51" s="323"/>
      <c r="I51" s="302"/>
      <c r="J51" s="323"/>
      <c r="K51" s="302"/>
      <c r="L51" s="303"/>
      <c r="M51" s="293"/>
      <c r="N51" s="303"/>
      <c r="O51" s="302"/>
      <c r="P51" s="303"/>
      <c r="Q51" s="302"/>
      <c r="R51" s="303"/>
      <c r="S51" s="382"/>
      <c r="T51" s="377"/>
      <c r="U51" s="382"/>
      <c r="V51" s="377"/>
      <c r="W51" s="319"/>
      <c r="X51" s="319"/>
      <c r="Y51" s="302"/>
      <c r="Z51" s="303"/>
      <c r="AA51" s="309">
        <f>F51-SUM(G51:Z51)</f>
        <v>0</v>
      </c>
    </row>
    <row r="52" spans="2:64" ht="18.75" customHeight="1" x14ac:dyDescent="0.25">
      <c r="B52" s="230" t="s">
        <v>674</v>
      </c>
      <c r="C52" s="232" t="s">
        <v>649</v>
      </c>
      <c r="D52" s="242"/>
      <c r="E52" s="242"/>
      <c r="F52" s="290">
        <f>SUM(D52:E52)</f>
        <v>0</v>
      </c>
      <c r="G52" s="302"/>
      <c r="H52" s="323"/>
      <c r="I52" s="302"/>
      <c r="J52" s="323"/>
      <c r="K52" s="302"/>
      <c r="L52" s="303"/>
      <c r="M52" s="293"/>
      <c r="N52" s="303"/>
      <c r="O52" s="302"/>
      <c r="P52" s="303"/>
      <c r="Q52" s="302"/>
      <c r="R52" s="303"/>
      <c r="S52" s="382"/>
      <c r="T52" s="377"/>
      <c r="U52" s="382"/>
      <c r="V52" s="377"/>
      <c r="W52" s="319"/>
      <c r="X52" s="319"/>
      <c r="Y52" s="302"/>
      <c r="Z52" s="303"/>
      <c r="AA52" s="309">
        <f>F52-SUM(G52:Z52)</f>
        <v>0</v>
      </c>
    </row>
    <row r="53" spans="2:64" ht="18.75" customHeight="1" thickBot="1" x14ac:dyDescent="0.3">
      <c r="B53" s="227" t="s">
        <v>675</v>
      </c>
      <c r="C53" s="232"/>
      <c r="D53" s="236">
        <f>SUM(D48:D52)</f>
        <v>123000</v>
      </c>
      <c r="E53" s="236">
        <f>SUM(E48:E52)</f>
        <v>60000</v>
      </c>
      <c r="F53" s="285">
        <f>SUM(F48:F52)</f>
        <v>183000</v>
      </c>
      <c r="G53" s="300"/>
      <c r="H53" s="282"/>
      <c r="I53" s="300"/>
      <c r="J53" s="282"/>
      <c r="K53" s="300"/>
      <c r="L53" s="301"/>
      <c r="M53" s="292"/>
      <c r="N53" s="301"/>
      <c r="O53" s="300"/>
      <c r="P53" s="301"/>
      <c r="Q53" s="300"/>
      <c r="R53" s="301"/>
      <c r="S53" s="380"/>
      <c r="T53" s="381"/>
      <c r="U53" s="380"/>
      <c r="V53" s="381"/>
      <c r="W53" s="318"/>
      <c r="X53" s="318"/>
      <c r="Y53" s="300"/>
      <c r="Z53" s="301"/>
      <c r="AA53" s="310">
        <f>SUM(AA48:AA52)</f>
        <v>183000</v>
      </c>
      <c r="AS53" s="266" t="s">
        <v>760</v>
      </c>
    </row>
    <row r="54" spans="2:64" ht="18.75" customHeight="1" thickBot="1" x14ac:dyDescent="0.3">
      <c r="B54" s="227" t="s">
        <v>676</v>
      </c>
      <c r="C54" s="232"/>
      <c r="D54" s="236">
        <f>SUM(D45,D53)</f>
        <v>123000</v>
      </c>
      <c r="E54" s="236">
        <f>SUM(E45,E53)</f>
        <v>80000</v>
      </c>
      <c r="F54" s="285">
        <f>SUM(F45,F53)</f>
        <v>203000</v>
      </c>
      <c r="G54" s="300"/>
      <c r="H54" s="282"/>
      <c r="I54" s="300"/>
      <c r="J54" s="282"/>
      <c r="K54" s="300"/>
      <c r="L54" s="301"/>
      <c r="M54" s="292"/>
      <c r="N54" s="301"/>
      <c r="O54" s="300"/>
      <c r="P54" s="301"/>
      <c r="Q54" s="300"/>
      <c r="R54" s="301"/>
      <c r="S54" s="380"/>
      <c r="T54" s="381"/>
      <c r="U54" s="380"/>
      <c r="V54" s="381"/>
      <c r="W54" s="318"/>
      <c r="X54" s="318"/>
      <c r="Y54" s="300"/>
      <c r="Z54" s="301"/>
      <c r="AA54" s="310">
        <f>SUM(AA45,AA53)</f>
        <v>203000</v>
      </c>
      <c r="AL54" s="274">
        <v>7</v>
      </c>
      <c r="AM54" s="265" t="s">
        <v>761</v>
      </c>
      <c r="AN54" s="273">
        <f>AV55</f>
        <v>0</v>
      </c>
      <c r="AS54" s="400" t="s">
        <v>781</v>
      </c>
    </row>
    <row r="55" spans="2:64" ht="18.75" customHeight="1" thickBot="1" x14ac:dyDescent="0.3">
      <c r="B55" s="227" t="s">
        <v>677</v>
      </c>
      <c r="C55" s="232"/>
      <c r="D55" s="238">
        <f>SUM(D39,D54)</f>
        <v>406600</v>
      </c>
      <c r="E55" s="238">
        <f>SUM(E39,E54)</f>
        <v>189250</v>
      </c>
      <c r="F55" s="287">
        <f>SUM(F39,F54)</f>
        <v>595850</v>
      </c>
      <c r="G55" s="306"/>
      <c r="H55" s="352"/>
      <c r="I55" s="306"/>
      <c r="J55" s="352"/>
      <c r="K55" s="306"/>
      <c r="L55" s="307"/>
      <c r="M55" s="331"/>
      <c r="N55" s="307"/>
      <c r="O55" s="306"/>
      <c r="P55" s="307"/>
      <c r="Q55" s="306"/>
      <c r="R55" s="307"/>
      <c r="S55" s="388"/>
      <c r="T55" s="389"/>
      <c r="U55" s="388"/>
      <c r="V55" s="389"/>
      <c r="W55" s="376"/>
      <c r="X55" s="376"/>
      <c r="Y55" s="306"/>
      <c r="Z55" s="307"/>
      <c r="AA55" s="311">
        <f>SUM(AA39,AA54)</f>
        <v>591629.6</v>
      </c>
      <c r="AM55" s="265" t="s">
        <v>769</v>
      </c>
      <c r="AO55" s="272">
        <f>AV55</f>
        <v>0</v>
      </c>
      <c r="AS55" s="265" t="s">
        <v>763</v>
      </c>
      <c r="AV55" s="264"/>
      <c r="BC55" s="277"/>
      <c r="BL55" s="399" t="s">
        <v>762</v>
      </c>
    </row>
    <row r="56" spans="2:64" x14ac:dyDescent="0.25">
      <c r="G56" s="391"/>
      <c r="H56" s="395"/>
      <c r="I56" s="391"/>
      <c r="J56" s="395"/>
      <c r="K56" s="391"/>
      <c r="L56" s="392"/>
      <c r="AM56" s="265" t="s">
        <v>305</v>
      </c>
      <c r="AN56" s="272">
        <f>AV60</f>
        <v>0</v>
      </c>
      <c r="AS56" s="265" t="s">
        <v>764</v>
      </c>
      <c r="AT56" s="271"/>
      <c r="AU56" s="271"/>
      <c r="AV56" s="264"/>
      <c r="BC56" s="277"/>
    </row>
    <row r="57" spans="2:64" x14ac:dyDescent="0.25">
      <c r="G57" s="391"/>
      <c r="H57" s="395"/>
      <c r="I57" s="391"/>
      <c r="J57" s="395"/>
      <c r="K57" s="391"/>
      <c r="L57" s="392"/>
      <c r="AM57" s="265" t="s">
        <v>801</v>
      </c>
      <c r="AO57" s="272">
        <f>AV60</f>
        <v>0</v>
      </c>
      <c r="AS57" s="265" t="s">
        <v>765</v>
      </c>
      <c r="AV57" s="361">
        <f>AV55-AV56</f>
        <v>0</v>
      </c>
    </row>
    <row r="58" spans="2:64" x14ac:dyDescent="0.25">
      <c r="G58" s="391"/>
      <c r="H58" s="395"/>
      <c r="I58" s="391"/>
      <c r="J58" s="395"/>
      <c r="K58" s="391"/>
      <c r="L58" s="392"/>
      <c r="AS58" s="271"/>
      <c r="AT58" s="271"/>
      <c r="AU58" s="271"/>
      <c r="AV58" s="271"/>
    </row>
    <row r="59" spans="2:64" ht="15.75" x14ac:dyDescent="0.25">
      <c r="B59" s="224" t="s">
        <v>636</v>
      </c>
      <c r="C59" s="853" t="s">
        <v>637</v>
      </c>
      <c r="D59" s="229" t="s">
        <v>743</v>
      </c>
      <c r="E59" s="322">
        <v>1</v>
      </c>
      <c r="F59" s="280"/>
      <c r="G59" s="393"/>
      <c r="H59" s="396"/>
      <c r="I59" s="393"/>
      <c r="J59" s="396"/>
      <c r="K59" s="393"/>
      <c r="L59" s="394"/>
      <c r="M59" s="390"/>
      <c r="N59" s="297"/>
      <c r="O59" s="297"/>
      <c r="P59" s="297"/>
      <c r="Q59" s="297"/>
      <c r="R59" s="297"/>
      <c r="S59" s="297"/>
      <c r="T59" s="297"/>
      <c r="U59" s="297"/>
      <c r="V59" s="297"/>
      <c r="W59" s="297"/>
      <c r="X59" s="297"/>
      <c r="Y59" s="297"/>
      <c r="Z59" s="297"/>
      <c r="AA59" s="225"/>
      <c r="AS59" s="265" t="s">
        <v>766</v>
      </c>
      <c r="AT59" s="271"/>
      <c r="AU59" s="271"/>
      <c r="AV59" s="365">
        <f>(150/350)*AV57</f>
        <v>0</v>
      </c>
    </row>
    <row r="60" spans="2:64" ht="16.5" thickBot="1" x14ac:dyDescent="0.3">
      <c r="B60" s="227" t="s">
        <v>13</v>
      </c>
      <c r="C60" s="854"/>
      <c r="D60" s="225"/>
      <c r="E60" s="225"/>
      <c r="F60" s="280"/>
      <c r="G60" s="850">
        <v>1</v>
      </c>
      <c r="H60" s="856"/>
      <c r="I60" s="850">
        <v>2</v>
      </c>
      <c r="J60" s="856"/>
      <c r="K60" s="850">
        <v>3</v>
      </c>
      <c r="L60" s="851"/>
      <c r="M60" s="856">
        <v>4</v>
      </c>
      <c r="N60" s="851"/>
      <c r="O60" s="850">
        <v>5</v>
      </c>
      <c r="P60" s="851"/>
      <c r="Q60" s="850">
        <v>6</v>
      </c>
      <c r="R60" s="851"/>
      <c r="S60" s="850">
        <v>7</v>
      </c>
      <c r="T60" s="851"/>
      <c r="U60" s="856">
        <v>8</v>
      </c>
      <c r="V60" s="856"/>
      <c r="W60" s="856">
        <v>9</v>
      </c>
      <c r="X60" s="851"/>
      <c r="Y60" s="850">
        <v>10</v>
      </c>
      <c r="Z60" s="851"/>
      <c r="AA60" s="308"/>
      <c r="AM60" s="265" t="s">
        <v>759</v>
      </c>
      <c r="AN60" s="272">
        <f>AV63</f>
        <v>0</v>
      </c>
      <c r="AS60" s="265" t="s">
        <v>767</v>
      </c>
      <c r="AT60" s="271"/>
      <c r="AU60" s="271"/>
      <c r="AV60" s="364">
        <f>AV57-AV59</f>
        <v>0</v>
      </c>
    </row>
    <row r="61" spans="2:64" ht="17.25" thickTop="1" thickBot="1" x14ac:dyDescent="0.3">
      <c r="B61" s="228" t="s">
        <v>699</v>
      </c>
      <c r="C61" s="855"/>
      <c r="D61" s="229" t="s">
        <v>639</v>
      </c>
      <c r="E61" s="229" t="s">
        <v>640</v>
      </c>
      <c r="F61" s="281" t="s">
        <v>641</v>
      </c>
      <c r="G61" s="298" t="s">
        <v>700</v>
      </c>
      <c r="H61" s="281" t="s">
        <v>701</v>
      </c>
      <c r="I61" s="298" t="s">
        <v>700</v>
      </c>
      <c r="J61" s="281" t="s">
        <v>701</v>
      </c>
      <c r="K61" s="298" t="s">
        <v>700</v>
      </c>
      <c r="L61" s="299" t="s">
        <v>701</v>
      </c>
      <c r="M61" s="291" t="s">
        <v>700</v>
      </c>
      <c r="N61" s="299" t="s">
        <v>701</v>
      </c>
      <c r="O61" s="298" t="s">
        <v>700</v>
      </c>
      <c r="P61" s="299" t="s">
        <v>701</v>
      </c>
      <c r="Q61" s="298" t="s">
        <v>700</v>
      </c>
      <c r="R61" s="299" t="s">
        <v>701</v>
      </c>
      <c r="S61" s="298" t="s">
        <v>700</v>
      </c>
      <c r="T61" s="299" t="s">
        <v>701</v>
      </c>
      <c r="U61" s="291" t="s">
        <v>700</v>
      </c>
      <c r="V61" s="299" t="s">
        <v>701</v>
      </c>
      <c r="W61" s="298" t="s">
        <v>700</v>
      </c>
      <c r="X61" s="299" t="s">
        <v>701</v>
      </c>
      <c r="Y61" s="298" t="s">
        <v>700</v>
      </c>
      <c r="Z61" s="299" t="s">
        <v>701</v>
      </c>
      <c r="AA61" s="291" t="s">
        <v>644</v>
      </c>
      <c r="AM61" s="265" t="s">
        <v>695</v>
      </c>
      <c r="AO61" s="272">
        <f>AV63</f>
        <v>0</v>
      </c>
      <c r="AS61" s="271"/>
      <c r="AT61" s="271"/>
      <c r="AU61" s="271"/>
      <c r="AV61" s="271"/>
    </row>
    <row r="62" spans="2:64" ht="15.75" x14ac:dyDescent="0.25">
      <c r="B62" s="230"/>
      <c r="C62" s="231" t="s">
        <v>645</v>
      </c>
      <c r="D62" s="229" t="s">
        <v>10</v>
      </c>
      <c r="E62" s="229" t="s">
        <v>10</v>
      </c>
      <c r="F62" s="281" t="s">
        <v>10</v>
      </c>
      <c r="G62" s="298" t="s">
        <v>10</v>
      </c>
      <c r="H62" s="281" t="s">
        <v>10</v>
      </c>
      <c r="I62" s="298" t="s">
        <v>10</v>
      </c>
      <c r="J62" s="281" t="s">
        <v>10</v>
      </c>
      <c r="K62" s="298" t="s">
        <v>10</v>
      </c>
      <c r="L62" s="299" t="s">
        <v>10</v>
      </c>
      <c r="M62" s="291" t="s">
        <v>10</v>
      </c>
      <c r="N62" s="299" t="s">
        <v>10</v>
      </c>
      <c r="O62" s="298" t="s">
        <v>10</v>
      </c>
      <c r="P62" s="299" t="s">
        <v>10</v>
      </c>
      <c r="Q62" s="298" t="s">
        <v>10</v>
      </c>
      <c r="R62" s="299" t="s">
        <v>10</v>
      </c>
      <c r="S62" s="298" t="s">
        <v>10</v>
      </c>
      <c r="T62" s="299" t="s">
        <v>10</v>
      </c>
      <c r="U62" s="291" t="s">
        <v>10</v>
      </c>
      <c r="V62" s="299" t="s">
        <v>10</v>
      </c>
      <c r="W62" s="298" t="s">
        <v>10</v>
      </c>
      <c r="X62" s="299" t="s">
        <v>10</v>
      </c>
      <c r="Y62" s="298" t="s">
        <v>10</v>
      </c>
      <c r="Z62" s="299" t="s">
        <v>10</v>
      </c>
      <c r="AA62" s="291" t="s">
        <v>10</v>
      </c>
    </row>
    <row r="63" spans="2:64" ht="15.75" x14ac:dyDescent="0.25">
      <c r="B63" s="227" t="s">
        <v>58</v>
      </c>
      <c r="C63" s="232"/>
      <c r="D63" s="234"/>
      <c r="E63" s="234"/>
      <c r="F63" s="283">
        <f>SUM(D63:E63)</f>
        <v>0</v>
      </c>
      <c r="G63" s="302"/>
      <c r="H63" s="323"/>
      <c r="I63" s="302"/>
      <c r="J63" s="323"/>
      <c r="K63" s="302"/>
      <c r="L63" s="303"/>
      <c r="M63" s="293"/>
      <c r="N63" s="303"/>
      <c r="O63" s="302">
        <f>SUMIF($AM$39:$AM$43,"DR SPL - Revenue",$AN$39:$AN$43)</f>
        <v>0</v>
      </c>
      <c r="P63" s="303">
        <f>SUMIF($AM$39:$AM$43,"CR SPL - Revenue",$AO$39:$AO$43)</f>
        <v>0</v>
      </c>
      <c r="Q63" s="302">
        <f>SUMIF($AM$46:$AM$50,"DR SPL - Revenue",$AN$46:$AN$50)</f>
        <v>0</v>
      </c>
      <c r="R63" s="303">
        <f>SUMIF($AM$46:$AM$50,"CR SPL - Revenue",$AO$46:$AO$50)</f>
        <v>0</v>
      </c>
      <c r="S63" s="302">
        <f>SUMIF($AM$54:$AM$61,"DR SPL - Revenue",$AN$54:$AN$61)</f>
        <v>0</v>
      </c>
      <c r="T63" s="303">
        <f>SUMIF($AM$54:$AM$61,"CR SPL - Revenue",$AO$54:$AO$61)</f>
        <v>0</v>
      </c>
      <c r="U63" s="319"/>
      <c r="V63" s="319"/>
      <c r="W63" s="319"/>
      <c r="X63" s="319"/>
      <c r="Y63" s="302"/>
      <c r="Z63" s="303"/>
      <c r="AA63" s="309">
        <f>F63-SUM(G63:Z63)</f>
        <v>0</v>
      </c>
      <c r="AS63" s="265" t="s">
        <v>768</v>
      </c>
      <c r="AV63" s="272">
        <f>IF(AS54="Sub -&gt; Parent",AV60*AV6,0)</f>
        <v>0</v>
      </c>
    </row>
    <row r="64" spans="2:64" ht="15.75" x14ac:dyDescent="0.25">
      <c r="B64" s="227"/>
      <c r="C64" s="232"/>
      <c r="D64" s="246"/>
      <c r="E64" s="246"/>
      <c r="F64" s="328"/>
      <c r="G64" s="302"/>
      <c r="H64" s="323"/>
      <c r="I64" s="302"/>
      <c r="J64" s="323"/>
      <c r="K64" s="302"/>
      <c r="L64" s="303"/>
      <c r="M64" s="293"/>
      <c r="N64" s="303"/>
      <c r="O64" s="302"/>
      <c r="P64" s="303"/>
      <c r="Q64" s="302"/>
      <c r="R64" s="303"/>
      <c r="S64" s="382"/>
      <c r="T64" s="377"/>
      <c r="U64" s="319"/>
      <c r="V64" s="319"/>
      <c r="W64" s="319"/>
      <c r="X64" s="319"/>
      <c r="Y64" s="302"/>
      <c r="Z64" s="303"/>
      <c r="AA64" s="292"/>
    </row>
    <row r="65" spans="2:64" ht="16.5" thickBot="1" x14ac:dyDescent="0.3">
      <c r="B65" s="227"/>
      <c r="C65" s="232"/>
      <c r="D65" s="246"/>
      <c r="E65" s="246"/>
      <c r="F65" s="328"/>
      <c r="G65" s="302"/>
      <c r="H65" s="323"/>
      <c r="I65" s="302"/>
      <c r="J65" s="323"/>
      <c r="K65" s="302"/>
      <c r="L65" s="303"/>
      <c r="M65" s="293"/>
      <c r="N65" s="303"/>
      <c r="O65" s="302"/>
      <c r="P65" s="303"/>
      <c r="Q65" s="302"/>
      <c r="R65" s="303"/>
      <c r="S65" s="382"/>
      <c r="T65" s="377"/>
      <c r="U65" s="319"/>
      <c r="V65" s="319"/>
      <c r="W65" s="319"/>
      <c r="X65" s="319"/>
      <c r="Y65" s="302"/>
      <c r="Z65" s="303"/>
      <c r="AA65" s="292"/>
      <c r="AS65" s="266" t="s">
        <v>772</v>
      </c>
    </row>
    <row r="66" spans="2:64" ht="16.5" thickBot="1" x14ac:dyDescent="0.3">
      <c r="B66" s="230" t="s">
        <v>67</v>
      </c>
      <c r="C66" s="232"/>
      <c r="D66" s="235"/>
      <c r="E66" s="235"/>
      <c r="F66" s="284">
        <f>SUM(D66:E66)</f>
        <v>0</v>
      </c>
      <c r="G66" s="302"/>
      <c r="H66" s="323"/>
      <c r="I66" s="302"/>
      <c r="J66" s="323"/>
      <c r="K66" s="302"/>
      <c r="L66" s="303"/>
      <c r="M66" s="293"/>
      <c r="N66" s="303"/>
      <c r="O66" s="302">
        <f>SUMIF($AM$39:$AM$43,"DR SPL - Cost of sales",$AN$39:$AN$43)</f>
        <v>0</v>
      </c>
      <c r="P66" s="303">
        <f>-SUMIF($AM$39:$AM$43,"CR SPL - Cost of sales",$AO$39:$AO$43)</f>
        <v>0</v>
      </c>
      <c r="Q66" s="302">
        <f>SUMIF($AM$46:$AM$50,"DR SPL - Cost of sales",$AN$46:$AN$50)</f>
        <v>0</v>
      </c>
      <c r="R66" s="303">
        <f>-SUMIF($AM$46:$AM$50,"CR SPL - Cost of sales",$AO$46:$AO$50)</f>
        <v>0</v>
      </c>
      <c r="S66" s="302">
        <f>SUMIF($AM$54:$AM$61,"DR SPL - Cost of sales",$AN$54:$AN$61)</f>
        <v>0</v>
      </c>
      <c r="T66" s="303">
        <f>-SUMIF($AM$54:$AM$61,"CR SPL - Cost of sales",$AO$54:$AO$61)</f>
        <v>0</v>
      </c>
      <c r="U66" s="319"/>
      <c r="V66" s="319"/>
      <c r="W66" s="319"/>
      <c r="X66" s="319"/>
      <c r="Y66" s="302"/>
      <c r="Z66" s="303"/>
      <c r="AA66" s="309">
        <f>F66+SUM(G66:Z66)</f>
        <v>0</v>
      </c>
      <c r="AL66" s="274">
        <v>8</v>
      </c>
      <c r="AM66" s="245" t="s">
        <v>773</v>
      </c>
    </row>
    <row r="67" spans="2:64" x14ac:dyDescent="0.25">
      <c r="B67" s="230"/>
      <c r="C67" s="232"/>
      <c r="D67" s="233"/>
      <c r="E67" s="233"/>
      <c r="F67" s="282"/>
      <c r="G67" s="302"/>
      <c r="H67" s="323"/>
      <c r="I67" s="302"/>
      <c r="J67" s="323"/>
      <c r="K67" s="302"/>
      <c r="L67" s="303"/>
      <c r="M67" s="293"/>
      <c r="N67" s="303"/>
      <c r="O67" s="302"/>
      <c r="P67" s="303"/>
      <c r="Q67" s="302"/>
      <c r="R67" s="303"/>
      <c r="S67" s="382"/>
      <c r="T67" s="377"/>
      <c r="U67" s="319"/>
      <c r="V67" s="319"/>
      <c r="W67" s="319"/>
      <c r="X67" s="319"/>
      <c r="Y67" s="302"/>
      <c r="Z67" s="303"/>
      <c r="AA67" s="292"/>
      <c r="AM67" s="245" t="s">
        <v>774</v>
      </c>
    </row>
    <row r="68" spans="2:64" x14ac:dyDescent="0.25">
      <c r="B68" s="230"/>
      <c r="C68" s="232"/>
      <c r="D68" s="246"/>
      <c r="E68" s="246"/>
      <c r="F68" s="328"/>
      <c r="G68" s="302"/>
      <c r="H68" s="323"/>
      <c r="I68" s="302"/>
      <c r="J68" s="323"/>
      <c r="K68" s="302"/>
      <c r="L68" s="303"/>
      <c r="M68" s="293"/>
      <c r="N68" s="303"/>
      <c r="O68" s="302"/>
      <c r="P68" s="303"/>
      <c r="Q68" s="302"/>
      <c r="R68" s="303"/>
      <c r="S68" s="382"/>
      <c r="T68" s="377"/>
      <c r="U68" s="319"/>
      <c r="V68" s="319"/>
      <c r="W68" s="319"/>
      <c r="X68" s="319"/>
      <c r="Y68" s="302"/>
      <c r="Z68" s="303"/>
      <c r="AA68" s="330"/>
    </row>
    <row r="69" spans="2:64" ht="15.75" x14ac:dyDescent="0.25">
      <c r="B69" s="230" t="s">
        <v>702</v>
      </c>
      <c r="C69" s="232"/>
      <c r="D69" s="239">
        <f>D63-D66</f>
        <v>0</v>
      </c>
      <c r="E69" s="239">
        <f>E63-E66</f>
        <v>0</v>
      </c>
      <c r="F69" s="288">
        <f>F63-F66</f>
        <v>0</v>
      </c>
      <c r="G69" s="300"/>
      <c r="H69" s="282"/>
      <c r="I69" s="300"/>
      <c r="J69" s="282"/>
      <c r="K69" s="300"/>
      <c r="L69" s="301"/>
      <c r="M69" s="292"/>
      <c r="N69" s="301"/>
      <c r="O69" s="300"/>
      <c r="P69" s="301"/>
      <c r="Q69" s="300"/>
      <c r="R69" s="301"/>
      <c r="S69" s="380"/>
      <c r="T69" s="381"/>
      <c r="U69" s="318"/>
      <c r="V69" s="318"/>
      <c r="W69" s="318"/>
      <c r="X69" s="318"/>
      <c r="Y69" s="300"/>
      <c r="Z69" s="301"/>
      <c r="AA69" s="312">
        <f>AA63-AA66</f>
        <v>0</v>
      </c>
      <c r="AS69" s="266" t="s">
        <v>775</v>
      </c>
    </row>
    <row r="70" spans="2:64" ht="16.5" thickBot="1" x14ac:dyDescent="0.3">
      <c r="B70" s="230" t="s">
        <v>95</v>
      </c>
      <c r="C70" s="232"/>
      <c r="D70" s="235"/>
      <c r="E70" s="235"/>
      <c r="F70" s="284">
        <f>SUM(D70:E70)</f>
        <v>0</v>
      </c>
      <c r="G70" s="302"/>
      <c r="H70" s="323"/>
      <c r="I70" s="302"/>
      <c r="J70" s="323"/>
      <c r="K70" s="302"/>
      <c r="L70" s="303"/>
      <c r="M70" s="293"/>
      <c r="N70" s="303"/>
      <c r="O70" s="302"/>
      <c r="P70" s="303"/>
      <c r="Q70" s="302"/>
      <c r="R70" s="303"/>
      <c r="S70" s="382"/>
      <c r="T70" s="377"/>
      <c r="U70" s="319"/>
      <c r="V70" s="319"/>
      <c r="W70" s="319">
        <f>SUMIF($AM$71:$AM$82,"DR SPL - gain on sale",AN$71:AN$82)</f>
        <v>0</v>
      </c>
      <c r="X70" s="319">
        <f>SUMIF($AM$71:$AM$82,"CR SPL - gain on sale",AO$71:AO$82)</f>
        <v>0</v>
      </c>
      <c r="Y70" s="302"/>
      <c r="Z70" s="303"/>
      <c r="AA70" s="309">
        <f>F70-G70-G71-G72+H72+H71+H70</f>
        <v>0</v>
      </c>
      <c r="AS70" s="400" t="s">
        <v>781</v>
      </c>
      <c r="BL70" s="399" t="s">
        <v>776</v>
      </c>
    </row>
    <row r="71" spans="2:64" ht="16.5" thickBot="1" x14ac:dyDescent="0.3">
      <c r="B71" s="230"/>
      <c r="C71" s="232"/>
      <c r="D71" s="233"/>
      <c r="E71" s="233"/>
      <c r="F71" s="282"/>
      <c r="G71" s="302"/>
      <c r="H71" s="323"/>
      <c r="I71" s="302"/>
      <c r="J71" s="323"/>
      <c r="K71" s="302"/>
      <c r="L71" s="303"/>
      <c r="M71" s="293"/>
      <c r="N71" s="303"/>
      <c r="O71" s="302"/>
      <c r="P71" s="303"/>
      <c r="Q71" s="302"/>
      <c r="R71" s="303"/>
      <c r="S71" s="382"/>
      <c r="T71" s="377"/>
      <c r="U71" s="319"/>
      <c r="V71" s="319"/>
      <c r="W71" s="319"/>
      <c r="X71" s="319"/>
      <c r="Y71" s="302"/>
      <c r="Z71" s="303"/>
      <c r="AA71" s="292"/>
      <c r="AL71" s="274">
        <v>9</v>
      </c>
      <c r="AM71" s="265" t="s">
        <v>783</v>
      </c>
      <c r="AN71" s="272">
        <f>AV76</f>
        <v>0</v>
      </c>
      <c r="AS71" s="265" t="s">
        <v>779</v>
      </c>
      <c r="AV71" s="373"/>
      <c r="BL71" s="399" t="s">
        <v>777</v>
      </c>
    </row>
    <row r="72" spans="2:64" x14ac:dyDescent="0.25">
      <c r="B72" s="230"/>
      <c r="C72" s="232"/>
      <c r="D72" s="233"/>
      <c r="E72" s="233"/>
      <c r="F72" s="282"/>
      <c r="G72" s="302"/>
      <c r="H72" s="323"/>
      <c r="I72" s="302"/>
      <c r="J72" s="323"/>
      <c r="K72" s="302"/>
      <c r="L72" s="303"/>
      <c r="M72" s="293"/>
      <c r="N72" s="303"/>
      <c r="O72" s="302"/>
      <c r="P72" s="303"/>
      <c r="Q72" s="302"/>
      <c r="R72" s="303"/>
      <c r="S72" s="382"/>
      <c r="T72" s="377"/>
      <c r="U72" s="319"/>
      <c r="V72" s="319"/>
      <c r="W72" s="319"/>
      <c r="X72" s="319"/>
      <c r="Y72" s="302"/>
      <c r="Z72" s="303"/>
      <c r="AA72" s="292"/>
      <c r="AM72" s="265" t="str">
        <f>IF(AN71-AO73&gt;0,"CR PPE - Cost","DR PPE - Cost")</f>
        <v>DR PPE - Cost</v>
      </c>
      <c r="AN72" s="272">
        <f>IF($AN$71-$AO$73&gt;0,0,$AO$73-$AN$71)</f>
        <v>0</v>
      </c>
      <c r="AO72" s="272">
        <f>IF($AN$71-$AO$73&lt;0,0,$AN$71-$AO$73)</f>
        <v>0</v>
      </c>
      <c r="BL72" s="399" t="s">
        <v>778</v>
      </c>
    </row>
    <row r="73" spans="2:64" x14ac:dyDescent="0.25">
      <c r="B73" s="230" t="s">
        <v>703</v>
      </c>
      <c r="C73" s="232"/>
      <c r="D73" s="247"/>
      <c r="E73" s="247"/>
      <c r="F73" s="351">
        <f>SUM(D73:E73)</f>
        <v>0</v>
      </c>
      <c r="G73" s="302"/>
      <c r="H73" s="323"/>
      <c r="I73" s="302"/>
      <c r="J73" s="323"/>
      <c r="K73" s="302"/>
      <c r="L73" s="303"/>
      <c r="M73" s="293"/>
      <c r="N73" s="303"/>
      <c r="O73" s="302"/>
      <c r="P73" s="303"/>
      <c r="Q73" s="302"/>
      <c r="R73" s="303"/>
      <c r="S73" s="382"/>
      <c r="T73" s="377"/>
      <c r="U73" s="319"/>
      <c r="V73" s="319"/>
      <c r="W73" s="319"/>
      <c r="X73" s="319"/>
      <c r="Y73" s="302"/>
      <c r="Z73" s="303"/>
      <c r="AA73" s="309">
        <f>F73+G73+G74+G75-H75-H74-H73</f>
        <v>0</v>
      </c>
      <c r="AM73" s="265" t="s">
        <v>784</v>
      </c>
      <c r="AO73" s="272">
        <f>AV74</f>
        <v>0</v>
      </c>
      <c r="AS73" s="265" t="s">
        <v>177</v>
      </c>
      <c r="AV73" s="264"/>
      <c r="BL73" s="399" t="s">
        <v>794</v>
      </c>
    </row>
    <row r="74" spans="2:64" x14ac:dyDescent="0.25">
      <c r="B74" s="230"/>
      <c r="C74" s="232"/>
      <c r="D74" s="233"/>
      <c r="E74" s="233"/>
      <c r="F74" s="282"/>
      <c r="G74" s="302"/>
      <c r="H74" s="323"/>
      <c r="I74" s="302"/>
      <c r="J74" s="323"/>
      <c r="K74" s="302"/>
      <c r="L74" s="303"/>
      <c r="M74" s="293"/>
      <c r="N74" s="303"/>
      <c r="O74" s="302"/>
      <c r="P74" s="303"/>
      <c r="Q74" s="302"/>
      <c r="R74" s="303"/>
      <c r="S74" s="382"/>
      <c r="T74" s="377"/>
      <c r="U74" s="319"/>
      <c r="V74" s="319"/>
      <c r="W74" s="319"/>
      <c r="X74" s="319"/>
      <c r="Y74" s="302"/>
      <c r="Z74" s="303"/>
      <c r="AA74" s="292"/>
      <c r="AS74" s="265" t="s">
        <v>788</v>
      </c>
      <c r="AV74" s="264"/>
    </row>
    <row r="75" spans="2:64" x14ac:dyDescent="0.25">
      <c r="B75" s="230"/>
      <c r="C75" s="232"/>
      <c r="D75" s="233"/>
      <c r="E75" s="233"/>
      <c r="F75" s="282"/>
      <c r="G75" s="302"/>
      <c r="H75" s="323"/>
      <c r="I75" s="302"/>
      <c r="J75" s="323"/>
      <c r="K75" s="302"/>
      <c r="L75" s="303"/>
      <c r="M75" s="293"/>
      <c r="N75" s="303"/>
      <c r="O75" s="302"/>
      <c r="P75" s="303"/>
      <c r="Q75" s="302"/>
      <c r="R75" s="303"/>
      <c r="S75" s="382"/>
      <c r="T75" s="377"/>
      <c r="U75" s="319"/>
      <c r="V75" s="319"/>
      <c r="W75" s="319"/>
      <c r="X75" s="319"/>
      <c r="Y75" s="302"/>
      <c r="Z75" s="303"/>
      <c r="AA75" s="292"/>
      <c r="AM75" s="265" t="s">
        <v>803</v>
      </c>
      <c r="AN75" s="272">
        <f>AV77</f>
        <v>0</v>
      </c>
      <c r="AS75" s="265" t="s">
        <v>780</v>
      </c>
      <c r="AV75" s="374">
        <f>AV73-AV74</f>
        <v>0</v>
      </c>
    </row>
    <row r="76" spans="2:64" x14ac:dyDescent="0.25">
      <c r="B76" s="230" t="s">
        <v>704</v>
      </c>
      <c r="C76" s="232"/>
      <c r="D76" s="247"/>
      <c r="E76" s="247"/>
      <c r="F76" s="351">
        <f>SUM(D76:E76)</f>
        <v>0</v>
      </c>
      <c r="G76" s="302"/>
      <c r="H76" s="323"/>
      <c r="I76" s="302"/>
      <c r="J76" s="323"/>
      <c r="K76" s="302"/>
      <c r="L76" s="303"/>
      <c r="M76" s="293"/>
      <c r="N76" s="303"/>
      <c r="O76" s="302">
        <f>SUMIF($AM$18:$AM$20,"DR SPL - Impairment loss",$AN$18:$AN$20)</f>
        <v>0</v>
      </c>
      <c r="P76" s="303">
        <f>SUMIF($AM$18:$AM$20,"CR SPL - Impairment loss",$AN$18:$AN$20)</f>
        <v>0</v>
      </c>
      <c r="Q76" s="302">
        <f>SUMIF($AM$46:$AM$50,"DR SPL - Impairment loss",$AN$46:$AN$50)</f>
        <v>0</v>
      </c>
      <c r="R76" s="303">
        <f>SUMIF($AM$46:$AM$50,"CR SPL - Impairment loss",$AN$46:$AN$50)</f>
        <v>0</v>
      </c>
      <c r="S76" s="382"/>
      <c r="T76" s="377"/>
      <c r="U76" s="319"/>
      <c r="V76" s="319"/>
      <c r="W76" s="319">
        <f>SUMIF($AM$71:$AM$82,"DR SPL - depreciation charge",AN$71:AN$82)</f>
        <v>0</v>
      </c>
      <c r="X76" s="319">
        <f>SUMIF($AM$71:$AM$82,"CR SPL - depreciation charge",AO$71:AO$82)</f>
        <v>0</v>
      </c>
      <c r="Y76" s="302"/>
      <c r="Z76" s="303"/>
      <c r="AA76" s="309">
        <f>F76+SUM(G76:Z76)</f>
        <v>0</v>
      </c>
      <c r="AM76" s="265" t="s">
        <v>804</v>
      </c>
      <c r="AO76" s="272">
        <f>AV77</f>
        <v>0</v>
      </c>
      <c r="AS76" s="265" t="s">
        <v>782</v>
      </c>
      <c r="AV76" s="361">
        <f>AV71-AV75</f>
        <v>0</v>
      </c>
    </row>
    <row r="77" spans="2:64" ht="15.75" x14ac:dyDescent="0.25">
      <c r="B77" s="230"/>
      <c r="C77" s="232"/>
      <c r="D77" s="233"/>
      <c r="E77" s="233"/>
      <c r="F77" s="282"/>
      <c r="G77" s="302"/>
      <c r="H77" s="323"/>
      <c r="I77" s="302"/>
      <c r="J77" s="323"/>
      <c r="K77" s="302"/>
      <c r="L77" s="303"/>
      <c r="M77" s="293"/>
      <c r="N77" s="303"/>
      <c r="O77" s="302"/>
      <c r="P77" s="303"/>
      <c r="Q77" s="302"/>
      <c r="R77" s="303"/>
      <c r="S77" s="382"/>
      <c r="T77" s="377"/>
      <c r="U77" s="319"/>
      <c r="V77" s="319"/>
      <c r="W77" s="319"/>
      <c r="X77" s="319"/>
      <c r="Y77" s="302"/>
      <c r="Z77" s="303"/>
      <c r="AA77" s="292"/>
      <c r="AS77" s="266" t="s">
        <v>802</v>
      </c>
      <c r="AV77" s="272">
        <f>AV76*AV6</f>
        <v>0</v>
      </c>
    </row>
    <row r="78" spans="2:64" x14ac:dyDescent="0.25">
      <c r="B78" s="230"/>
      <c r="C78" s="232"/>
      <c r="D78" s="233"/>
      <c r="E78" s="233"/>
      <c r="F78" s="282"/>
      <c r="G78" s="302"/>
      <c r="H78" s="323"/>
      <c r="I78" s="302"/>
      <c r="J78" s="323"/>
      <c r="K78" s="302"/>
      <c r="L78" s="303"/>
      <c r="M78" s="293"/>
      <c r="N78" s="303"/>
      <c r="O78" s="302"/>
      <c r="P78" s="303"/>
      <c r="Q78" s="302"/>
      <c r="R78" s="303"/>
      <c r="S78" s="382"/>
      <c r="T78" s="377"/>
      <c r="U78" s="319"/>
      <c r="V78" s="319"/>
      <c r="W78" s="319"/>
      <c r="X78" s="319"/>
      <c r="Y78" s="302"/>
      <c r="Z78" s="303"/>
      <c r="AA78" s="292"/>
      <c r="AM78" s="265" t="s">
        <v>790</v>
      </c>
      <c r="AN78" s="272">
        <f>AV80</f>
        <v>0</v>
      </c>
      <c r="AS78" s="265" t="s">
        <v>785</v>
      </c>
      <c r="AV78" s="264"/>
    </row>
    <row r="79" spans="2:64" x14ac:dyDescent="0.25">
      <c r="B79" s="230"/>
      <c r="C79" s="232"/>
      <c r="D79" s="233"/>
      <c r="E79" s="233"/>
      <c r="F79" s="282"/>
      <c r="G79" s="302"/>
      <c r="H79" s="323"/>
      <c r="I79" s="302"/>
      <c r="J79" s="323"/>
      <c r="K79" s="302"/>
      <c r="L79" s="303"/>
      <c r="M79" s="293"/>
      <c r="N79" s="303"/>
      <c r="O79" s="302"/>
      <c r="P79" s="303"/>
      <c r="Q79" s="302"/>
      <c r="R79" s="303"/>
      <c r="S79" s="382"/>
      <c r="T79" s="377"/>
      <c r="U79" s="319"/>
      <c r="V79" s="319"/>
      <c r="W79" s="319"/>
      <c r="X79" s="319"/>
      <c r="Y79" s="302"/>
      <c r="Z79" s="303"/>
      <c r="AA79" s="292"/>
      <c r="AM79" s="265" t="s">
        <v>791</v>
      </c>
      <c r="AO79" s="272">
        <f>AV80</f>
        <v>0</v>
      </c>
      <c r="AS79" s="265" t="s">
        <v>786</v>
      </c>
      <c r="AV79" s="264"/>
    </row>
    <row r="80" spans="2:64" x14ac:dyDescent="0.25">
      <c r="B80" s="230"/>
      <c r="C80" s="232"/>
      <c r="D80" s="233"/>
      <c r="E80" s="233"/>
      <c r="F80" s="282"/>
      <c r="G80" s="302"/>
      <c r="H80" s="323"/>
      <c r="I80" s="302"/>
      <c r="J80" s="323"/>
      <c r="K80" s="302"/>
      <c r="L80" s="303"/>
      <c r="M80" s="293"/>
      <c r="N80" s="303"/>
      <c r="O80" s="302"/>
      <c r="P80" s="303"/>
      <c r="Q80" s="302"/>
      <c r="R80" s="303"/>
      <c r="S80" s="382"/>
      <c r="T80" s="377"/>
      <c r="U80" s="319"/>
      <c r="V80" s="319"/>
      <c r="W80" s="319"/>
      <c r="X80" s="319"/>
      <c r="Y80" s="302"/>
      <c r="Z80" s="303"/>
      <c r="AA80" s="292"/>
      <c r="AS80" s="265" t="s">
        <v>787</v>
      </c>
      <c r="AV80" s="374">
        <f>AV78-AV79</f>
        <v>0</v>
      </c>
    </row>
    <row r="81" spans="2:48" ht="16.5" thickBot="1" x14ac:dyDescent="0.3">
      <c r="B81" s="230" t="s">
        <v>705</v>
      </c>
      <c r="C81" s="232"/>
      <c r="D81" s="234"/>
      <c r="E81" s="234"/>
      <c r="F81" s="283">
        <f>SUM(D81:E81)</f>
        <v>0</v>
      </c>
      <c r="G81" s="302"/>
      <c r="H81" s="323"/>
      <c r="I81" s="302"/>
      <c r="J81" s="323"/>
      <c r="K81" s="302"/>
      <c r="L81" s="303"/>
      <c r="M81" s="293"/>
      <c r="N81" s="303"/>
      <c r="O81" s="302"/>
      <c r="P81" s="303"/>
      <c r="Q81" s="302"/>
      <c r="R81" s="303"/>
      <c r="S81" s="382"/>
      <c r="T81" s="377"/>
      <c r="U81" s="319"/>
      <c r="V81" s="319"/>
      <c r="W81" s="319"/>
      <c r="X81" s="319"/>
      <c r="Y81" s="302"/>
      <c r="Z81" s="303"/>
      <c r="AA81" s="309">
        <f>F81+G81+G82+G83-H83-H82-H81</f>
        <v>0</v>
      </c>
      <c r="AM81" s="265" t="s">
        <v>792</v>
      </c>
      <c r="AN81" s="272">
        <f>AV81</f>
        <v>0</v>
      </c>
      <c r="AS81" s="266" t="s">
        <v>789</v>
      </c>
      <c r="AV81" s="375">
        <f>IF(AS70="Parent -&gt; Sub",AV80*AV6,0)</f>
        <v>0</v>
      </c>
    </row>
    <row r="82" spans="2:48" ht="15.75" thickTop="1" x14ac:dyDescent="0.25">
      <c r="B82" s="230"/>
      <c r="C82" s="232"/>
      <c r="D82" s="233"/>
      <c r="E82" s="233"/>
      <c r="F82" s="282"/>
      <c r="G82" s="302"/>
      <c r="H82" s="323"/>
      <c r="I82" s="302"/>
      <c r="J82" s="323"/>
      <c r="K82" s="302"/>
      <c r="L82" s="303"/>
      <c r="M82" s="293"/>
      <c r="N82" s="303"/>
      <c r="O82" s="302"/>
      <c r="P82" s="303"/>
      <c r="Q82" s="302"/>
      <c r="R82" s="303"/>
      <c r="S82" s="382"/>
      <c r="T82" s="377"/>
      <c r="U82" s="319"/>
      <c r="V82" s="319"/>
      <c r="W82" s="319"/>
      <c r="X82" s="319"/>
      <c r="Y82" s="302"/>
      <c r="Z82" s="303"/>
      <c r="AA82" s="292"/>
      <c r="AM82" s="265" t="s">
        <v>682</v>
      </c>
      <c r="AO82" s="272">
        <f>AV81</f>
        <v>0</v>
      </c>
    </row>
    <row r="83" spans="2:48" ht="15.75" thickBot="1" x14ac:dyDescent="0.3">
      <c r="B83" s="230"/>
      <c r="C83" s="232"/>
      <c r="D83" s="233"/>
      <c r="E83" s="233"/>
      <c r="F83" s="282"/>
      <c r="G83" s="302"/>
      <c r="H83" s="323"/>
      <c r="I83" s="302"/>
      <c r="J83" s="323"/>
      <c r="K83" s="302"/>
      <c r="L83" s="303"/>
      <c r="M83" s="293"/>
      <c r="N83" s="303"/>
      <c r="O83" s="302"/>
      <c r="P83" s="303"/>
      <c r="Q83" s="302"/>
      <c r="R83" s="303"/>
      <c r="S83" s="382"/>
      <c r="T83" s="377"/>
      <c r="U83" s="319"/>
      <c r="V83" s="319"/>
      <c r="W83" s="319"/>
      <c r="X83" s="319"/>
      <c r="Y83" s="302"/>
      <c r="Z83" s="303"/>
      <c r="AA83" s="292"/>
    </row>
    <row r="84" spans="2:48" ht="16.5" thickBot="1" x14ac:dyDescent="0.3">
      <c r="B84" s="230" t="s">
        <v>613</v>
      </c>
      <c r="C84" s="232"/>
      <c r="D84" s="247"/>
      <c r="E84" s="247"/>
      <c r="F84" s="351">
        <f>SUM(D84:E84)</f>
        <v>0</v>
      </c>
      <c r="G84" s="302"/>
      <c r="H84" s="323"/>
      <c r="I84" s="302"/>
      <c r="J84" s="323"/>
      <c r="K84" s="302"/>
      <c r="L84" s="303"/>
      <c r="M84" s="293"/>
      <c r="N84" s="303"/>
      <c r="O84" s="302"/>
      <c r="P84" s="303"/>
      <c r="Q84" s="302"/>
      <c r="R84" s="303"/>
      <c r="S84" s="382"/>
      <c r="T84" s="377"/>
      <c r="U84" s="319"/>
      <c r="V84" s="319"/>
      <c r="W84" s="319"/>
      <c r="X84" s="319"/>
      <c r="Y84" s="302"/>
      <c r="Z84" s="303"/>
      <c r="AA84" s="309">
        <f>F84+G84+G85+G86-H86-H85-H84</f>
        <v>0</v>
      </c>
      <c r="AL84" s="274">
        <v>10</v>
      </c>
      <c r="AM84" s="265" t="str">
        <f>IF(AN84&lt;&gt;0,"DR Retained earnings","CR Retained earnings")</f>
        <v>CR Retained earnings</v>
      </c>
      <c r="AN84" s="273">
        <f>IF($AV$91&gt;0,$AV$91,0)</f>
        <v>0</v>
      </c>
      <c r="AO84" s="273">
        <f>IF($AV$91&lt;0,-$AV$91,0)</f>
        <v>205.8</v>
      </c>
      <c r="AS84" s="266" t="s">
        <v>698</v>
      </c>
    </row>
    <row r="85" spans="2:48" x14ac:dyDescent="0.25">
      <c r="B85" s="230"/>
      <c r="C85" s="232"/>
      <c r="D85" s="233"/>
      <c r="E85" s="233"/>
      <c r="F85" s="282"/>
      <c r="G85" s="302"/>
      <c r="H85" s="323"/>
      <c r="I85" s="302"/>
      <c r="J85" s="323"/>
      <c r="K85" s="302"/>
      <c r="L85" s="303"/>
      <c r="M85" s="293"/>
      <c r="N85" s="303"/>
      <c r="O85" s="302"/>
      <c r="P85" s="303"/>
      <c r="Q85" s="302"/>
      <c r="R85" s="303"/>
      <c r="S85" s="382"/>
      <c r="T85" s="377"/>
      <c r="U85" s="319"/>
      <c r="V85" s="319"/>
      <c r="W85" s="319"/>
      <c r="X85" s="319"/>
      <c r="Y85" s="302"/>
      <c r="Z85" s="303"/>
      <c r="AA85" s="292"/>
      <c r="AM85" s="265" t="str">
        <f>IF(AN85&lt;&gt;0,"DR SPL","CR SPL")</f>
        <v>DR SPL</v>
      </c>
      <c r="AN85" s="273">
        <f>IF($AV$91&lt;0,-$AV$91,0)</f>
        <v>205.8</v>
      </c>
      <c r="AO85" s="273">
        <f>IF($AV$91&gt;0,$AV$91,0)</f>
        <v>0</v>
      </c>
      <c r="AS85" s="265" t="s">
        <v>696</v>
      </c>
      <c r="AV85" s="272">
        <f>AV19</f>
        <v>0</v>
      </c>
    </row>
    <row r="86" spans="2:48" x14ac:dyDescent="0.25">
      <c r="B86" s="230"/>
      <c r="C86" s="232"/>
      <c r="D86" s="233"/>
      <c r="E86" s="233"/>
      <c r="F86" s="282"/>
      <c r="G86" s="302"/>
      <c r="H86" s="323"/>
      <c r="I86" s="302"/>
      <c r="J86" s="323"/>
      <c r="K86" s="302"/>
      <c r="L86" s="303"/>
      <c r="M86" s="293"/>
      <c r="N86" s="303"/>
      <c r="O86" s="302"/>
      <c r="P86" s="303"/>
      <c r="Q86" s="302"/>
      <c r="R86" s="303"/>
      <c r="S86" s="382"/>
      <c r="T86" s="377"/>
      <c r="U86" s="319"/>
      <c r="V86" s="319"/>
      <c r="W86" s="319"/>
      <c r="X86" s="319"/>
      <c r="Y86" s="302"/>
      <c r="Z86" s="303"/>
      <c r="AA86" s="292"/>
      <c r="AS86" s="265" t="s">
        <v>697</v>
      </c>
      <c r="AV86" s="273">
        <f>AV36</f>
        <v>-205.8</v>
      </c>
    </row>
    <row r="87" spans="2:48" x14ac:dyDescent="0.25">
      <c r="B87" s="230" t="s">
        <v>629</v>
      </c>
      <c r="C87" s="232"/>
      <c r="D87" s="234"/>
      <c r="E87" s="234"/>
      <c r="F87" s="283">
        <f>SUM(D87:E87)</f>
        <v>0</v>
      </c>
      <c r="G87" s="302"/>
      <c r="H87" s="323"/>
      <c r="I87" s="302"/>
      <c r="J87" s="323"/>
      <c r="K87" s="302"/>
      <c r="L87" s="303"/>
      <c r="M87" s="293"/>
      <c r="N87" s="303"/>
      <c r="O87" s="302">
        <f>SUMIF($AM$39:$AM$43,"DR Finance Income",$AN$39:$AN$43)</f>
        <v>0</v>
      </c>
      <c r="P87" s="303">
        <f>-SUMIF($AM$39:$AM$43,"CR Finance Income",$AO$39:$AO$43)</f>
        <v>0</v>
      </c>
      <c r="Q87" s="302">
        <f>SUMIF($AM$46:$AM$50,"DR Finance Income",$AN$46:$AN$50)</f>
        <v>0</v>
      </c>
      <c r="R87" s="303">
        <f>-SUMIF($AM$46:$AM$50,"CR Finance Income",$AO$46:$AO$50)</f>
        <v>0</v>
      </c>
      <c r="S87" s="382"/>
      <c r="T87" s="377"/>
      <c r="U87" s="319"/>
      <c r="V87" s="319"/>
      <c r="W87" s="319"/>
      <c r="X87" s="319"/>
      <c r="Y87" s="302"/>
      <c r="Z87" s="303"/>
      <c r="AA87" s="309">
        <f>F87-SUM(G87:Z87)</f>
        <v>0</v>
      </c>
      <c r="AS87" s="265" t="s">
        <v>799</v>
      </c>
      <c r="AV87" s="273">
        <f>AV49</f>
        <v>0</v>
      </c>
    </row>
    <row r="88" spans="2:48" x14ac:dyDescent="0.25">
      <c r="B88" s="230"/>
      <c r="C88" s="232"/>
      <c r="D88" s="233"/>
      <c r="E88" s="233"/>
      <c r="F88" s="282"/>
      <c r="G88" s="302"/>
      <c r="H88" s="323"/>
      <c r="I88" s="302"/>
      <c r="J88" s="323"/>
      <c r="K88" s="302"/>
      <c r="L88" s="303"/>
      <c r="M88" s="293"/>
      <c r="N88" s="303"/>
      <c r="O88" s="302"/>
      <c r="P88" s="303"/>
      <c r="Q88" s="302"/>
      <c r="R88" s="303"/>
      <c r="S88" s="382"/>
      <c r="T88" s="377"/>
      <c r="U88" s="319"/>
      <c r="V88" s="319"/>
      <c r="W88" s="319"/>
      <c r="X88" s="319"/>
      <c r="Y88" s="302"/>
      <c r="Z88" s="303"/>
      <c r="AA88" s="292"/>
      <c r="AS88" s="265" t="s">
        <v>770</v>
      </c>
      <c r="AV88" s="272">
        <f>AN54-AO55</f>
        <v>0</v>
      </c>
    </row>
    <row r="89" spans="2:48" x14ac:dyDescent="0.25">
      <c r="B89" s="230"/>
      <c r="C89" s="232"/>
      <c r="D89" s="248"/>
      <c r="E89" s="248"/>
      <c r="F89" s="352"/>
      <c r="G89" s="302"/>
      <c r="H89" s="323"/>
      <c r="I89" s="302"/>
      <c r="J89" s="323"/>
      <c r="K89" s="302"/>
      <c r="L89" s="303"/>
      <c r="M89" s="293"/>
      <c r="N89" s="303"/>
      <c r="O89" s="302"/>
      <c r="P89" s="303"/>
      <c r="Q89" s="302"/>
      <c r="R89" s="303"/>
      <c r="S89" s="382"/>
      <c r="T89" s="377"/>
      <c r="U89" s="319"/>
      <c r="V89" s="319"/>
      <c r="W89" s="319"/>
      <c r="X89" s="319"/>
      <c r="Y89" s="302"/>
      <c r="Z89" s="303"/>
      <c r="AA89" s="331"/>
      <c r="AS89" s="265" t="s">
        <v>798</v>
      </c>
      <c r="AV89" s="272">
        <f>AN56</f>
        <v>0</v>
      </c>
    </row>
    <row r="90" spans="2:48" ht="15.75" x14ac:dyDescent="0.25">
      <c r="B90" s="227" t="s">
        <v>706</v>
      </c>
      <c r="C90" s="232" t="s">
        <v>707</v>
      </c>
      <c r="D90" s="241">
        <f>D69+D70-D73-D76-D81-D84+D87</f>
        <v>0</v>
      </c>
      <c r="E90" s="241">
        <f>E69+E70-E73-E76-E81-E84+E87</f>
        <v>0</v>
      </c>
      <c r="F90" s="289">
        <f>F69+F70-F73-F76-F81-F84+F87</f>
        <v>0</v>
      </c>
      <c r="G90" s="300"/>
      <c r="H90" s="282"/>
      <c r="I90" s="300"/>
      <c r="J90" s="282"/>
      <c r="K90" s="300"/>
      <c r="L90" s="301"/>
      <c r="M90" s="292"/>
      <c r="N90" s="301"/>
      <c r="O90" s="300"/>
      <c r="P90" s="301"/>
      <c r="Q90" s="300"/>
      <c r="R90" s="301"/>
      <c r="S90" s="380"/>
      <c r="T90" s="381"/>
      <c r="U90" s="318"/>
      <c r="V90" s="318"/>
      <c r="W90" s="318"/>
      <c r="X90" s="318"/>
      <c r="Y90" s="300"/>
      <c r="Z90" s="301"/>
      <c r="AA90" s="313">
        <f>AA69+AA70-AA73-AA76-AA81-AA84+AA87</f>
        <v>0</v>
      </c>
      <c r="AS90" s="265" t="s">
        <v>771</v>
      </c>
      <c r="AV90" s="272">
        <f>-AO61</f>
        <v>0</v>
      </c>
    </row>
    <row r="91" spans="2:48" ht="15.75" thickBot="1" x14ac:dyDescent="0.3">
      <c r="B91" s="230" t="s">
        <v>1</v>
      </c>
      <c r="C91" s="232" t="s">
        <v>708</v>
      </c>
      <c r="D91" s="249"/>
      <c r="E91" s="249"/>
      <c r="F91" s="353">
        <f>SUM(D91:E91)</f>
        <v>0</v>
      </c>
      <c r="G91" s="341"/>
      <c r="H91" s="324"/>
      <c r="I91" s="341"/>
      <c r="J91" s="324"/>
      <c r="K91" s="341"/>
      <c r="L91" s="342"/>
      <c r="M91" s="358"/>
      <c r="N91" s="342"/>
      <c r="O91" s="341"/>
      <c r="P91" s="342"/>
      <c r="Q91" s="341"/>
      <c r="R91" s="342"/>
      <c r="S91" s="402"/>
      <c r="T91" s="403"/>
      <c r="U91" s="366"/>
      <c r="V91" s="366"/>
      <c r="W91" s="366"/>
      <c r="X91" s="366"/>
      <c r="Y91" s="341"/>
      <c r="Z91" s="342"/>
      <c r="AA91" s="332">
        <f>F91+G91+G92+G93-H93-H92-H91</f>
        <v>0</v>
      </c>
      <c r="AV91" s="279">
        <f>SUM(AV85:AV90)</f>
        <v>-205.8</v>
      </c>
    </row>
    <row r="92" spans="2:48" ht="15.75" thickTop="1" x14ac:dyDescent="0.25">
      <c r="B92" s="250"/>
      <c r="C92" s="232"/>
      <c r="D92" s="237"/>
      <c r="E92" s="237"/>
      <c r="F92" s="286"/>
      <c r="G92" s="341"/>
      <c r="H92" s="324"/>
      <c r="I92" s="341"/>
      <c r="J92" s="324"/>
      <c r="K92" s="341"/>
      <c r="L92" s="342"/>
      <c r="M92" s="358"/>
      <c r="N92" s="342"/>
      <c r="O92" s="341"/>
      <c r="P92" s="342"/>
      <c r="Q92" s="341"/>
      <c r="R92" s="342"/>
      <c r="S92" s="402"/>
      <c r="T92" s="403"/>
      <c r="U92" s="366"/>
      <c r="V92" s="366"/>
      <c r="W92" s="366"/>
      <c r="X92" s="366"/>
      <c r="Y92" s="341"/>
      <c r="Z92" s="342"/>
      <c r="AA92" s="295"/>
    </row>
    <row r="93" spans="2:48" ht="15.75" thickBot="1" x14ac:dyDescent="0.3">
      <c r="B93" s="250"/>
      <c r="C93" s="232"/>
      <c r="D93" s="233"/>
      <c r="E93" s="233"/>
      <c r="F93" s="282"/>
      <c r="G93" s="341"/>
      <c r="H93" s="324"/>
      <c r="I93" s="341"/>
      <c r="J93" s="324"/>
      <c r="K93" s="341"/>
      <c r="L93" s="342"/>
      <c r="M93" s="358"/>
      <c r="N93" s="342"/>
      <c r="O93" s="341"/>
      <c r="P93" s="342"/>
      <c r="Q93" s="341"/>
      <c r="R93" s="342"/>
      <c r="S93" s="402"/>
      <c r="T93" s="403"/>
      <c r="U93" s="366"/>
      <c r="V93" s="366"/>
      <c r="W93" s="366"/>
      <c r="X93" s="366"/>
      <c r="Y93" s="341"/>
      <c r="Z93" s="342"/>
      <c r="AA93" s="292"/>
    </row>
    <row r="94" spans="2:48" ht="16.5" thickBot="1" x14ac:dyDescent="0.3">
      <c r="B94" s="251" t="s">
        <v>709</v>
      </c>
      <c r="C94" s="232" t="s">
        <v>707</v>
      </c>
      <c r="D94" s="252">
        <f>D90-D91</f>
        <v>0</v>
      </c>
      <c r="E94" s="252">
        <f>E90-E91</f>
        <v>0</v>
      </c>
      <c r="F94" s="354">
        <f>F90-F91</f>
        <v>0</v>
      </c>
      <c r="G94" s="343"/>
      <c r="H94" s="325"/>
      <c r="I94" s="343"/>
      <c r="J94" s="325"/>
      <c r="K94" s="343"/>
      <c r="L94" s="344"/>
      <c r="M94" s="359"/>
      <c r="N94" s="344"/>
      <c r="O94" s="343"/>
      <c r="P94" s="344"/>
      <c r="Q94" s="343"/>
      <c r="R94" s="344"/>
      <c r="S94" s="404"/>
      <c r="T94" s="405"/>
      <c r="U94" s="367"/>
      <c r="V94" s="367"/>
      <c r="W94" s="367"/>
      <c r="X94" s="367"/>
      <c r="Y94" s="343"/>
      <c r="Z94" s="344"/>
      <c r="AA94" s="314">
        <f>AA90-AA91</f>
        <v>0</v>
      </c>
      <c r="AL94" s="274">
        <v>10</v>
      </c>
      <c r="AM94" s="265" t="s">
        <v>273</v>
      </c>
      <c r="AN94" s="272">
        <f>AV95</f>
        <v>3000</v>
      </c>
      <c r="AO94" s="272"/>
      <c r="AS94" s="266" t="s">
        <v>818</v>
      </c>
    </row>
    <row r="95" spans="2:48" x14ac:dyDescent="0.25">
      <c r="B95" s="230" t="s">
        <v>710</v>
      </c>
      <c r="C95" s="232" t="s">
        <v>711</v>
      </c>
      <c r="D95" s="253"/>
      <c r="E95" s="253"/>
      <c r="F95" s="355">
        <f>SUM(D95:E95)</f>
        <v>0</v>
      </c>
      <c r="G95" s="345"/>
      <c r="H95" s="326"/>
      <c r="I95" s="345"/>
      <c r="J95" s="326"/>
      <c r="K95" s="345"/>
      <c r="L95" s="346"/>
      <c r="M95" s="360"/>
      <c r="N95" s="346"/>
      <c r="O95" s="345"/>
      <c r="P95" s="346"/>
      <c r="Q95" s="345"/>
      <c r="R95" s="346"/>
      <c r="S95" s="406"/>
      <c r="T95" s="407"/>
      <c r="U95" s="369"/>
      <c r="V95" s="369"/>
      <c r="W95" s="369"/>
      <c r="X95" s="369"/>
      <c r="Y95" s="345"/>
      <c r="Z95" s="346"/>
      <c r="AA95" s="333">
        <f>F95+G95-H95</f>
        <v>0</v>
      </c>
      <c r="AM95" s="265" t="s">
        <v>820</v>
      </c>
      <c r="AN95" s="272">
        <f>AV98</f>
        <v>836.80000000000007</v>
      </c>
      <c r="AO95" s="272"/>
      <c r="AS95" s="265" t="s">
        <v>150</v>
      </c>
      <c r="AV95" s="264">
        <v>3000</v>
      </c>
    </row>
    <row r="96" spans="2:48" ht="15.75" x14ac:dyDescent="0.25">
      <c r="B96" s="227" t="s">
        <v>712</v>
      </c>
      <c r="C96" s="232" t="s">
        <v>707</v>
      </c>
      <c r="D96" s="255">
        <f>D94-D95</f>
        <v>0</v>
      </c>
      <c r="E96" s="255">
        <f>E94-E95</f>
        <v>0</v>
      </c>
      <c r="F96" s="356">
        <f>F94-F95</f>
        <v>0</v>
      </c>
      <c r="G96" s="347"/>
      <c r="H96" s="327"/>
      <c r="I96" s="347"/>
      <c r="J96" s="327"/>
      <c r="K96" s="347"/>
      <c r="L96" s="348"/>
      <c r="M96" s="335"/>
      <c r="N96" s="348"/>
      <c r="O96" s="347"/>
      <c r="P96" s="348"/>
      <c r="Q96" s="347"/>
      <c r="R96" s="348"/>
      <c r="S96" s="408"/>
      <c r="T96" s="409"/>
      <c r="U96" s="368"/>
      <c r="V96" s="368"/>
      <c r="W96" s="368"/>
      <c r="X96" s="368"/>
      <c r="Y96" s="347"/>
      <c r="Z96" s="348"/>
      <c r="AA96" s="334">
        <f>AA94-AA95</f>
        <v>0</v>
      </c>
      <c r="AM96" s="265" t="s">
        <v>686</v>
      </c>
      <c r="AN96" s="272"/>
      <c r="AO96" s="272">
        <f>AV96</f>
        <v>279.60000000000002</v>
      </c>
      <c r="AS96" s="265" t="s">
        <v>819</v>
      </c>
      <c r="AV96" s="420">
        <f>AV16-AV19-AV20</f>
        <v>279.60000000000002</v>
      </c>
    </row>
    <row r="97" spans="2:49" x14ac:dyDescent="0.25">
      <c r="B97" s="230"/>
      <c r="C97" s="232"/>
      <c r="D97" s="256"/>
      <c r="E97" s="256"/>
      <c r="F97" s="327"/>
      <c r="G97" s="347"/>
      <c r="H97" s="327"/>
      <c r="I97" s="347"/>
      <c r="J97" s="327"/>
      <c r="K97" s="347"/>
      <c r="L97" s="348"/>
      <c r="M97" s="335"/>
      <c r="N97" s="348"/>
      <c r="O97" s="347"/>
      <c r="P97" s="348"/>
      <c r="Q97" s="347"/>
      <c r="R97" s="348"/>
      <c r="S97" s="408"/>
      <c r="T97" s="409"/>
      <c r="U97" s="368"/>
      <c r="V97" s="368"/>
      <c r="W97" s="368"/>
      <c r="X97" s="368"/>
      <c r="Y97" s="347"/>
      <c r="Z97" s="348"/>
      <c r="AA97" s="335"/>
      <c r="AM97" s="265" t="s">
        <v>821</v>
      </c>
      <c r="AN97" s="272"/>
      <c r="AO97" s="272">
        <f>AV97</f>
        <v>4184</v>
      </c>
      <c r="AS97" s="265" t="s">
        <v>847</v>
      </c>
      <c r="AV97" s="264">
        <v>4184</v>
      </c>
    </row>
    <row r="98" spans="2:49" ht="25.5" customHeight="1" x14ac:dyDescent="0.25">
      <c r="B98" s="227" t="s">
        <v>3</v>
      </c>
      <c r="C98" s="232"/>
      <c r="D98" s="256"/>
      <c r="E98" s="256"/>
      <c r="F98" s="327"/>
      <c r="G98" s="347"/>
      <c r="H98" s="327"/>
      <c r="I98" s="347"/>
      <c r="J98" s="327"/>
      <c r="K98" s="347"/>
      <c r="L98" s="348"/>
      <c r="M98" s="335"/>
      <c r="N98" s="348"/>
      <c r="O98" s="347"/>
      <c r="P98" s="348"/>
      <c r="Q98" s="347"/>
      <c r="R98" s="348"/>
      <c r="S98" s="408"/>
      <c r="T98" s="409"/>
      <c r="U98" s="368"/>
      <c r="V98" s="368"/>
      <c r="W98" s="368"/>
      <c r="X98" s="368"/>
      <c r="Y98" s="347"/>
      <c r="Z98" s="348"/>
      <c r="AA98" s="335"/>
      <c r="AM98" s="265" t="str">
        <f>IF(AV100&gt;0,"CR SPL - gain on disposal","DR SPL - loss on disposal")</f>
        <v>DR SPL - loss on disposal</v>
      </c>
      <c r="AN98" s="272">
        <f>IF(AV100&lt;0,-AV100,0)</f>
        <v>626.79999999999973</v>
      </c>
      <c r="AO98" s="272">
        <f>IF(AV100&gt;0,AV100,0)</f>
        <v>0</v>
      </c>
      <c r="AS98" s="265" t="s">
        <v>849</v>
      </c>
      <c r="AV98" s="272">
        <f>AV97*AV6</f>
        <v>836.80000000000007</v>
      </c>
      <c r="AW98" s="399" t="s">
        <v>846</v>
      </c>
    </row>
    <row r="99" spans="2:49" ht="15.75" x14ac:dyDescent="0.25">
      <c r="B99" s="227" t="s">
        <v>4</v>
      </c>
      <c r="C99" s="232"/>
      <c r="D99" s="256"/>
      <c r="E99" s="256"/>
      <c r="F99" s="327"/>
      <c r="G99" s="347"/>
      <c r="H99" s="327"/>
      <c r="I99" s="347"/>
      <c r="J99" s="327"/>
      <c r="K99" s="347"/>
      <c r="L99" s="348"/>
      <c r="M99" s="335"/>
      <c r="N99" s="348"/>
      <c r="O99" s="347"/>
      <c r="P99" s="348"/>
      <c r="Q99" s="347"/>
      <c r="R99" s="348"/>
      <c r="S99" s="408"/>
      <c r="T99" s="409"/>
      <c r="U99" s="368"/>
      <c r="V99" s="368"/>
      <c r="W99" s="368"/>
      <c r="X99" s="368"/>
      <c r="Y99" s="347"/>
      <c r="Z99" s="348"/>
      <c r="AA99" s="335"/>
      <c r="AS99" s="265" t="s">
        <v>848</v>
      </c>
      <c r="AV99" s="420">
        <f>AV97-AV98</f>
        <v>3347.2</v>
      </c>
    </row>
    <row r="100" spans="2:49" ht="15.75" thickBot="1" x14ac:dyDescent="0.3">
      <c r="B100" s="230" t="s">
        <v>713</v>
      </c>
      <c r="C100" s="232" t="s">
        <v>714</v>
      </c>
      <c r="D100" s="242"/>
      <c r="E100" s="242"/>
      <c r="F100" s="290">
        <f>SUM(D100:E100)</f>
        <v>0</v>
      </c>
      <c r="G100" s="345"/>
      <c r="H100" s="326"/>
      <c r="I100" s="345"/>
      <c r="J100" s="326"/>
      <c r="K100" s="345"/>
      <c r="L100" s="346"/>
      <c r="M100" s="360"/>
      <c r="N100" s="346"/>
      <c r="O100" s="345"/>
      <c r="P100" s="346"/>
      <c r="Q100" s="345"/>
      <c r="R100" s="346"/>
      <c r="S100" s="406"/>
      <c r="T100" s="407"/>
      <c r="U100" s="369"/>
      <c r="V100" s="369"/>
      <c r="W100" s="369"/>
      <c r="X100" s="369"/>
      <c r="Y100" s="345"/>
      <c r="Z100" s="346"/>
      <c r="AA100" s="314">
        <f>F100-G100+H100</f>
        <v>0</v>
      </c>
      <c r="AS100" s="265" t="s">
        <v>853</v>
      </c>
      <c r="AV100" s="279">
        <f>AV95-AV96-AV99</f>
        <v>-626.79999999999973</v>
      </c>
    </row>
    <row r="101" spans="2:49" ht="15.75" thickTop="1" x14ac:dyDescent="0.25">
      <c r="B101" s="230" t="s">
        <v>715</v>
      </c>
      <c r="C101" s="232" t="s">
        <v>714</v>
      </c>
      <c r="D101" s="242"/>
      <c r="E101" s="242"/>
      <c r="F101" s="290">
        <f>SUM(D101:E101)</f>
        <v>0</v>
      </c>
      <c r="G101" s="345"/>
      <c r="H101" s="326"/>
      <c r="I101" s="345"/>
      <c r="J101" s="326"/>
      <c r="K101" s="345"/>
      <c r="L101" s="346"/>
      <c r="M101" s="360"/>
      <c r="N101" s="346"/>
      <c r="O101" s="345"/>
      <c r="P101" s="346"/>
      <c r="Q101" s="345"/>
      <c r="R101" s="346"/>
      <c r="S101" s="406"/>
      <c r="T101" s="407"/>
      <c r="U101" s="369"/>
      <c r="V101" s="369"/>
      <c r="W101" s="369"/>
      <c r="X101" s="369"/>
      <c r="Y101" s="345"/>
      <c r="Z101" s="346"/>
      <c r="AA101" s="314">
        <f>F101-G101+H101</f>
        <v>0</v>
      </c>
    </row>
    <row r="102" spans="2:49" ht="30" x14ac:dyDescent="0.25">
      <c r="B102" s="230" t="s">
        <v>716</v>
      </c>
      <c r="C102" s="232" t="s">
        <v>717</v>
      </c>
      <c r="D102" s="242"/>
      <c r="E102" s="242"/>
      <c r="F102" s="290">
        <f>SUM(D102:E102)</f>
        <v>0</v>
      </c>
      <c r="G102" s="345"/>
      <c r="H102" s="326"/>
      <c r="I102" s="345"/>
      <c r="J102" s="326"/>
      <c r="K102" s="345"/>
      <c r="L102" s="346"/>
      <c r="M102" s="360"/>
      <c r="N102" s="346"/>
      <c r="O102" s="345"/>
      <c r="P102" s="346"/>
      <c r="Q102" s="345"/>
      <c r="R102" s="346"/>
      <c r="S102" s="406"/>
      <c r="T102" s="407"/>
      <c r="U102" s="369"/>
      <c r="V102" s="369"/>
      <c r="W102" s="369"/>
      <c r="X102" s="369"/>
      <c r="Y102" s="345"/>
      <c r="Z102" s="346"/>
      <c r="AA102" s="314">
        <f>F102-G102+H102</f>
        <v>0</v>
      </c>
    </row>
    <row r="103" spans="2:49" x14ac:dyDescent="0.25">
      <c r="B103" s="230" t="s">
        <v>718</v>
      </c>
      <c r="C103" s="232" t="s">
        <v>708</v>
      </c>
      <c r="D103" s="253"/>
      <c r="E103" s="253"/>
      <c r="F103" s="355">
        <f>SUM(D103:E103)</f>
        <v>0</v>
      </c>
      <c r="G103" s="345"/>
      <c r="H103" s="326"/>
      <c r="I103" s="345"/>
      <c r="J103" s="326"/>
      <c r="K103" s="345"/>
      <c r="L103" s="346"/>
      <c r="M103" s="360"/>
      <c r="N103" s="346"/>
      <c r="O103" s="345"/>
      <c r="P103" s="346"/>
      <c r="Q103" s="345"/>
      <c r="R103" s="346"/>
      <c r="S103" s="406"/>
      <c r="T103" s="407"/>
      <c r="U103" s="369"/>
      <c r="V103" s="369"/>
      <c r="W103" s="369"/>
      <c r="X103" s="369"/>
      <c r="Y103" s="345"/>
      <c r="Z103" s="346"/>
      <c r="AA103" s="333">
        <f>F103+G103-H103</f>
        <v>0</v>
      </c>
    </row>
    <row r="104" spans="2:49" x14ac:dyDescent="0.25">
      <c r="B104" s="230"/>
      <c r="C104" s="232"/>
      <c r="D104" s="255">
        <f>D100+D101+D102-D103</f>
        <v>0</v>
      </c>
      <c r="E104" s="255">
        <f>E100+E101+E102-E103</f>
        <v>0</v>
      </c>
      <c r="F104" s="356">
        <f>F100+F101+F102-F103</f>
        <v>0</v>
      </c>
      <c r="G104" s="347"/>
      <c r="H104" s="327"/>
      <c r="I104" s="347"/>
      <c r="J104" s="327"/>
      <c r="K104" s="347"/>
      <c r="L104" s="348"/>
      <c r="M104" s="335"/>
      <c r="N104" s="348"/>
      <c r="O104" s="347"/>
      <c r="P104" s="348"/>
      <c r="Q104" s="347"/>
      <c r="R104" s="348"/>
      <c r="S104" s="408"/>
      <c r="T104" s="409"/>
      <c r="U104" s="368"/>
      <c r="V104" s="368"/>
      <c r="W104" s="368"/>
      <c r="X104" s="368"/>
      <c r="Y104" s="347"/>
      <c r="Z104" s="348"/>
      <c r="AA104" s="334">
        <f>AA100+AA101+AA102-AA103</f>
        <v>0</v>
      </c>
    </row>
    <row r="105" spans="2:49" ht="15.75" x14ac:dyDescent="0.25">
      <c r="B105" s="227" t="s">
        <v>30</v>
      </c>
      <c r="C105" s="232"/>
      <c r="D105" s="256"/>
      <c r="E105" s="256"/>
      <c r="F105" s="327"/>
      <c r="G105" s="347"/>
      <c r="H105" s="327"/>
      <c r="I105" s="347"/>
      <c r="J105" s="327"/>
      <c r="K105" s="347"/>
      <c r="L105" s="348"/>
      <c r="M105" s="335"/>
      <c r="N105" s="348"/>
      <c r="O105" s="347"/>
      <c r="P105" s="348"/>
      <c r="Q105" s="347"/>
      <c r="R105" s="348"/>
      <c r="S105" s="408"/>
      <c r="T105" s="409"/>
      <c r="U105" s="368"/>
      <c r="V105" s="368"/>
      <c r="W105" s="368"/>
      <c r="X105" s="368"/>
      <c r="Y105" s="347"/>
      <c r="Z105" s="348"/>
      <c r="AA105" s="335"/>
    </row>
    <row r="106" spans="2:49" x14ac:dyDescent="0.25">
      <c r="B106" s="230" t="s">
        <v>32</v>
      </c>
      <c r="C106" s="232" t="s">
        <v>714</v>
      </c>
      <c r="D106" s="242"/>
      <c r="E106" s="242"/>
      <c r="F106" s="290">
        <f>SUM(D106:E106)</f>
        <v>0</v>
      </c>
      <c r="G106" s="345"/>
      <c r="H106" s="326"/>
      <c r="I106" s="345"/>
      <c r="J106" s="326"/>
      <c r="K106" s="345"/>
      <c r="L106" s="346"/>
      <c r="M106" s="360"/>
      <c r="N106" s="346"/>
      <c r="O106" s="345"/>
      <c r="P106" s="346"/>
      <c r="Q106" s="345"/>
      <c r="R106" s="346"/>
      <c r="S106" s="406"/>
      <c r="T106" s="407"/>
      <c r="U106" s="369"/>
      <c r="V106" s="369"/>
      <c r="W106" s="369"/>
      <c r="X106" s="369"/>
      <c r="Y106" s="345"/>
      <c r="Z106" s="346"/>
      <c r="AA106" s="314">
        <f>F106-G106+H106</f>
        <v>0</v>
      </c>
    </row>
    <row r="107" spans="2:49" x14ac:dyDescent="0.25">
      <c r="B107" s="230" t="s">
        <v>719</v>
      </c>
      <c r="C107" s="232" t="s">
        <v>708</v>
      </c>
      <c r="D107" s="253"/>
      <c r="E107" s="253"/>
      <c r="F107" s="355">
        <f>SUM(D107:E107)</f>
        <v>0</v>
      </c>
      <c r="G107" s="345"/>
      <c r="H107" s="326"/>
      <c r="I107" s="345"/>
      <c r="J107" s="326"/>
      <c r="K107" s="345"/>
      <c r="L107" s="346"/>
      <c r="M107" s="360"/>
      <c r="N107" s="346"/>
      <c r="O107" s="345"/>
      <c r="P107" s="346"/>
      <c r="Q107" s="345"/>
      <c r="R107" s="346"/>
      <c r="S107" s="406"/>
      <c r="T107" s="407"/>
      <c r="U107" s="369"/>
      <c r="V107" s="369"/>
      <c r="W107" s="369"/>
      <c r="X107" s="369"/>
      <c r="Y107" s="345"/>
      <c r="Z107" s="346"/>
      <c r="AA107" s="333">
        <f>F107+G107-H107</f>
        <v>0</v>
      </c>
    </row>
    <row r="108" spans="2:49" x14ac:dyDescent="0.25">
      <c r="B108" s="230"/>
      <c r="C108" s="232"/>
      <c r="D108" s="254">
        <f>D106-D107</f>
        <v>0</v>
      </c>
      <c r="E108" s="254">
        <f>E106-E107</f>
        <v>0</v>
      </c>
      <c r="F108" s="355">
        <f>F106-F107</f>
        <v>0</v>
      </c>
      <c r="G108" s="347"/>
      <c r="H108" s="327"/>
      <c r="I108" s="347"/>
      <c r="J108" s="327"/>
      <c r="K108" s="347"/>
      <c r="L108" s="348"/>
      <c r="M108" s="335"/>
      <c r="N108" s="348"/>
      <c r="O108" s="347"/>
      <c r="P108" s="348"/>
      <c r="Q108" s="347"/>
      <c r="R108" s="348"/>
      <c r="S108" s="408"/>
      <c r="T108" s="409"/>
      <c r="U108" s="368"/>
      <c r="V108" s="368"/>
      <c r="W108" s="368"/>
      <c r="X108" s="368"/>
      <c r="Y108" s="347"/>
      <c r="Z108" s="348"/>
      <c r="AA108" s="333">
        <f>AA106-AA107</f>
        <v>0</v>
      </c>
    </row>
    <row r="109" spans="2:49" ht="15.75" x14ac:dyDescent="0.25">
      <c r="B109" s="227" t="s">
        <v>8</v>
      </c>
      <c r="C109" s="232"/>
      <c r="D109" s="254">
        <f>SUM(D104,D108)</f>
        <v>0</v>
      </c>
      <c r="E109" s="254">
        <f>SUM(E104,E108)</f>
        <v>0</v>
      </c>
      <c r="F109" s="355">
        <f>SUM(F104,F108)</f>
        <v>0</v>
      </c>
      <c r="G109" s="347"/>
      <c r="H109" s="327"/>
      <c r="I109" s="347"/>
      <c r="J109" s="327"/>
      <c r="K109" s="347"/>
      <c r="L109" s="348"/>
      <c r="M109" s="335"/>
      <c r="N109" s="348"/>
      <c r="O109" s="347"/>
      <c r="P109" s="348"/>
      <c r="Q109" s="347"/>
      <c r="R109" s="348"/>
      <c r="S109" s="408"/>
      <c r="T109" s="409"/>
      <c r="U109" s="368"/>
      <c r="V109" s="368"/>
      <c r="W109" s="368"/>
      <c r="X109" s="368"/>
      <c r="Y109" s="347"/>
      <c r="Z109" s="348"/>
      <c r="AA109" s="333">
        <f>AA104+AA108</f>
        <v>0</v>
      </c>
    </row>
    <row r="110" spans="2:49" ht="16.5" thickBot="1" x14ac:dyDescent="0.3">
      <c r="B110" s="251" t="s">
        <v>9</v>
      </c>
      <c r="C110" s="257"/>
      <c r="D110" s="258">
        <f>D96+D109</f>
        <v>0</v>
      </c>
      <c r="E110" s="258">
        <f>E96+E109</f>
        <v>0</v>
      </c>
      <c r="F110" s="357">
        <f>F96+F109</f>
        <v>0</v>
      </c>
      <c r="G110" s="343"/>
      <c r="H110" s="325"/>
      <c r="I110" s="343"/>
      <c r="J110" s="325"/>
      <c r="K110" s="343"/>
      <c r="L110" s="344"/>
      <c r="M110" s="359"/>
      <c r="N110" s="344"/>
      <c r="O110" s="343"/>
      <c r="P110" s="344"/>
      <c r="Q110" s="343"/>
      <c r="R110" s="344"/>
      <c r="S110" s="404"/>
      <c r="T110" s="405"/>
      <c r="U110" s="367"/>
      <c r="V110" s="367"/>
      <c r="W110" s="367"/>
      <c r="X110" s="367"/>
      <c r="Y110" s="343"/>
      <c r="Z110" s="344"/>
      <c r="AA110" s="336">
        <f>AA96+AA109</f>
        <v>0</v>
      </c>
    </row>
    <row r="111" spans="2:49" x14ac:dyDescent="0.25">
      <c r="B111" s="230"/>
      <c r="C111" s="257"/>
      <c r="D111" s="237"/>
      <c r="E111" s="237"/>
      <c r="F111" s="286"/>
      <c r="G111" s="300"/>
      <c r="H111" s="282"/>
      <c r="I111" s="300"/>
      <c r="J111" s="282"/>
      <c r="K111" s="300"/>
      <c r="L111" s="301"/>
      <c r="M111" s="292"/>
      <c r="N111" s="301"/>
      <c r="O111" s="300"/>
      <c r="P111" s="301"/>
      <c r="Q111" s="300"/>
      <c r="R111" s="301"/>
      <c r="S111" s="380"/>
      <c r="T111" s="381"/>
      <c r="U111" s="318"/>
      <c r="V111" s="318"/>
      <c r="W111" s="318"/>
      <c r="X111" s="318"/>
      <c r="Y111" s="300"/>
      <c r="Z111" s="301"/>
      <c r="AA111" s="295"/>
    </row>
    <row r="112" spans="2:49" x14ac:dyDescent="0.25">
      <c r="B112" s="230" t="s">
        <v>720</v>
      </c>
      <c r="C112" s="232" t="s">
        <v>707</v>
      </c>
      <c r="D112" s="233"/>
      <c r="E112" s="233"/>
      <c r="F112" s="282"/>
      <c r="G112" s="300"/>
      <c r="H112" s="282"/>
      <c r="I112" s="300"/>
      <c r="J112" s="282"/>
      <c r="K112" s="300"/>
      <c r="L112" s="301"/>
      <c r="M112" s="292"/>
      <c r="N112" s="301"/>
      <c r="O112" s="300"/>
      <c r="P112" s="301"/>
      <c r="Q112" s="300"/>
      <c r="R112" s="301"/>
      <c r="S112" s="380"/>
      <c r="T112" s="381"/>
      <c r="U112" s="318"/>
      <c r="V112" s="318"/>
      <c r="W112" s="318"/>
      <c r="X112" s="318"/>
      <c r="Y112" s="300"/>
      <c r="Z112" s="301"/>
      <c r="AA112" s="292"/>
    </row>
    <row r="113" spans="2:27" x14ac:dyDescent="0.25">
      <c r="B113" s="259" t="s">
        <v>721</v>
      </c>
      <c r="C113" s="257"/>
      <c r="D113" s="233"/>
      <c r="E113" s="233"/>
      <c r="F113" s="282"/>
      <c r="G113" s="349"/>
      <c r="H113" s="328"/>
      <c r="I113" s="349"/>
      <c r="J113" s="328"/>
      <c r="K113" s="349"/>
      <c r="L113" s="350"/>
      <c r="M113" s="330"/>
      <c r="N113" s="350"/>
      <c r="O113" s="349"/>
      <c r="P113" s="350"/>
      <c r="Q113" s="349"/>
      <c r="R113" s="350"/>
      <c r="S113" s="410"/>
      <c r="T113" s="411"/>
      <c r="U113" s="370"/>
      <c r="V113" s="370"/>
      <c r="W113" s="318"/>
      <c r="X113" s="318"/>
      <c r="Y113" s="349"/>
      <c r="Z113" s="350"/>
      <c r="AA113" s="332">
        <f>AA115-AA114</f>
        <v>205.8</v>
      </c>
    </row>
    <row r="114" spans="2:27" x14ac:dyDescent="0.25">
      <c r="B114" s="260" t="s">
        <v>664</v>
      </c>
      <c r="C114" s="257"/>
      <c r="D114" s="233"/>
      <c r="E114" s="233"/>
      <c r="F114" s="282"/>
      <c r="G114" s="302"/>
      <c r="H114" s="323"/>
      <c r="I114" s="302"/>
      <c r="J114" s="323"/>
      <c r="K114" s="302"/>
      <c r="L114" s="303"/>
      <c r="M114" s="293">
        <f>Consol!AN33</f>
        <v>-205.8</v>
      </c>
      <c r="N114" s="303"/>
      <c r="O114" s="302">
        <f>SUMIF($AM$39:$AM$61,"DR SPL - Non-controlling interests",$AN$39:$AN$61)</f>
        <v>0</v>
      </c>
      <c r="P114" s="303">
        <f>-SUMIF($AM$39:$AM$61,"DR SPL - Non-controlling interests",$AO$39:$AO$61)</f>
        <v>0</v>
      </c>
      <c r="Q114" s="302">
        <f>SUMIF($AM$39:$AM$61,"DR SPL - Non-controlling interests",$AN$39:$AN$61)</f>
        <v>0</v>
      </c>
      <c r="R114" s="303">
        <f>-SUMIF($AM$39:$AM$61,"DR SPL - Non-controlling interests",$AO$39:$AO$61)</f>
        <v>0</v>
      </c>
      <c r="S114" s="302">
        <f>SUMIF($AM$54:$AM$61,"DR SPL - Non-controlling interests",$AN$54:$AN$61)</f>
        <v>0</v>
      </c>
      <c r="T114" s="303">
        <f>-SUMIF($AM$54:$AM$61,"DR SPL - Non-controlling interests",$AO$54:$AO$61)</f>
        <v>0</v>
      </c>
      <c r="U114" s="319"/>
      <c r="V114" s="319"/>
      <c r="W114" s="302">
        <f>SUMIF($AM$71:$AM$82,"DR SPL - Non-controlling interests",$AN$71:$AN$82)</f>
        <v>0</v>
      </c>
      <c r="X114" s="303">
        <f>SUMIF($AM$71:$AM$82,"CR SPL - Non-controlling interests",$AO$71:$AO$82)</f>
        <v>0</v>
      </c>
      <c r="Y114" s="302"/>
      <c r="Z114" s="303"/>
      <c r="AA114" s="295">
        <f>SUM(G114:P114)</f>
        <v>-205.8</v>
      </c>
    </row>
    <row r="115" spans="2:27" ht="15.75" thickBot="1" x14ac:dyDescent="0.3">
      <c r="B115" s="230"/>
      <c r="C115" s="257"/>
      <c r="D115" s="233"/>
      <c r="E115" s="233"/>
      <c r="F115" s="282"/>
      <c r="G115" s="300"/>
      <c r="H115" s="282"/>
      <c r="I115" s="300"/>
      <c r="J115" s="282"/>
      <c r="K115" s="300"/>
      <c r="L115" s="301"/>
      <c r="M115" s="292"/>
      <c r="N115" s="301"/>
      <c r="O115" s="300"/>
      <c r="P115" s="301"/>
      <c r="Q115" s="300"/>
      <c r="R115" s="301"/>
      <c r="S115" s="380"/>
      <c r="T115" s="381"/>
      <c r="U115" s="318"/>
      <c r="V115" s="318"/>
      <c r="W115" s="318"/>
      <c r="X115" s="318"/>
      <c r="Y115" s="300"/>
      <c r="Z115" s="301"/>
      <c r="AA115" s="311">
        <f>AA110</f>
        <v>0</v>
      </c>
    </row>
    <row r="116" spans="2:27" x14ac:dyDescent="0.25">
      <c r="B116" s="230" t="s">
        <v>722</v>
      </c>
      <c r="C116" s="257"/>
      <c r="D116" s="233"/>
      <c r="E116" s="233"/>
      <c r="F116" s="282"/>
      <c r="G116" s="300"/>
      <c r="H116" s="282"/>
      <c r="I116" s="300"/>
      <c r="J116" s="282"/>
      <c r="K116" s="300"/>
      <c r="L116" s="301"/>
      <c r="M116" s="292"/>
      <c r="N116" s="301"/>
      <c r="O116" s="300"/>
      <c r="P116" s="301"/>
      <c r="Q116" s="300"/>
      <c r="R116" s="301"/>
      <c r="S116" s="380"/>
      <c r="T116" s="381"/>
      <c r="U116" s="318"/>
      <c r="V116" s="318"/>
      <c r="W116" s="318"/>
      <c r="X116" s="318"/>
      <c r="Y116" s="300"/>
      <c r="Z116" s="301"/>
      <c r="AA116" s="295"/>
    </row>
    <row r="117" spans="2:27" x14ac:dyDescent="0.25">
      <c r="B117" s="260" t="s">
        <v>721</v>
      </c>
      <c r="C117" s="257"/>
      <c r="D117" s="233"/>
      <c r="E117" s="233"/>
      <c r="F117" s="282"/>
      <c r="G117" s="300"/>
      <c r="H117" s="282"/>
      <c r="I117" s="300"/>
      <c r="J117" s="282"/>
      <c r="K117" s="300"/>
      <c r="L117" s="301"/>
      <c r="M117" s="292"/>
      <c r="N117" s="301"/>
      <c r="O117" s="300"/>
      <c r="P117" s="301"/>
      <c r="Q117" s="300"/>
      <c r="R117" s="301"/>
      <c r="S117" s="380"/>
      <c r="T117" s="381"/>
      <c r="U117" s="318"/>
      <c r="V117" s="318"/>
      <c r="W117" s="318"/>
      <c r="X117" s="318"/>
      <c r="Y117" s="300"/>
      <c r="Z117" s="301"/>
      <c r="AA117" s="332">
        <f>AA119-AA118</f>
        <v>0</v>
      </c>
    </row>
    <row r="118" spans="2:27" x14ac:dyDescent="0.25">
      <c r="B118" s="260" t="s">
        <v>664</v>
      </c>
      <c r="C118" s="257"/>
      <c r="D118" s="233"/>
      <c r="E118" s="233"/>
      <c r="F118" s="282"/>
      <c r="G118" s="302"/>
      <c r="H118" s="323"/>
      <c r="I118" s="302"/>
      <c r="J118" s="323"/>
      <c r="K118" s="302"/>
      <c r="L118" s="303"/>
      <c r="M118" s="293"/>
      <c r="N118" s="303"/>
      <c r="O118" s="302"/>
      <c r="P118" s="303"/>
      <c r="Q118" s="302"/>
      <c r="R118" s="303"/>
      <c r="S118" s="382"/>
      <c r="T118" s="377"/>
      <c r="U118" s="319"/>
      <c r="V118" s="319"/>
      <c r="W118" s="319"/>
      <c r="X118" s="319"/>
      <c r="Y118" s="302"/>
      <c r="Z118" s="303"/>
      <c r="AA118" s="337">
        <f>G118-H118</f>
        <v>0</v>
      </c>
    </row>
    <row r="119" spans="2:27" ht="15.75" thickBot="1" x14ac:dyDescent="0.3">
      <c r="B119" s="230"/>
      <c r="C119" s="257"/>
      <c r="D119" s="233"/>
      <c r="E119" s="233"/>
      <c r="F119" s="282"/>
      <c r="G119" s="300"/>
      <c r="H119" s="282"/>
      <c r="I119" s="300"/>
      <c r="J119" s="282"/>
      <c r="K119" s="300"/>
      <c r="L119" s="301"/>
      <c r="M119" s="292"/>
      <c r="N119" s="301"/>
      <c r="O119" s="300"/>
      <c r="P119" s="301"/>
      <c r="Q119" s="300"/>
      <c r="R119" s="301"/>
      <c r="S119" s="380"/>
      <c r="T119" s="381"/>
      <c r="U119" s="318"/>
      <c r="V119" s="318"/>
      <c r="W119" s="318"/>
      <c r="X119" s="318"/>
      <c r="Y119" s="300"/>
      <c r="Z119" s="301"/>
      <c r="AA119" s="311">
        <f>AA110</f>
        <v>0</v>
      </c>
    </row>
    <row r="120" spans="2:27" x14ac:dyDescent="0.25">
      <c r="B120" s="230"/>
      <c r="C120" s="257"/>
      <c r="D120" s="233"/>
      <c r="E120" s="233"/>
      <c r="F120" s="282"/>
      <c r="G120" s="300"/>
      <c r="H120" s="282"/>
      <c r="I120" s="300"/>
      <c r="J120" s="282"/>
      <c r="K120" s="300"/>
      <c r="L120" s="301"/>
      <c r="M120" s="292"/>
      <c r="N120" s="301"/>
      <c r="O120" s="300"/>
      <c r="P120" s="301"/>
      <c r="Q120" s="300"/>
      <c r="R120" s="301"/>
      <c r="S120" s="380"/>
      <c r="T120" s="381"/>
      <c r="U120" s="318"/>
      <c r="V120" s="318"/>
      <c r="W120" s="318"/>
      <c r="X120" s="318"/>
      <c r="Y120" s="300"/>
      <c r="Z120" s="301"/>
      <c r="AA120" s="338"/>
    </row>
    <row r="121" spans="2:27" ht="15.75" x14ac:dyDescent="0.25">
      <c r="B121" s="230" t="s">
        <v>723</v>
      </c>
      <c r="C121" s="257" t="s">
        <v>724</v>
      </c>
      <c r="D121" s="233"/>
      <c r="E121" s="233"/>
      <c r="F121" s="282"/>
      <c r="G121" s="300"/>
      <c r="H121" s="282"/>
      <c r="I121" s="397"/>
      <c r="J121" s="282"/>
      <c r="K121" s="300"/>
      <c r="L121" s="301"/>
      <c r="M121" s="292"/>
      <c r="N121" s="301"/>
      <c r="O121" s="300"/>
      <c r="P121" s="301"/>
      <c r="Q121" s="300"/>
      <c r="R121" s="301"/>
      <c r="S121" s="380"/>
      <c r="T121" s="381"/>
      <c r="U121" s="318"/>
      <c r="V121" s="318"/>
      <c r="W121" s="318"/>
      <c r="X121" s="318"/>
      <c r="Y121" s="300"/>
      <c r="Z121" s="301"/>
      <c r="AA121" s="291" t="s">
        <v>725</v>
      </c>
    </row>
    <row r="122" spans="2:27" x14ac:dyDescent="0.25">
      <c r="B122" s="260" t="s">
        <v>726</v>
      </c>
      <c r="C122" s="257"/>
      <c r="D122" s="233"/>
      <c r="E122" s="233"/>
      <c r="F122" s="282"/>
      <c r="G122" s="300"/>
      <c r="H122" s="282"/>
      <c r="I122" s="380"/>
      <c r="J122" s="282"/>
      <c r="K122" s="300"/>
      <c r="L122" s="301"/>
      <c r="M122" s="292"/>
      <c r="N122" s="301"/>
      <c r="O122" s="300"/>
      <c r="P122" s="301"/>
      <c r="Q122" s="300"/>
      <c r="R122" s="301"/>
      <c r="S122" s="380"/>
      <c r="T122" s="381"/>
      <c r="U122" s="318"/>
      <c r="V122" s="318"/>
      <c r="W122" s="318"/>
      <c r="X122" s="318"/>
      <c r="Y122" s="300"/>
      <c r="Z122" s="301"/>
      <c r="AA122" s="339"/>
    </row>
    <row r="123" spans="2:27" x14ac:dyDescent="0.25">
      <c r="B123" s="260" t="s">
        <v>727</v>
      </c>
      <c r="C123" s="232" t="s">
        <v>728</v>
      </c>
      <c r="D123" s="233"/>
      <c r="E123" s="233"/>
      <c r="F123" s="282"/>
      <c r="G123" s="306"/>
      <c r="H123" s="352"/>
      <c r="I123" s="388"/>
      <c r="J123" s="352"/>
      <c r="K123" s="306"/>
      <c r="L123" s="307"/>
      <c r="M123" s="331"/>
      <c r="N123" s="307"/>
      <c r="O123" s="306"/>
      <c r="P123" s="307"/>
      <c r="Q123" s="306"/>
      <c r="R123" s="307"/>
      <c r="S123" s="388"/>
      <c r="T123" s="389"/>
      <c r="U123" s="376"/>
      <c r="V123" s="376"/>
      <c r="W123" s="376"/>
      <c r="X123" s="376"/>
      <c r="Y123" s="306"/>
      <c r="Z123" s="307"/>
      <c r="AA123" s="340"/>
    </row>
  </sheetData>
  <mergeCells count="24">
    <mergeCell ref="Q3:R3"/>
    <mergeCell ref="Q60:R60"/>
    <mergeCell ref="S3:T3"/>
    <mergeCell ref="C2:C4"/>
    <mergeCell ref="G3:H3"/>
    <mergeCell ref="I3:J3"/>
    <mergeCell ref="K3:L3"/>
    <mergeCell ref="M3:N3"/>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60" t="s">
        <v>71</v>
      </c>
      <c r="L4" s="860"/>
      <c r="M4" s="860"/>
      <c r="T4" t="s">
        <v>121</v>
      </c>
    </row>
    <row r="5" spans="2:24" x14ac:dyDescent="0.25">
      <c r="C5" s="16" t="s">
        <v>10</v>
      </c>
      <c r="D5" s="16" t="s">
        <v>10</v>
      </c>
      <c r="E5" s="16" t="s">
        <v>10</v>
      </c>
      <c r="F5" s="16" t="s">
        <v>10</v>
      </c>
      <c r="K5" s="860"/>
      <c r="L5" s="860"/>
      <c r="M5" s="860"/>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A1:CA139"/>
  <sheetViews>
    <sheetView zoomScale="70" zoomScaleNormal="70" workbookViewId="0"/>
  </sheetViews>
  <sheetFormatPr defaultColWidth="3.5703125" defaultRowHeight="15" x14ac:dyDescent="0.25"/>
  <cols>
    <col min="1" max="1" width="3.5703125" style="226"/>
    <col min="2" max="2" width="73.5703125" style="226" customWidth="1"/>
    <col min="3" max="3" width="93.140625" style="226" hidden="1" customWidth="1"/>
    <col min="4" max="5" width="17.28515625" style="243" customWidth="1"/>
    <col min="6" max="6" width="17.28515625" style="243" hidden="1" customWidth="1"/>
    <col min="7" max="7" width="17.28515625" style="243" customWidth="1"/>
    <col min="8" max="8" width="14.42578125" style="243" customWidth="1"/>
    <col min="9" max="11" width="13.42578125" style="243" customWidth="1"/>
    <col min="12" max="12" width="12.140625" style="243" customWidth="1"/>
    <col min="13" max="13" width="13.42578125" style="243" customWidth="1"/>
    <col min="14" max="14" width="13.140625" style="243" customWidth="1"/>
    <col min="15" max="15" width="14.140625" style="243" customWidth="1"/>
    <col min="16" max="16" width="10.42578125" style="243" customWidth="1"/>
    <col min="17" max="17" width="13.42578125" style="243" customWidth="1"/>
    <col min="18" max="18" width="15" style="243" customWidth="1"/>
    <col min="19" max="19" width="11.5703125" style="243" customWidth="1"/>
    <col min="20" max="20" width="15" style="243" customWidth="1"/>
    <col min="21" max="22" width="14.140625" style="243" customWidth="1"/>
    <col min="23" max="23" width="14.85546875" style="243" customWidth="1"/>
    <col min="24" max="30" width="11.5703125" style="243" customWidth="1"/>
    <col min="31" max="31" width="13.5703125" style="243" customWidth="1"/>
    <col min="32" max="32" width="14.140625" style="243" customWidth="1"/>
    <col min="33" max="33" width="10" style="243" customWidth="1"/>
    <col min="34" max="34" width="17.28515625" style="243" customWidth="1"/>
    <col min="35" max="35" width="3.5703125" style="226"/>
    <col min="36" max="37" width="3.5703125" style="265"/>
    <col min="38" max="38" width="7.42578125" style="265" customWidth="1"/>
    <col min="39" max="39" width="6" style="265" customWidth="1"/>
    <col min="40" max="42" width="3.5703125" style="265"/>
    <col min="43" max="43" width="7.140625" style="265" customWidth="1"/>
    <col min="44" max="44" width="5.140625" style="265" customWidth="1"/>
    <col min="45" max="45" width="8.7109375" style="265" customWidth="1"/>
    <col min="46" max="46" width="40.5703125" style="265" customWidth="1"/>
    <col min="47" max="47" width="25.42578125" style="265" customWidth="1"/>
    <col min="48" max="48" width="29.5703125" style="265" customWidth="1"/>
    <col min="49" max="49" width="9.140625" style="265" customWidth="1"/>
    <col min="50" max="51" width="3.5703125" style="265"/>
    <col min="52" max="52" width="60.140625" style="265" customWidth="1"/>
    <col min="53" max="53" width="26.5703125" style="265" customWidth="1"/>
    <col min="54" max="54" width="23.85546875" style="265" customWidth="1"/>
    <col min="55" max="55" width="20.5703125" style="265" customWidth="1"/>
    <col min="56" max="56" width="18.85546875" style="265" customWidth="1"/>
    <col min="57" max="57" width="9.42578125" style="265" customWidth="1"/>
    <col min="58" max="58" width="14.28515625" style="265" customWidth="1"/>
    <col min="59" max="59" width="5.28515625" style="265" bestFit="1" customWidth="1"/>
    <col min="60" max="60" width="0" style="265" hidden="1" customWidth="1"/>
    <col min="61" max="61" width="6.28515625" style="265" hidden="1" customWidth="1"/>
    <col min="62" max="62" width="11.28515625" style="265" bestFit="1" customWidth="1"/>
    <col min="63" max="63" width="17.28515625" style="265" customWidth="1"/>
    <col min="64" max="64" width="13.140625" style="265" bestFit="1" customWidth="1"/>
    <col min="65" max="65" width="3.5703125" style="265"/>
    <col min="66" max="66" width="13.140625" style="265" bestFit="1" customWidth="1"/>
    <col min="67" max="67" width="17.42578125" style="265" customWidth="1"/>
    <col min="68" max="68" width="13.85546875" style="265" bestFit="1" customWidth="1"/>
    <col min="69" max="70" width="3.5703125" style="265"/>
    <col min="71" max="79" width="3.5703125" style="398"/>
    <col min="80" max="16384" width="3.5703125" style="226"/>
  </cols>
  <sheetData>
    <row r="1" spans="1:79" x14ac:dyDescent="0.25">
      <c r="A1" s="161" t="s">
        <v>1984</v>
      </c>
    </row>
    <row r="2" spans="1:79" ht="15.75" x14ac:dyDescent="0.25">
      <c r="AZ2" s="266" t="s">
        <v>841</v>
      </c>
      <c r="BA2" s="265" t="s">
        <v>842</v>
      </c>
      <c r="BB2" s="264">
        <v>250</v>
      </c>
      <c r="BJ2" s="271"/>
      <c r="BK2" s="271"/>
      <c r="BL2" s="271"/>
      <c r="BM2" s="271"/>
      <c r="BN2" s="271"/>
      <c r="BO2" s="271"/>
    </row>
    <row r="3" spans="1:79" ht="15.75" thickBot="1" x14ac:dyDescent="0.3">
      <c r="BJ3" s="271"/>
      <c r="BK3" s="271"/>
      <c r="BL3" s="271"/>
      <c r="BM3" s="271"/>
      <c r="BN3" s="271"/>
      <c r="BO3" s="271"/>
    </row>
    <row r="4" spans="1:79" ht="40.5" customHeight="1" x14ac:dyDescent="0.25">
      <c r="AZ4" s="422" t="s">
        <v>399</v>
      </c>
      <c r="BA4" s="423" t="s">
        <v>844</v>
      </c>
      <c r="BB4" s="424" t="s">
        <v>177</v>
      </c>
      <c r="BC4" s="424" t="s">
        <v>277</v>
      </c>
      <c r="BD4" s="425" t="s">
        <v>843</v>
      </c>
      <c r="BG4" s="399" t="s">
        <v>1424</v>
      </c>
      <c r="BJ4" s="271"/>
      <c r="BK4" s="271"/>
      <c r="BL4" s="271"/>
      <c r="BM4" s="271"/>
      <c r="BN4" s="271"/>
      <c r="BO4" s="271"/>
    </row>
    <row r="5" spans="1:79" x14ac:dyDescent="0.25">
      <c r="AZ5" s="426">
        <v>43770</v>
      </c>
      <c r="BA5" s="448">
        <v>25</v>
      </c>
      <c r="BB5" s="448">
        <v>100</v>
      </c>
      <c r="BC5" s="448">
        <v>120</v>
      </c>
      <c r="BD5" s="427">
        <f>BA5/$BB$2</f>
        <v>0.1</v>
      </c>
      <c r="BE5" s="399" t="str">
        <f>IF(BD5&gt;0.5,"Control achieved"," ")</f>
        <v xml:space="preserve"> </v>
      </c>
      <c r="BJ5" s="271"/>
      <c r="BK5" s="271"/>
      <c r="BL5" s="271"/>
      <c r="BM5" s="271"/>
      <c r="BN5" s="271"/>
      <c r="BO5" s="271"/>
    </row>
    <row r="6" spans="1:79" ht="18.75" customHeight="1" x14ac:dyDescent="0.25">
      <c r="B6" s="224" t="s">
        <v>1725</v>
      </c>
      <c r="C6" s="853" t="s">
        <v>637</v>
      </c>
      <c r="D6" s="225"/>
      <c r="E6" s="225"/>
      <c r="F6" s="225"/>
      <c r="G6" s="225"/>
      <c r="H6" s="530" t="s">
        <v>1020</v>
      </c>
      <c r="I6" s="396"/>
      <c r="J6" s="414"/>
      <c r="K6" s="415"/>
      <c r="L6" s="390"/>
      <c r="M6" s="297"/>
      <c r="N6" s="297"/>
      <c r="O6" s="297"/>
      <c r="P6" s="297"/>
      <c r="Q6" s="297"/>
      <c r="R6" s="297"/>
      <c r="S6" s="297"/>
      <c r="T6" s="297"/>
      <c r="U6" s="297"/>
      <c r="V6" s="297"/>
      <c r="W6" s="297"/>
      <c r="X6" s="297"/>
      <c r="Y6" s="297"/>
      <c r="Z6" s="297"/>
      <c r="AA6" s="297"/>
      <c r="AB6" s="297"/>
      <c r="AC6" s="297"/>
      <c r="AD6" s="297"/>
      <c r="AE6" s="297"/>
      <c r="AF6" s="297"/>
      <c r="AG6" s="297"/>
      <c r="AH6" s="225"/>
      <c r="AT6" s="266" t="s">
        <v>753</v>
      </c>
      <c r="AU6" s="363">
        <f>SUM(AU10:AU1048576)</f>
        <v>2151.1</v>
      </c>
      <c r="AV6" s="363">
        <f>SUM(AV10:AV1048576)</f>
        <v>2151.1</v>
      </c>
      <c r="AW6" s="363">
        <f>AV6-AU6</f>
        <v>0</v>
      </c>
      <c r="AZ6" s="426">
        <v>44562</v>
      </c>
      <c r="BA6" s="448">
        <v>150</v>
      </c>
      <c r="BB6" s="448">
        <v>966</v>
      </c>
      <c r="BC6" s="448">
        <v>966</v>
      </c>
      <c r="BD6" s="427">
        <f>SUM(BA5:BA6)/$BB$2</f>
        <v>0.7</v>
      </c>
      <c r="BE6" s="399" t="str">
        <f>IF(AND(BD7&gt;0.5,BE5=" "),"Control achieved"," ")</f>
        <v>Control achieved</v>
      </c>
      <c r="BJ6" s="271"/>
      <c r="BK6" s="271"/>
      <c r="BL6" s="271"/>
      <c r="BM6" s="271"/>
      <c r="BN6" s="271"/>
      <c r="BO6" s="271"/>
    </row>
    <row r="7" spans="1:79" ht="18.75" customHeight="1" x14ac:dyDescent="0.25">
      <c r="B7" s="227" t="s">
        <v>638</v>
      </c>
      <c r="C7" s="858"/>
      <c r="D7" s="225"/>
      <c r="E7" s="225"/>
      <c r="F7" s="225"/>
      <c r="G7" s="280"/>
      <c r="H7" s="850">
        <v>1</v>
      </c>
      <c r="I7" s="856"/>
      <c r="J7" s="850">
        <v>2</v>
      </c>
      <c r="K7" s="851"/>
      <c r="L7" s="856">
        <v>3</v>
      </c>
      <c r="M7" s="856"/>
      <c r="N7" s="850">
        <v>4</v>
      </c>
      <c r="O7" s="851"/>
      <c r="P7" s="856">
        <v>5</v>
      </c>
      <c r="Q7" s="851"/>
      <c r="R7" s="850">
        <v>6</v>
      </c>
      <c r="S7" s="851"/>
      <c r="T7" s="850">
        <v>7</v>
      </c>
      <c r="U7" s="851"/>
      <c r="V7" s="850">
        <v>8</v>
      </c>
      <c r="W7" s="851"/>
      <c r="X7" s="850">
        <v>9</v>
      </c>
      <c r="Y7" s="851"/>
      <c r="Z7" s="850">
        <v>10</v>
      </c>
      <c r="AA7" s="856"/>
      <c r="AB7" s="850">
        <v>11</v>
      </c>
      <c r="AC7" s="851"/>
      <c r="AD7" s="856">
        <v>12</v>
      </c>
      <c r="AE7" s="851"/>
      <c r="AF7" s="850">
        <v>13</v>
      </c>
      <c r="AG7" s="851"/>
      <c r="AH7" s="308"/>
      <c r="AZ7" s="426">
        <v>44743</v>
      </c>
      <c r="BA7" s="448">
        <v>38</v>
      </c>
      <c r="BB7" s="448">
        <v>265</v>
      </c>
      <c r="BC7" s="448">
        <f>BB7</f>
        <v>265</v>
      </c>
      <c r="BD7" s="427">
        <f>SUM(BA5:BA7)/$BB$2</f>
        <v>0.85199999999999998</v>
      </c>
      <c r="BE7" s="399" t="str">
        <f>IF(AND(BD8&gt;0.5,BE6=" "),"Control achieved"," ")</f>
        <v xml:space="preserve"> </v>
      </c>
      <c r="BJ7" s="271"/>
      <c r="BK7" s="271"/>
      <c r="BL7" s="271"/>
      <c r="BM7" s="271"/>
      <c r="BN7" s="271"/>
      <c r="BO7" s="271"/>
    </row>
    <row r="8" spans="1:79" ht="18.75" customHeight="1" thickBot="1" x14ac:dyDescent="0.3">
      <c r="B8" s="228" t="s">
        <v>1964</v>
      </c>
      <c r="C8" s="859"/>
      <c r="D8" s="229" t="s">
        <v>639</v>
      </c>
      <c r="E8" s="229" t="s">
        <v>856</v>
      </c>
      <c r="F8" s="229" t="s">
        <v>855</v>
      </c>
      <c r="G8" s="281" t="s">
        <v>641</v>
      </c>
      <c r="H8" s="298" t="s">
        <v>642</v>
      </c>
      <c r="I8" s="281" t="s">
        <v>643</v>
      </c>
      <c r="J8" s="298" t="s">
        <v>642</v>
      </c>
      <c r="K8" s="299" t="s">
        <v>643</v>
      </c>
      <c r="L8" s="291" t="s">
        <v>642</v>
      </c>
      <c r="M8" s="281" t="s">
        <v>643</v>
      </c>
      <c r="N8" s="298" t="s">
        <v>642</v>
      </c>
      <c r="O8" s="299" t="s">
        <v>643</v>
      </c>
      <c r="P8" s="291" t="s">
        <v>642</v>
      </c>
      <c r="Q8" s="299" t="s">
        <v>643</v>
      </c>
      <c r="R8" s="298" t="s">
        <v>642</v>
      </c>
      <c r="S8" s="299" t="s">
        <v>643</v>
      </c>
      <c r="T8" s="298" t="s">
        <v>642</v>
      </c>
      <c r="U8" s="299" t="s">
        <v>643</v>
      </c>
      <c r="V8" s="298" t="s">
        <v>642</v>
      </c>
      <c r="W8" s="299" t="s">
        <v>643</v>
      </c>
      <c r="X8" s="298" t="s">
        <v>642</v>
      </c>
      <c r="Y8" s="299" t="s">
        <v>643</v>
      </c>
      <c r="Z8" s="298" t="s">
        <v>642</v>
      </c>
      <c r="AA8" s="281" t="s">
        <v>643</v>
      </c>
      <c r="AB8" s="298" t="s">
        <v>642</v>
      </c>
      <c r="AC8" s="299" t="s">
        <v>643</v>
      </c>
      <c r="AD8" s="291" t="s">
        <v>642</v>
      </c>
      <c r="AE8" s="299" t="s">
        <v>643</v>
      </c>
      <c r="AF8" s="298" t="s">
        <v>642</v>
      </c>
      <c r="AG8" s="299" t="s">
        <v>643</v>
      </c>
      <c r="AH8" s="291" t="s">
        <v>644</v>
      </c>
      <c r="AT8" s="266" t="s">
        <v>243</v>
      </c>
      <c r="AU8" s="267" t="s">
        <v>141</v>
      </c>
      <c r="AV8" s="267" t="s">
        <v>141</v>
      </c>
      <c r="AZ8" s="428"/>
      <c r="BA8" s="455"/>
      <c r="BB8" s="455"/>
      <c r="BC8" s="429"/>
      <c r="BD8" s="430">
        <f>SUM(BA5:BA8)/$BB$2</f>
        <v>0.85199999999999998</v>
      </c>
      <c r="BE8" s="399" t="str">
        <f>IF(AND(BD9&gt;0.5,BE7=" "),"Control achieved"," ")</f>
        <v xml:space="preserve"> </v>
      </c>
      <c r="BJ8" s="271"/>
      <c r="BK8" s="271"/>
      <c r="BL8" s="271"/>
      <c r="BM8" s="271"/>
      <c r="BN8" s="271"/>
      <c r="BO8" s="271"/>
    </row>
    <row r="9" spans="1:79" ht="18.75" customHeight="1" thickBot="1" x14ac:dyDescent="0.3">
      <c r="B9" s="230"/>
      <c r="C9" s="231" t="s">
        <v>645</v>
      </c>
      <c r="D9" s="229" t="s">
        <v>141</v>
      </c>
      <c r="E9" s="229" t="s">
        <v>141</v>
      </c>
      <c r="F9" s="229" t="s">
        <v>141</v>
      </c>
      <c r="G9" s="281" t="s">
        <v>141</v>
      </c>
      <c r="H9" s="298" t="s">
        <v>141</v>
      </c>
      <c r="I9" s="281" t="s">
        <v>141</v>
      </c>
      <c r="J9" s="298" t="s">
        <v>141</v>
      </c>
      <c r="K9" s="299" t="s">
        <v>141</v>
      </c>
      <c r="L9" s="291" t="s">
        <v>141</v>
      </c>
      <c r="M9" s="281" t="s">
        <v>141</v>
      </c>
      <c r="N9" s="298" t="s">
        <v>141</v>
      </c>
      <c r="O9" s="299" t="s">
        <v>141</v>
      </c>
      <c r="P9" s="291" t="s">
        <v>141</v>
      </c>
      <c r="Q9" s="229" t="s">
        <v>141</v>
      </c>
      <c r="R9" s="229" t="s">
        <v>141</v>
      </c>
      <c r="S9" s="229" t="s">
        <v>141</v>
      </c>
      <c r="T9" s="229" t="s">
        <v>141</v>
      </c>
      <c r="U9" s="229" t="s">
        <v>141</v>
      </c>
      <c r="V9" s="229" t="s">
        <v>141</v>
      </c>
      <c r="W9" s="229" t="s">
        <v>141</v>
      </c>
      <c r="X9" s="229" t="s">
        <v>141</v>
      </c>
      <c r="Y9" s="229" t="s">
        <v>141</v>
      </c>
      <c r="Z9" s="229" t="s">
        <v>141</v>
      </c>
      <c r="AA9" s="281" t="s">
        <v>141</v>
      </c>
      <c r="AB9" s="298" t="s">
        <v>141</v>
      </c>
      <c r="AC9" s="299" t="s">
        <v>141</v>
      </c>
      <c r="AD9" s="291" t="s">
        <v>141</v>
      </c>
      <c r="AE9" s="229" t="s">
        <v>141</v>
      </c>
      <c r="AF9" s="229" t="s">
        <v>141</v>
      </c>
      <c r="AG9" s="229" t="s">
        <v>141</v>
      </c>
      <c r="AH9" s="291" t="s">
        <v>10</v>
      </c>
      <c r="BC9" s="272">
        <f>SUM(BC5:BC8)</f>
        <v>1351</v>
      </c>
      <c r="BS9" s="399" t="s">
        <v>1869</v>
      </c>
    </row>
    <row r="10" spans="1:79" ht="18.75" customHeight="1" thickBot="1" x14ac:dyDescent="0.3">
      <c r="B10" s="227" t="s">
        <v>646</v>
      </c>
      <c r="C10" s="232"/>
      <c r="D10" s="233"/>
      <c r="E10" s="233"/>
      <c r="F10" s="233"/>
      <c r="G10" s="282"/>
      <c r="H10" s="300"/>
      <c r="I10" s="282"/>
      <c r="J10" s="380"/>
      <c r="K10" s="381"/>
      <c r="L10" s="292"/>
      <c r="M10" s="282"/>
      <c r="N10" s="300"/>
      <c r="O10" s="301"/>
      <c r="P10" s="292"/>
      <c r="Q10" s="301"/>
      <c r="R10" s="300"/>
      <c r="S10" s="301"/>
      <c r="T10" s="300"/>
      <c r="U10" s="301"/>
      <c r="V10" s="380"/>
      <c r="W10" s="381"/>
      <c r="X10" s="380"/>
      <c r="Y10" s="381"/>
      <c r="Z10" s="318"/>
      <c r="AA10" s="318"/>
      <c r="AB10" s="380"/>
      <c r="AC10" s="381"/>
      <c r="AD10" s="318"/>
      <c r="AE10" s="318"/>
      <c r="AF10" s="300"/>
      <c r="AG10" s="301"/>
      <c r="AH10" s="292"/>
      <c r="AS10" s="268">
        <v>1</v>
      </c>
      <c r="AT10" s="265" t="s">
        <v>680</v>
      </c>
      <c r="AU10" s="269">
        <f>BB16</f>
        <v>125</v>
      </c>
      <c r="BJ10" s="461" t="s">
        <v>729</v>
      </c>
      <c r="BK10" s="423"/>
      <c r="BL10" s="423"/>
      <c r="BM10" s="423"/>
      <c r="BN10" s="423"/>
      <c r="BO10" s="462"/>
    </row>
    <row r="11" spans="1:79" ht="18.75" customHeight="1" x14ac:dyDescent="0.25">
      <c r="B11" s="227" t="s">
        <v>73</v>
      </c>
      <c r="C11" s="232"/>
      <c r="D11" s="233"/>
      <c r="E11" s="233"/>
      <c r="F11" s="233"/>
      <c r="G11" s="282"/>
      <c r="H11" s="300"/>
      <c r="I11" s="282"/>
      <c r="J11" s="380"/>
      <c r="K11" s="381"/>
      <c r="L11" s="292"/>
      <c r="M11" s="282"/>
      <c r="N11" s="300"/>
      <c r="O11" s="301"/>
      <c r="P11" s="292"/>
      <c r="Q11" s="301"/>
      <c r="R11" s="300"/>
      <c r="S11" s="301"/>
      <c r="T11" s="300"/>
      <c r="U11" s="301"/>
      <c r="V11" s="380"/>
      <c r="W11" s="381"/>
      <c r="X11" s="380"/>
      <c r="Y11" s="381"/>
      <c r="Z11" s="318"/>
      <c r="AA11" s="318"/>
      <c r="AB11" s="380"/>
      <c r="AC11" s="381"/>
      <c r="AD11" s="318"/>
      <c r="AE11" s="318"/>
      <c r="AF11" s="300"/>
      <c r="AG11" s="301"/>
      <c r="AH11" s="292"/>
      <c r="AT11" s="265" t="s">
        <v>681</v>
      </c>
      <c r="AU11" s="269">
        <f>BB18</f>
        <v>1145</v>
      </c>
      <c r="AZ11" s="431" t="s">
        <v>687</v>
      </c>
      <c r="BA11" s="432"/>
      <c r="BB11" s="433" t="s">
        <v>513</v>
      </c>
      <c r="BC11" s="434">
        <v>0.3</v>
      </c>
      <c r="BD11" s="425"/>
      <c r="BJ11" s="442"/>
      <c r="BK11" s="440"/>
      <c r="BL11" s="440"/>
      <c r="BM11" s="440"/>
      <c r="BN11" s="440"/>
      <c r="BO11" s="437"/>
    </row>
    <row r="12" spans="1:79" ht="18.75" customHeight="1" x14ac:dyDescent="0.25">
      <c r="B12" s="230" t="s">
        <v>647</v>
      </c>
      <c r="C12" s="232"/>
      <c r="D12" s="234"/>
      <c r="E12" s="234"/>
      <c r="F12" s="234"/>
      <c r="G12" s="283">
        <f>SUM(D12:F12)</f>
        <v>0</v>
      </c>
      <c r="H12" s="302"/>
      <c r="I12" s="540"/>
      <c r="J12" s="382"/>
      <c r="K12" s="377"/>
      <c r="L12" s="293"/>
      <c r="M12" s="323"/>
      <c r="N12" s="302"/>
      <c r="O12" s="303"/>
      <c r="P12" s="293"/>
      <c r="Q12" s="303"/>
      <c r="R12" s="302"/>
      <c r="S12" s="303"/>
      <c r="T12" s="302"/>
      <c r="U12" s="303"/>
      <c r="V12" s="382"/>
      <c r="W12" s="377"/>
      <c r="X12" s="382"/>
      <c r="Y12" s="377"/>
      <c r="Z12" s="319">
        <f>SUMIF($AT$86:$AT$97,"DR PPE - Cost",AU$86:AU$97)+SUMIF($AT$86:$AT$97,"DR PPE - Accumulated depreciation",AU$86:AU$97)</f>
        <v>0</v>
      </c>
      <c r="AA12" s="319">
        <f>SUMIF($AT$86:$AT$97,"CR PPE - Cost",AV$86:AV$97)+SUMIF($AT$86:$AT$97,"CR PPE - Accumulated depreciation",AV$86:AV$97)</f>
        <v>0</v>
      </c>
      <c r="AB12" s="382"/>
      <c r="AC12" s="377"/>
      <c r="AD12" s="302">
        <f>SUMIF($AT$109:$AT$116,"DR PPE - Accumulated depreciation",$AU$109:$AU$116)</f>
        <v>0</v>
      </c>
      <c r="AE12" s="303">
        <f>-SUMIF($AT$109:$AT$116,"CR PPE - Accumulated depreciation",$AV$109:$AV$116)</f>
        <v>0</v>
      </c>
      <c r="AF12" s="302"/>
      <c r="AG12" s="303"/>
      <c r="AH12" s="309">
        <f>SUM(G12:AG12)</f>
        <v>0</v>
      </c>
      <c r="AT12" s="265" t="s">
        <v>732</v>
      </c>
      <c r="AU12" s="272">
        <f>BB19</f>
        <v>0</v>
      </c>
      <c r="AZ12" s="435"/>
      <c r="BA12" s="436"/>
      <c r="BB12" s="436"/>
      <c r="BC12" s="64"/>
      <c r="BD12" s="437"/>
      <c r="BJ12" s="442"/>
      <c r="BK12" s="440"/>
      <c r="BL12" s="440"/>
      <c r="BM12" s="440"/>
      <c r="BN12" s="440"/>
      <c r="BO12" s="437"/>
      <c r="BS12" s="399" t="s">
        <v>809</v>
      </c>
    </row>
    <row r="13" spans="1:79" ht="18.75" customHeight="1" x14ac:dyDescent="0.25">
      <c r="B13" s="230"/>
      <c r="C13" s="232"/>
      <c r="D13" s="233"/>
      <c r="E13" s="233"/>
      <c r="F13" s="233"/>
      <c r="G13" s="282"/>
      <c r="H13" s="302"/>
      <c r="I13" s="323"/>
      <c r="J13" s="382"/>
      <c r="K13" s="377"/>
      <c r="L13" s="293"/>
      <c r="M13" s="323"/>
      <c r="N13" s="302"/>
      <c r="O13" s="303"/>
      <c r="P13" s="293"/>
      <c r="Q13" s="303"/>
      <c r="R13" s="302"/>
      <c r="S13" s="303"/>
      <c r="T13" s="302"/>
      <c r="U13" s="303"/>
      <c r="V13" s="382"/>
      <c r="W13" s="377"/>
      <c r="X13" s="382"/>
      <c r="Y13" s="377"/>
      <c r="Z13" s="319"/>
      <c r="AA13" s="319"/>
      <c r="AB13" s="382"/>
      <c r="AC13" s="377"/>
      <c r="AD13" s="319"/>
      <c r="AE13" s="319"/>
      <c r="AF13" s="302"/>
      <c r="AG13" s="303"/>
      <c r="AH13" s="292"/>
      <c r="AT13" s="265" t="str" cm="1">
        <f t="array" ref="AT13">_xlfn.IFS(BC21&gt;0,"DR Goodwill",BC21&lt;0,"CR Gain on Bargain Purchase",BC21=0," ")</f>
        <v>DR Goodwill</v>
      </c>
      <c r="AU13" s="781">
        <f>IF(BC21&gt;0,BC21,0)</f>
        <v>197</v>
      </c>
      <c r="AV13" s="265">
        <f>IF(BC21&lt;0,-BC21,0)</f>
        <v>0</v>
      </c>
      <c r="AZ13" s="435" t="s">
        <v>512</v>
      </c>
      <c r="BA13" s="436"/>
      <c r="BB13" s="436"/>
      <c r="BC13" s="438">
        <f>+BC5+BC6</f>
        <v>1086</v>
      </c>
      <c r="BD13" s="437"/>
      <c r="BJ13" s="463" t="s">
        <v>744</v>
      </c>
      <c r="BK13" s="440"/>
      <c r="BL13" s="440"/>
      <c r="BM13" s="440"/>
      <c r="BN13" s="440"/>
      <c r="BO13" s="464"/>
    </row>
    <row r="14" spans="1:79" ht="18.75" customHeight="1" x14ac:dyDescent="0.25">
      <c r="B14" s="230" t="s">
        <v>220</v>
      </c>
      <c r="C14" s="232"/>
      <c r="D14" s="234"/>
      <c r="E14" s="234"/>
      <c r="F14" s="234"/>
      <c r="G14" s="283">
        <f>SUM(D14:F14)</f>
        <v>0</v>
      </c>
      <c r="H14" s="293">
        <f>SUMIF(AT10:AT17,"DR Goodwill",AU10:AU17)</f>
        <v>197</v>
      </c>
      <c r="I14" s="323">
        <f>-SUMIF($AT$10:$AT$17,"CR Goodwill",$AV$10:$AV$17)</f>
        <v>0</v>
      </c>
      <c r="J14" s="382"/>
      <c r="K14" s="377"/>
      <c r="L14" s="293">
        <f>SUMIF(AT33:AT35,"DR Goodwill",AU33:AU35)</f>
        <v>0</v>
      </c>
      <c r="M14" s="323">
        <f>-SUMIF(AT33:AT35,"CR Goodwill",AV33:AV35)</f>
        <v>0</v>
      </c>
      <c r="N14" s="302">
        <f>SUMIF($AT$38:$AT$42,"DR Goodwill",$AU$38:$AU$42)</f>
        <v>0</v>
      </c>
      <c r="O14" s="303">
        <f>-SUMIF($AT$38:$AT$42,"CR Goodwill",$AV$38:$AV$42)</f>
        <v>0</v>
      </c>
      <c r="P14" s="293"/>
      <c r="Q14" s="303"/>
      <c r="R14" s="302"/>
      <c r="S14" s="303"/>
      <c r="T14" s="302"/>
      <c r="U14" s="303"/>
      <c r="V14" s="382"/>
      <c r="W14" s="377"/>
      <c r="X14" s="382"/>
      <c r="Y14" s="377"/>
      <c r="Z14" s="319"/>
      <c r="AA14" s="319"/>
      <c r="AB14" s="302">
        <f>SUMIF($AT$100:$AT$104,"DR Goodwill",$AU$100:$AU$104)</f>
        <v>0</v>
      </c>
      <c r="AC14" s="303">
        <f>-SUMIF($AT$100:$AT$104,"CR Goodwill",$AV$100:$AV$104)</f>
        <v>0</v>
      </c>
      <c r="AD14" s="319"/>
      <c r="AE14" s="319"/>
      <c r="AF14" s="302"/>
      <c r="AG14" s="303"/>
      <c r="AH14" s="309">
        <f>SUM(G14:AG14)</f>
        <v>197</v>
      </c>
      <c r="AT14" s="265" t="s">
        <v>741</v>
      </c>
      <c r="AU14" s="781">
        <f>BB17</f>
        <v>0</v>
      </c>
      <c r="AZ14" s="435" t="s">
        <v>510</v>
      </c>
      <c r="BA14" s="436"/>
      <c r="BB14" s="439"/>
      <c r="BC14" s="439">
        <f>BC20*BC11</f>
        <v>381</v>
      </c>
      <c r="BD14" s="437"/>
      <c r="BJ14" s="463" t="s">
        <v>746</v>
      </c>
      <c r="BK14" s="440"/>
      <c r="BL14" s="440"/>
      <c r="BM14" s="440"/>
      <c r="BN14" s="448"/>
      <c r="BO14" s="437"/>
    </row>
    <row r="15" spans="1:79" ht="18.75" customHeight="1" x14ac:dyDescent="0.25">
      <c r="B15" s="230"/>
      <c r="C15" s="232"/>
      <c r="D15" s="233"/>
      <c r="E15" s="233"/>
      <c r="F15" s="233"/>
      <c r="G15" s="282"/>
      <c r="H15" s="302"/>
      <c r="I15" s="323"/>
      <c r="J15" s="382"/>
      <c r="K15" s="377"/>
      <c r="L15" s="293"/>
      <c r="M15" s="323"/>
      <c r="N15" s="302"/>
      <c r="O15" s="303"/>
      <c r="P15" s="293"/>
      <c r="Q15" s="303"/>
      <c r="R15" s="302"/>
      <c r="S15" s="303"/>
      <c r="T15" s="302"/>
      <c r="U15" s="303"/>
      <c r="V15" s="382"/>
      <c r="W15" s="377"/>
      <c r="X15" s="382"/>
      <c r="Y15" s="377"/>
      <c r="Z15" s="319"/>
      <c r="AA15" s="319"/>
      <c r="AB15" s="382"/>
      <c r="AC15" s="377"/>
      <c r="AD15" s="319"/>
      <c r="AE15" s="319"/>
      <c r="AF15" s="302"/>
      <c r="AG15" s="303"/>
      <c r="AH15" s="292"/>
      <c r="AT15" s="265" t="s">
        <v>740</v>
      </c>
      <c r="AV15" s="269">
        <f>BC13</f>
        <v>1086</v>
      </c>
      <c r="AZ15" s="435"/>
      <c r="BA15" s="436"/>
      <c r="BB15" s="439"/>
      <c r="BC15" s="774">
        <f>SUM(BC13:BC14)</f>
        <v>1467</v>
      </c>
      <c r="BD15" s="437"/>
      <c r="BJ15" s="463" t="s">
        <v>745</v>
      </c>
      <c r="BK15" s="440"/>
      <c r="BL15" s="440"/>
      <c r="BM15" s="440"/>
      <c r="BN15" s="440"/>
      <c r="BO15" s="465">
        <f>BN14*BO10</f>
        <v>0</v>
      </c>
    </row>
    <row r="16" spans="1:79" ht="18.75" customHeight="1" x14ac:dyDescent="0.25">
      <c r="B16" s="230" t="s">
        <v>648</v>
      </c>
      <c r="C16" s="232" t="s">
        <v>649</v>
      </c>
      <c r="D16" s="234"/>
      <c r="E16" s="234"/>
      <c r="F16" s="234"/>
      <c r="G16" s="283">
        <f>SUM(D16:F16)</f>
        <v>0</v>
      </c>
      <c r="H16" s="541"/>
      <c r="I16" s="323"/>
      <c r="J16" s="382"/>
      <c r="K16" s="377"/>
      <c r="L16" s="293"/>
      <c r="M16" s="323"/>
      <c r="N16" s="302"/>
      <c r="O16" s="303"/>
      <c r="P16" s="293"/>
      <c r="Q16" s="303"/>
      <c r="R16" s="302"/>
      <c r="S16" s="303"/>
      <c r="T16" s="302"/>
      <c r="U16" s="303"/>
      <c r="V16" s="382"/>
      <c r="W16" s="377"/>
      <c r="X16" s="382"/>
      <c r="Y16" s="377"/>
      <c r="Z16" s="319"/>
      <c r="AA16" s="319"/>
      <c r="AB16" s="382"/>
      <c r="AC16" s="377"/>
      <c r="AD16" s="319"/>
      <c r="AE16" s="319"/>
      <c r="AF16" s="302"/>
      <c r="AG16" s="303"/>
      <c r="AH16" s="309">
        <f>SUM(G16:AG16)</f>
        <v>0</v>
      </c>
      <c r="AT16" s="265" t="s">
        <v>817</v>
      </c>
      <c r="AV16" s="269">
        <f>BC14</f>
        <v>381</v>
      </c>
      <c r="AZ16" s="435" t="s">
        <v>678</v>
      </c>
      <c r="BA16" s="436"/>
      <c r="BB16" s="765">
        <f>BB2*0.5</f>
        <v>125</v>
      </c>
      <c r="BC16" s="439"/>
      <c r="BD16" s="437"/>
      <c r="BJ16" s="463" t="s">
        <v>747</v>
      </c>
      <c r="BK16" s="440"/>
      <c r="BL16" s="440"/>
      <c r="BM16" s="440"/>
      <c r="BN16" s="440"/>
      <c r="BO16" s="466">
        <f>BO13-BO15</f>
        <v>0</v>
      </c>
      <c r="BS16" s="852" t="s">
        <v>742</v>
      </c>
      <c r="BT16" s="852"/>
      <c r="BU16" s="852"/>
      <c r="BV16" s="852"/>
      <c r="BW16" s="852"/>
      <c r="BX16" s="852"/>
      <c r="BY16" s="852"/>
      <c r="BZ16" s="852"/>
      <c r="CA16" s="852"/>
    </row>
    <row r="17" spans="2:79" ht="18.75" customHeight="1" thickBot="1" x14ac:dyDescent="0.3">
      <c r="B17" s="230" t="s">
        <v>679</v>
      </c>
      <c r="C17" s="232"/>
      <c r="D17" s="234"/>
      <c r="E17" s="234"/>
      <c r="F17" s="234"/>
      <c r="G17" s="283">
        <f>SUM(D17:F17)</f>
        <v>0</v>
      </c>
      <c r="H17" s="302">
        <f>SUMIF($AT$10:$AT$17,"DR Investment in subsidiary",$AV$10:$AV$17)</f>
        <v>0</v>
      </c>
      <c r="I17" s="323">
        <f>-SUMIF($AT$10:$AT$17,"CR Investment in subsidiary",$AV$10:$AV$17)</f>
        <v>-1086</v>
      </c>
      <c r="J17" s="382"/>
      <c r="K17" s="377"/>
      <c r="L17" s="293">
        <f>SUMIF($AT33:$AT35,"DR Investment in subsidiary",$AU33:$AU35)</f>
        <v>0</v>
      </c>
      <c r="M17" s="323">
        <f>-SUMIF($AT33:$AT35,"CR Investment in subsidiary",AU33:AX35)</f>
        <v>0</v>
      </c>
      <c r="N17" s="302"/>
      <c r="O17" s="303"/>
      <c r="P17" s="293"/>
      <c r="Q17" s="303"/>
      <c r="R17" s="302"/>
      <c r="S17" s="303"/>
      <c r="T17" s="302"/>
      <c r="U17" s="303"/>
      <c r="V17" s="382"/>
      <c r="W17" s="377"/>
      <c r="X17" s="382"/>
      <c r="Y17" s="377"/>
      <c r="Z17" s="319"/>
      <c r="AA17" s="319"/>
      <c r="AB17" s="382"/>
      <c r="AC17" s="377"/>
      <c r="AD17" s="319"/>
      <c r="AE17" s="319"/>
      <c r="AF17" s="302"/>
      <c r="AG17" s="303"/>
      <c r="AH17" s="309">
        <f>SUM(G17:AG17)</f>
        <v>-1086</v>
      </c>
      <c r="AO17" s="399" t="s">
        <v>982</v>
      </c>
      <c r="AT17" s="245" t="str">
        <f>IF(BB20&gt;0,"DR Fair value adjustments","CR Fair value adjustments")</f>
        <v>CR Fair value adjustments</v>
      </c>
      <c r="AU17" s="264">
        <f>IF(BB20&gt;0,BB20,0)</f>
        <v>0</v>
      </c>
      <c r="AV17" s="264">
        <f>IF(BB20&lt;0,-BB20,0)</f>
        <v>0</v>
      </c>
      <c r="AZ17" s="435" t="s">
        <v>660</v>
      </c>
      <c r="BA17" s="440"/>
      <c r="BB17" s="765"/>
      <c r="BC17" s="83"/>
      <c r="BD17" s="437"/>
      <c r="BJ17" s="451"/>
      <c r="BK17" s="452"/>
      <c r="BL17" s="452"/>
      <c r="BM17" s="452"/>
      <c r="BN17" s="452"/>
      <c r="BO17" s="445"/>
      <c r="BS17" s="852"/>
      <c r="BT17" s="852"/>
      <c r="BU17" s="852"/>
      <c r="BV17" s="852"/>
      <c r="BW17" s="852"/>
      <c r="BX17" s="852"/>
      <c r="BY17" s="852"/>
      <c r="BZ17" s="852"/>
      <c r="CA17" s="852"/>
    </row>
    <row r="18" spans="2:79" ht="18.75" customHeight="1" x14ac:dyDescent="0.25">
      <c r="B18" s="230" t="s">
        <v>650</v>
      </c>
      <c r="C18" s="232" t="s">
        <v>651</v>
      </c>
      <c r="D18" s="234"/>
      <c r="E18" s="234"/>
      <c r="F18" s="234"/>
      <c r="G18" s="283">
        <f>SUM(D18:F18)</f>
        <v>0</v>
      </c>
      <c r="H18" s="302"/>
      <c r="I18" s="323"/>
      <c r="J18" s="382"/>
      <c r="K18" s="377"/>
      <c r="L18" s="293"/>
      <c r="M18" s="323"/>
      <c r="N18" s="302"/>
      <c r="O18" s="303"/>
      <c r="P18" s="293"/>
      <c r="Q18" s="303"/>
      <c r="R18" s="302"/>
      <c r="S18" s="303"/>
      <c r="T18" s="302"/>
      <c r="U18" s="303"/>
      <c r="V18" s="382"/>
      <c r="W18" s="377"/>
      <c r="X18" s="382"/>
      <c r="Y18" s="377"/>
      <c r="Z18" s="319"/>
      <c r="AA18" s="319"/>
      <c r="AB18" s="382"/>
      <c r="AC18" s="377"/>
      <c r="AD18" s="319"/>
      <c r="AE18" s="319"/>
      <c r="AF18" s="302"/>
      <c r="AG18" s="303"/>
      <c r="AH18" s="309">
        <f>SUM(G18:AG18)</f>
        <v>0</v>
      </c>
      <c r="AZ18" s="435" t="s">
        <v>19</v>
      </c>
      <c r="BA18" s="436"/>
      <c r="BB18" s="765">
        <v>1145</v>
      </c>
      <c r="BC18" s="440"/>
      <c r="BD18" s="437"/>
      <c r="BS18" s="852"/>
      <c r="BT18" s="852"/>
      <c r="BU18" s="852"/>
      <c r="BV18" s="852"/>
      <c r="BW18" s="852"/>
      <c r="BX18" s="852"/>
      <c r="BY18" s="852"/>
      <c r="BZ18" s="852"/>
      <c r="CA18" s="852"/>
    </row>
    <row r="19" spans="2:79" ht="18.75" customHeight="1" x14ac:dyDescent="0.25">
      <c r="B19" s="230" t="s">
        <v>652</v>
      </c>
      <c r="C19" s="232" t="s">
        <v>649</v>
      </c>
      <c r="D19" s="235"/>
      <c r="E19" s="235"/>
      <c r="F19" s="235"/>
      <c r="G19" s="283">
        <f>SUM(D19:F19)</f>
        <v>0</v>
      </c>
      <c r="H19" s="302"/>
      <c r="I19" s="323"/>
      <c r="J19" s="382"/>
      <c r="K19" s="377"/>
      <c r="L19" s="293"/>
      <c r="M19" s="323"/>
      <c r="N19" s="302"/>
      <c r="O19" s="303"/>
      <c r="P19" s="293"/>
      <c r="Q19" s="303"/>
      <c r="R19" s="302"/>
      <c r="S19" s="303"/>
      <c r="T19" s="302"/>
      <c r="U19" s="303"/>
      <c r="V19" s="382"/>
      <c r="W19" s="377"/>
      <c r="X19" s="382"/>
      <c r="Y19" s="377"/>
      <c r="Z19" s="319"/>
      <c r="AA19" s="319"/>
      <c r="AB19" s="382"/>
      <c r="AC19" s="377"/>
      <c r="AD19" s="319"/>
      <c r="AE19" s="319"/>
      <c r="AF19" s="302"/>
      <c r="AG19" s="303"/>
      <c r="AH19" s="309">
        <f>SUM(G19:AG19)</f>
        <v>0</v>
      </c>
      <c r="AZ19" s="435" t="s">
        <v>730</v>
      </c>
      <c r="BA19" s="440"/>
      <c r="BB19" s="765"/>
      <c r="BC19" s="441"/>
      <c r="BD19" s="437"/>
      <c r="BS19" s="852"/>
      <c r="BT19" s="852"/>
      <c r="BU19" s="852"/>
      <c r="BV19" s="852"/>
      <c r="BW19" s="852"/>
      <c r="BX19" s="852"/>
      <c r="BY19" s="852"/>
      <c r="BZ19" s="852"/>
      <c r="CA19" s="852"/>
    </row>
    <row r="20" spans="2:79" ht="18.75" customHeight="1" x14ac:dyDescent="0.25">
      <c r="B20" s="230"/>
      <c r="C20" s="232"/>
      <c r="D20" s="236">
        <f>SUM(D12:D19)</f>
        <v>0</v>
      </c>
      <c r="E20" s="236">
        <f>SUM(E12:E19)</f>
        <v>0</v>
      </c>
      <c r="F20" s="236">
        <f>SUM(F12:F19)</f>
        <v>0</v>
      </c>
      <c r="G20" s="285">
        <f>SUM(G12:G19)</f>
        <v>0</v>
      </c>
      <c r="H20" s="300"/>
      <c r="I20" s="282"/>
      <c r="J20" s="383"/>
      <c r="K20" s="384"/>
      <c r="L20" s="294"/>
      <c r="M20" s="401"/>
      <c r="N20" s="315"/>
      <c r="O20" s="316"/>
      <c r="P20" s="294"/>
      <c r="Q20" s="316"/>
      <c r="R20" s="315"/>
      <c r="S20" s="316"/>
      <c r="T20" s="315"/>
      <c r="U20" s="316"/>
      <c r="V20" s="383"/>
      <c r="W20" s="384"/>
      <c r="X20" s="383"/>
      <c r="Y20" s="384"/>
      <c r="Z20" s="320"/>
      <c r="AA20" s="320"/>
      <c r="AB20" s="383"/>
      <c r="AC20" s="384"/>
      <c r="AD20" s="320"/>
      <c r="AE20" s="320"/>
      <c r="AF20" s="315"/>
      <c r="AG20" s="316"/>
      <c r="AH20" s="310">
        <f>SUM(AH12:AH19)</f>
        <v>-889</v>
      </c>
      <c r="AZ20" s="435" t="s">
        <v>995</v>
      </c>
      <c r="BA20" s="440"/>
      <c r="BB20" s="765"/>
      <c r="BC20" s="775">
        <f>SUM(BB16:BB20)</f>
        <v>1270</v>
      </c>
      <c r="BD20" s="437"/>
    </row>
    <row r="21" spans="2:79" ht="18.75" customHeight="1" thickBot="1" x14ac:dyDescent="0.3">
      <c r="B21" s="227" t="s">
        <v>76</v>
      </c>
      <c r="C21" s="232"/>
      <c r="D21" s="237"/>
      <c r="E21" s="237"/>
      <c r="F21" s="237"/>
      <c r="G21" s="286"/>
      <c r="H21" s="304"/>
      <c r="I21" s="286"/>
      <c r="J21" s="385"/>
      <c r="K21" s="386"/>
      <c r="L21" s="295"/>
      <c r="M21" s="286"/>
      <c r="N21" s="304"/>
      <c r="O21" s="305"/>
      <c r="P21" s="295"/>
      <c r="Q21" s="305"/>
      <c r="R21" s="304"/>
      <c r="S21" s="305"/>
      <c r="T21" s="304"/>
      <c r="U21" s="305"/>
      <c r="V21" s="385"/>
      <c r="W21" s="386"/>
      <c r="X21" s="385"/>
      <c r="Y21" s="386"/>
      <c r="Z21" s="321"/>
      <c r="AA21" s="321"/>
      <c r="AB21" s="385"/>
      <c r="AC21" s="386"/>
      <c r="AD21" s="321"/>
      <c r="AE21" s="321"/>
      <c r="AF21" s="304"/>
      <c r="AG21" s="305"/>
      <c r="AH21" s="295"/>
      <c r="AZ21" s="443" t="s">
        <v>220</v>
      </c>
      <c r="BA21" s="444"/>
      <c r="BB21" s="129"/>
      <c r="BC21" s="776">
        <f>BC15-BC20</f>
        <v>197</v>
      </c>
      <c r="BD21" s="445"/>
      <c r="BS21" s="399" t="s">
        <v>1870</v>
      </c>
    </row>
    <row r="22" spans="2:79" ht="18.75" customHeight="1" thickBot="1" x14ac:dyDescent="0.3">
      <c r="B22" s="230" t="s">
        <v>56</v>
      </c>
      <c r="C22" s="232"/>
      <c r="D22" s="234"/>
      <c r="E22" s="234"/>
      <c r="F22" s="234"/>
      <c r="G22" s="283">
        <f>SUM(D22:F22)</f>
        <v>0</v>
      </c>
      <c r="H22" s="302"/>
      <c r="I22" s="323"/>
      <c r="J22" s="382"/>
      <c r="K22" s="377"/>
      <c r="L22" s="293"/>
      <c r="M22" s="323"/>
      <c r="N22" s="302"/>
      <c r="O22" s="303"/>
      <c r="P22" s="293"/>
      <c r="Q22" s="303"/>
      <c r="R22" s="302">
        <f>SUMIF($AT$54:$AT$58,"DR Inventory",$AU$54:$AU$58)</f>
        <v>0</v>
      </c>
      <c r="S22" s="303">
        <f>-SUMIF($AT$54:$AT$58,"CR inventory",$AV$54:$AV$58)</f>
        <v>0</v>
      </c>
      <c r="T22" s="302">
        <f>SUMIF($AT$61:$AT$65,"DR Inventory",$AU$61:$AU$65)</f>
        <v>0</v>
      </c>
      <c r="U22" s="303">
        <f>-SUMIF($AT$61:$AT$65,"CR inventory",$AV$61:$AV$65)</f>
        <v>0</v>
      </c>
      <c r="V22" s="302">
        <f>SUMIF($AT$69:$AT$76,"DR Inventory",$AU$69:$AU$76)</f>
        <v>0</v>
      </c>
      <c r="W22" s="303">
        <f>-SUMIF($AT$69:$AT$76,"CR inventory",$AV$69:$AV$76)</f>
        <v>-11.1</v>
      </c>
      <c r="X22" s="382"/>
      <c r="Y22" s="377"/>
      <c r="Z22" s="319"/>
      <c r="AA22" s="319"/>
      <c r="AB22" s="382"/>
      <c r="AC22" s="377"/>
      <c r="AD22" s="302">
        <f>SUMIF($AT$109:$AT$116,"DR Inventory",$AU$109:$AU$116)</f>
        <v>0</v>
      </c>
      <c r="AE22" s="303">
        <f>-SUMIF($AT$109:$AT$116,"CR inventory",$AV$109:$AV$116)</f>
        <v>0</v>
      </c>
      <c r="AF22" s="302"/>
      <c r="AG22" s="303"/>
      <c r="AH22" s="309">
        <f>SUM(G22:S22)</f>
        <v>0</v>
      </c>
      <c r="AS22" s="268">
        <v>2</v>
      </c>
      <c r="AT22" s="265" t="s">
        <v>803</v>
      </c>
      <c r="AU22" s="272">
        <f>BC30</f>
        <v>32.680000000000007</v>
      </c>
    </row>
    <row r="23" spans="2:79" ht="18.75" customHeight="1" x14ac:dyDescent="0.25">
      <c r="B23" s="230" t="s">
        <v>653</v>
      </c>
      <c r="C23" s="232"/>
      <c r="D23" s="234"/>
      <c r="E23" s="234"/>
      <c r="F23" s="234"/>
      <c r="G23" s="283">
        <f>SUM(D23:F23)</f>
        <v>0</v>
      </c>
      <c r="H23" s="302"/>
      <c r="I23" s="323"/>
      <c r="J23" s="382"/>
      <c r="K23" s="377"/>
      <c r="L23" s="293"/>
      <c r="M23" s="323"/>
      <c r="N23" s="302"/>
      <c r="O23" s="303"/>
      <c r="P23" s="293"/>
      <c r="Q23" s="303"/>
      <c r="R23" s="302">
        <f>SUMIF($AT$54:$AT$58,"DR Trade receivables",$AU$54:$AU$58)</f>
        <v>0</v>
      </c>
      <c r="S23" s="303">
        <f>-SUMIF($AT$54:$AT$82,"CR Trade receivables",$AV$54:$AV$82)</f>
        <v>0</v>
      </c>
      <c r="T23" s="302"/>
      <c r="U23" s="303"/>
      <c r="V23" s="382"/>
      <c r="W23" s="377"/>
      <c r="X23" s="382"/>
      <c r="Y23" s="377"/>
      <c r="Z23" s="319"/>
      <c r="AA23" s="319"/>
      <c r="AB23" s="382"/>
      <c r="AC23" s="377"/>
      <c r="AD23" s="319"/>
      <c r="AE23" s="319"/>
      <c r="AF23" s="302"/>
      <c r="AG23" s="303"/>
      <c r="AH23" s="309">
        <f>SUM(G23:AG23)</f>
        <v>0</v>
      </c>
      <c r="AT23" s="265" t="str">
        <f>IF(BC31&lt;0,"DR Retained earnings","CR Retained Earnings")</f>
        <v>DR Retained earnings</v>
      </c>
      <c r="AU23" s="273">
        <f>IF(BC31&lt;0,-BC31,0)</f>
        <v>232.32</v>
      </c>
      <c r="AV23" s="265">
        <f>IF(BC31&gt;0,BC31,0)</f>
        <v>0</v>
      </c>
      <c r="AZ23" s="446" t="s">
        <v>810</v>
      </c>
      <c r="BA23" s="423"/>
      <c r="BB23" s="423"/>
      <c r="BC23" s="423"/>
      <c r="BD23" s="425"/>
    </row>
    <row r="24" spans="2:79" ht="18.75" customHeight="1" x14ac:dyDescent="0.25">
      <c r="B24" s="230" t="s">
        <v>654</v>
      </c>
      <c r="C24" s="232" t="s">
        <v>649</v>
      </c>
      <c r="D24" s="234"/>
      <c r="E24" s="234"/>
      <c r="F24" s="234"/>
      <c r="G24" s="283">
        <f>SUM(D24:F24)</f>
        <v>0</v>
      </c>
      <c r="H24" s="302"/>
      <c r="I24" s="323"/>
      <c r="J24" s="382"/>
      <c r="K24" s="377"/>
      <c r="L24" s="293"/>
      <c r="M24" s="323"/>
      <c r="N24" s="302"/>
      <c r="O24" s="303"/>
      <c r="P24" s="293"/>
      <c r="Q24" s="303"/>
      <c r="R24" s="302"/>
      <c r="S24" s="303"/>
      <c r="T24" s="302"/>
      <c r="U24" s="303"/>
      <c r="V24" s="382"/>
      <c r="W24" s="377"/>
      <c r="X24" s="382"/>
      <c r="Y24" s="377"/>
      <c r="Z24" s="319"/>
      <c r="AA24" s="319"/>
      <c r="AB24" s="382"/>
      <c r="AC24" s="377"/>
      <c r="AD24" s="319"/>
      <c r="AE24" s="319"/>
      <c r="AF24" s="302"/>
      <c r="AG24" s="303"/>
      <c r="AH24" s="309">
        <f>SUM(G24:AG24)</f>
        <v>0</v>
      </c>
      <c r="AT24" s="265" t="s">
        <v>740</v>
      </c>
      <c r="AV24" s="272">
        <f>BC24</f>
        <v>265</v>
      </c>
      <c r="AZ24" s="442" t="s">
        <v>811</v>
      </c>
      <c r="BA24" s="440"/>
      <c r="BB24" s="440"/>
      <c r="BC24" s="68">
        <f>+BC7</f>
        <v>265</v>
      </c>
      <c r="BD24" s="437"/>
      <c r="BG24" s="658"/>
    </row>
    <row r="25" spans="2:79" ht="18.75" customHeight="1" x14ac:dyDescent="0.25">
      <c r="B25" s="230" t="s">
        <v>92</v>
      </c>
      <c r="C25" s="232"/>
      <c r="D25" s="234"/>
      <c r="E25" s="234"/>
      <c r="F25" s="234"/>
      <c r="G25" s="283">
        <f>SUM(D25:F25)</f>
        <v>0</v>
      </c>
      <c r="H25" s="302"/>
      <c r="I25" s="323"/>
      <c r="J25" s="382"/>
      <c r="K25" s="377"/>
      <c r="L25" s="293"/>
      <c r="M25" s="323"/>
      <c r="N25" s="302"/>
      <c r="O25" s="303"/>
      <c r="P25" s="293"/>
      <c r="Q25" s="303"/>
      <c r="R25" s="302">
        <f>SUMIF($AT$54:$AT$58,"DR Cash and cash equivalents",$AU$54:$AU$58)</f>
        <v>0</v>
      </c>
      <c r="S25" s="303">
        <f>-SUMIF($AT$54:$AT$82,"CR Cash and cash equivalents",$AV$54:$AV$82)</f>
        <v>0</v>
      </c>
      <c r="T25" s="302"/>
      <c r="U25" s="303"/>
      <c r="V25" s="382"/>
      <c r="W25" s="377"/>
      <c r="X25" s="382"/>
      <c r="Y25" s="377"/>
      <c r="Z25" s="319"/>
      <c r="AA25" s="319"/>
      <c r="AB25" s="302">
        <f>SUMIF($AT$100:$AT$104,"DR Cash and cash equivalents",$AU$100:$AU$104)</f>
        <v>0</v>
      </c>
      <c r="AC25" s="303">
        <f>-SUMIF($AT$100:$AT$104,"CR Cash and cash equivalents",$AU$100:$AU$104)</f>
        <v>0</v>
      </c>
      <c r="AD25" s="319"/>
      <c r="AE25" s="319"/>
      <c r="AF25" s="302"/>
      <c r="AG25" s="303"/>
      <c r="AH25" s="309">
        <f>SUM(G25:AG25)</f>
        <v>0</v>
      </c>
      <c r="AZ25" s="442" t="s">
        <v>812</v>
      </c>
      <c r="BA25" s="777">
        <v>0.7</v>
      </c>
      <c r="BB25" s="440"/>
      <c r="BC25" s="440"/>
      <c r="BD25" s="437"/>
      <c r="BJ25" s="659"/>
    </row>
    <row r="26" spans="2:79" ht="18.75" customHeight="1" x14ac:dyDescent="0.25">
      <c r="B26" s="230"/>
      <c r="C26" s="232"/>
      <c r="D26" s="236">
        <f>SUM(D22:D25)</f>
        <v>0</v>
      </c>
      <c r="E26" s="236">
        <f>SUM(E22:E25)</f>
        <v>0</v>
      </c>
      <c r="F26" s="236">
        <f>SUM(F22:F25)</f>
        <v>0</v>
      </c>
      <c r="G26" s="285">
        <f>SUM(G22:G25)</f>
        <v>0</v>
      </c>
      <c r="H26" s="300"/>
      <c r="I26" s="282"/>
      <c r="J26" s="380"/>
      <c r="K26" s="381"/>
      <c r="L26" s="292"/>
      <c r="M26" s="282"/>
      <c r="N26" s="315"/>
      <c r="O26" s="316"/>
      <c r="P26" s="294"/>
      <c r="Q26" s="316"/>
      <c r="R26" s="315"/>
      <c r="S26" s="316"/>
      <c r="T26" s="315"/>
      <c r="U26" s="316"/>
      <c r="V26" s="383"/>
      <c r="W26" s="384"/>
      <c r="X26" s="383"/>
      <c r="Y26" s="384"/>
      <c r="Z26" s="320"/>
      <c r="AA26" s="320"/>
      <c r="AB26" s="383"/>
      <c r="AC26" s="384"/>
      <c r="AD26" s="320"/>
      <c r="AE26" s="320"/>
      <c r="AF26" s="315"/>
      <c r="AG26" s="316"/>
      <c r="AH26" s="310">
        <f>SUM(AH22:AH25)</f>
        <v>0</v>
      </c>
      <c r="AZ26" s="442" t="s">
        <v>813</v>
      </c>
      <c r="BA26" s="778">
        <f>BD7</f>
        <v>0.85199999999999998</v>
      </c>
      <c r="BB26" s="440"/>
      <c r="BC26" s="440"/>
      <c r="BD26" s="437"/>
      <c r="BG26" s="658"/>
      <c r="BK26" s="419"/>
      <c r="BL26" s="419"/>
      <c r="BM26" s="277"/>
    </row>
    <row r="27" spans="2:79" ht="18.75" customHeight="1" thickBot="1" x14ac:dyDescent="0.3">
      <c r="B27" s="227" t="s">
        <v>655</v>
      </c>
      <c r="C27" s="232"/>
      <c r="D27" s="238">
        <f>SUM(D20,D26)</f>
        <v>0</v>
      </c>
      <c r="E27" s="238">
        <f>SUM(E20,E26)</f>
        <v>0</v>
      </c>
      <c r="F27" s="238">
        <f>SUM(F20,F26)</f>
        <v>0</v>
      </c>
      <c r="G27" s="287">
        <f>SUM(G20,G26)</f>
        <v>0</v>
      </c>
      <c r="H27" s="300"/>
      <c r="I27" s="282"/>
      <c r="J27" s="380"/>
      <c r="K27" s="381"/>
      <c r="L27" s="292"/>
      <c r="M27" s="282"/>
      <c r="N27" s="315"/>
      <c r="O27" s="316"/>
      <c r="P27" s="294"/>
      <c r="Q27" s="316"/>
      <c r="R27" s="315"/>
      <c r="S27" s="316"/>
      <c r="T27" s="315"/>
      <c r="U27" s="316"/>
      <c r="V27" s="383"/>
      <c r="W27" s="384"/>
      <c r="X27" s="383"/>
      <c r="Y27" s="384"/>
      <c r="Z27" s="320"/>
      <c r="AA27" s="320"/>
      <c r="AB27" s="383"/>
      <c r="AC27" s="384"/>
      <c r="AD27" s="320"/>
      <c r="AE27" s="320"/>
      <c r="AF27" s="315"/>
      <c r="AG27" s="316"/>
      <c r="AH27" s="311">
        <f>SUM(AH20,AH26)</f>
        <v>-889</v>
      </c>
      <c r="AZ27" s="442" t="s">
        <v>814</v>
      </c>
      <c r="BA27" s="779">
        <f>BA26-BA25</f>
        <v>0.15200000000000002</v>
      </c>
      <c r="BB27" s="440"/>
      <c r="BC27" s="440"/>
      <c r="BD27" s="437"/>
      <c r="BG27" s="658"/>
      <c r="BK27" s="419"/>
      <c r="BL27" s="487"/>
    </row>
    <row r="28" spans="2:79" ht="18.75" customHeight="1" x14ac:dyDescent="0.25">
      <c r="B28" s="230"/>
      <c r="C28" s="232"/>
      <c r="D28" s="237"/>
      <c r="E28" s="237"/>
      <c r="F28" s="237"/>
      <c r="G28" s="286"/>
      <c r="H28" s="304"/>
      <c r="I28" s="286"/>
      <c r="J28" s="385"/>
      <c r="K28" s="386"/>
      <c r="L28" s="295"/>
      <c r="M28" s="286"/>
      <c r="N28" s="304"/>
      <c r="O28" s="305"/>
      <c r="P28" s="295"/>
      <c r="Q28" s="305"/>
      <c r="R28" s="304"/>
      <c r="S28" s="305"/>
      <c r="T28" s="304"/>
      <c r="U28" s="305"/>
      <c r="V28" s="385"/>
      <c r="W28" s="386"/>
      <c r="X28" s="385"/>
      <c r="Y28" s="386"/>
      <c r="Z28" s="321"/>
      <c r="AA28" s="321"/>
      <c r="AB28" s="385"/>
      <c r="AC28" s="386"/>
      <c r="AD28" s="321"/>
      <c r="AE28" s="321"/>
      <c r="AF28" s="304"/>
      <c r="AG28" s="305"/>
      <c r="AH28" s="295"/>
      <c r="AZ28" s="442" t="s">
        <v>497</v>
      </c>
      <c r="BA28" s="448">
        <f>1235-1145</f>
        <v>90</v>
      </c>
      <c r="BB28" s="440"/>
      <c r="BC28" s="440"/>
      <c r="BD28" s="437"/>
    </row>
    <row r="29" spans="2:79" ht="18.75" customHeight="1" x14ac:dyDescent="0.25">
      <c r="B29" s="227" t="s">
        <v>656</v>
      </c>
      <c r="C29" s="232"/>
      <c r="D29" s="233"/>
      <c r="E29" s="233"/>
      <c r="F29" s="233"/>
      <c r="G29" s="282"/>
      <c r="H29" s="300"/>
      <c r="I29" s="282"/>
      <c r="J29" s="380"/>
      <c r="K29" s="381"/>
      <c r="L29" s="292"/>
      <c r="M29" s="282"/>
      <c r="N29" s="300"/>
      <c r="O29" s="301"/>
      <c r="P29" s="292"/>
      <c r="Q29" s="301"/>
      <c r="R29" s="300"/>
      <c r="S29" s="301"/>
      <c r="T29" s="300"/>
      <c r="U29" s="301"/>
      <c r="V29" s="380"/>
      <c r="W29" s="381"/>
      <c r="X29" s="380"/>
      <c r="Y29" s="381"/>
      <c r="Z29" s="318"/>
      <c r="AA29" s="318"/>
      <c r="AB29" s="380"/>
      <c r="AC29" s="381"/>
      <c r="AD29" s="318"/>
      <c r="AE29" s="318"/>
      <c r="AF29" s="300"/>
      <c r="AG29" s="301"/>
      <c r="AH29" s="292"/>
      <c r="AZ29" s="442" t="s">
        <v>845</v>
      </c>
      <c r="BA29" s="448">
        <f>+BB16</f>
        <v>125</v>
      </c>
      <c r="BB29" s="449">
        <f>BA28+BA29</f>
        <v>215</v>
      </c>
      <c r="BC29" s="440"/>
      <c r="BD29" s="437"/>
    </row>
    <row r="30" spans="2:79" ht="18.75" customHeight="1" x14ac:dyDescent="0.25">
      <c r="B30" s="227" t="s">
        <v>657</v>
      </c>
      <c r="C30" s="232"/>
      <c r="D30" s="233"/>
      <c r="E30" s="233"/>
      <c r="F30" s="233"/>
      <c r="G30" s="282"/>
      <c r="H30" s="300"/>
      <c r="I30" s="282"/>
      <c r="J30" s="380"/>
      <c r="K30" s="381"/>
      <c r="L30" s="292"/>
      <c r="M30" s="282"/>
      <c r="N30" s="300"/>
      <c r="O30" s="301"/>
      <c r="P30" s="292"/>
      <c r="Q30" s="301"/>
      <c r="R30" s="300"/>
      <c r="S30" s="301"/>
      <c r="T30" s="300"/>
      <c r="U30" s="301"/>
      <c r="V30" s="380"/>
      <c r="W30" s="381"/>
      <c r="X30" s="380"/>
      <c r="Y30" s="381"/>
      <c r="Z30" s="318"/>
      <c r="AA30" s="318"/>
      <c r="AB30" s="380"/>
      <c r="AC30" s="381"/>
      <c r="AD30" s="318"/>
      <c r="AE30" s="318"/>
      <c r="AF30" s="300"/>
      <c r="AG30" s="301"/>
      <c r="AH30" s="292"/>
      <c r="AZ30" s="442" t="s">
        <v>815</v>
      </c>
      <c r="BA30" s="413"/>
      <c r="BB30" s="413"/>
      <c r="BC30" s="412">
        <f>BB29*BA27</f>
        <v>32.680000000000007</v>
      </c>
      <c r="BD30" s="437"/>
    </row>
    <row r="31" spans="2:79" ht="18.75" customHeight="1" thickBot="1" x14ac:dyDescent="0.3">
      <c r="B31" s="230" t="s">
        <v>658</v>
      </c>
      <c r="C31" s="232"/>
      <c r="D31" s="234"/>
      <c r="E31" s="234"/>
      <c r="F31" s="234"/>
      <c r="G31" s="283">
        <f>SUM(D31:F31)</f>
        <v>0</v>
      </c>
      <c r="H31" s="302">
        <f>SUMIF($AT10:$AT16,"DR Share Capital",$AU10:$AU16)</f>
        <v>125</v>
      </c>
      <c r="I31" s="323">
        <f>-SUMIF($AT10:$AT16,"CR Share Capital",$AV10:$AV16)</f>
        <v>0</v>
      </c>
      <c r="J31" s="382"/>
      <c r="K31" s="377"/>
      <c r="L31" s="293">
        <f>SUMIF($AT33:$AT35,"DR Share Capital",$AU33:$AU35)</f>
        <v>0</v>
      </c>
      <c r="M31" s="323">
        <f>-SUMIF($AT33:$AT35,"CR Share Capital",$AV33:$AV35)</f>
        <v>0</v>
      </c>
      <c r="N31" s="302"/>
      <c r="O31" s="303"/>
      <c r="P31" s="293"/>
      <c r="Q31" s="303"/>
      <c r="R31" s="302"/>
      <c r="S31" s="303"/>
      <c r="T31" s="302"/>
      <c r="U31" s="303"/>
      <c r="V31" s="382"/>
      <c r="W31" s="377"/>
      <c r="X31" s="382"/>
      <c r="Y31" s="377"/>
      <c r="Z31" s="319"/>
      <c r="AA31" s="319"/>
      <c r="AB31" s="382"/>
      <c r="AC31" s="377"/>
      <c r="AD31" s="319"/>
      <c r="AE31" s="319"/>
      <c r="AF31" s="302"/>
      <c r="AG31" s="303"/>
      <c r="AH31" s="309">
        <f>G31-SUM(H31:AG31)</f>
        <v>-125</v>
      </c>
      <c r="AZ31" s="450" t="s">
        <v>816</v>
      </c>
      <c r="BA31" s="440"/>
      <c r="BB31" s="441"/>
      <c r="BC31" s="279">
        <f>BC30-BC24</f>
        <v>-232.32</v>
      </c>
      <c r="BD31" s="437"/>
    </row>
    <row r="32" spans="2:79" ht="18.75" customHeight="1" thickTop="1" thickBot="1" x14ac:dyDescent="0.3">
      <c r="B32" s="230" t="s">
        <v>659</v>
      </c>
      <c r="C32" s="232"/>
      <c r="D32" s="234"/>
      <c r="E32" s="234"/>
      <c r="F32" s="234"/>
      <c r="G32" s="283">
        <f>SUM(D32:F32)</f>
        <v>0</v>
      </c>
      <c r="H32" s="302"/>
      <c r="I32" s="323"/>
      <c r="J32" s="382"/>
      <c r="K32" s="377"/>
      <c r="L32" s="293"/>
      <c r="M32" s="323"/>
      <c r="N32" s="302"/>
      <c r="O32" s="303"/>
      <c r="P32" s="293"/>
      <c r="Q32" s="303"/>
      <c r="R32" s="302"/>
      <c r="S32" s="303"/>
      <c r="T32" s="302"/>
      <c r="U32" s="303"/>
      <c r="V32" s="382"/>
      <c r="W32" s="377"/>
      <c r="X32" s="382"/>
      <c r="Y32" s="377"/>
      <c r="Z32" s="319"/>
      <c r="AA32" s="319"/>
      <c r="AB32" s="382"/>
      <c r="AC32" s="377"/>
      <c r="AD32" s="319"/>
      <c r="AE32" s="319"/>
      <c r="AF32" s="302"/>
      <c r="AG32" s="303"/>
      <c r="AH32" s="309">
        <f>G32-SUM(H32:AG32)</f>
        <v>0</v>
      </c>
      <c r="AZ32" s="451"/>
      <c r="BA32" s="452"/>
      <c r="BB32" s="452"/>
      <c r="BC32" s="452"/>
      <c r="BD32" s="445"/>
    </row>
    <row r="33" spans="2:67" ht="18.75" customHeight="1" thickBot="1" x14ac:dyDescent="0.3">
      <c r="B33" s="230" t="s">
        <v>660</v>
      </c>
      <c r="C33" s="232"/>
      <c r="D33" s="234"/>
      <c r="E33" s="234"/>
      <c r="F33" s="234"/>
      <c r="G33" s="283">
        <f>SUM(D33:F33)</f>
        <v>0</v>
      </c>
      <c r="H33" s="302">
        <f>SUMIF($AT8:$AT14,"DR Share Premium",$AU8:$AU14)</f>
        <v>0</v>
      </c>
      <c r="I33" s="323">
        <f>-SUMIF($AT8:$AT14,"CR Share Premium",AV8:AV14)</f>
        <v>0</v>
      </c>
      <c r="J33" s="382"/>
      <c r="K33" s="377"/>
      <c r="L33" s="293"/>
      <c r="M33" s="323"/>
      <c r="N33" s="302"/>
      <c r="O33" s="303"/>
      <c r="P33" s="293"/>
      <c r="Q33" s="303"/>
      <c r="R33" s="302"/>
      <c r="S33" s="303"/>
      <c r="T33" s="302"/>
      <c r="U33" s="303"/>
      <c r="V33" s="382"/>
      <c r="W33" s="377"/>
      <c r="X33" s="382"/>
      <c r="Y33" s="377"/>
      <c r="Z33" s="319"/>
      <c r="AA33" s="319"/>
      <c r="AB33" s="382"/>
      <c r="AC33" s="377"/>
      <c r="AD33" s="319"/>
      <c r="AE33" s="319"/>
      <c r="AF33" s="302"/>
      <c r="AG33" s="303"/>
      <c r="AH33" s="309">
        <f>G33-SUM(H33:AG33)</f>
        <v>0</v>
      </c>
      <c r="AS33" s="274">
        <v>3</v>
      </c>
      <c r="AT33" s="265" t="s">
        <v>681</v>
      </c>
      <c r="AU33" s="372">
        <f>BC36</f>
        <v>0</v>
      </c>
      <c r="AZ33" s="399" t="s">
        <v>1558</v>
      </c>
      <c r="BJ33" s="277"/>
    </row>
    <row r="34" spans="2:67" ht="18.75" customHeight="1" x14ac:dyDescent="0.25">
      <c r="B34" s="230" t="s">
        <v>661</v>
      </c>
      <c r="C34" s="232"/>
      <c r="D34" s="234"/>
      <c r="E34" s="234"/>
      <c r="F34" s="234"/>
      <c r="G34" s="283">
        <f>SUM(D34:F34)</f>
        <v>0</v>
      </c>
      <c r="H34" s="302">
        <f>SUMIF($AT9:$AT15,"DR Reserves",$AU9:$AU15)+SUMIF($AT9:$AT15,"DR Revaluation surplus",$AU9:$AU15)</f>
        <v>0</v>
      </c>
      <c r="I34" s="323">
        <f>-SUMIF($AT9:$AT15,"CR Reserves",AV9:AV15)-SUMIF($AT9:$AT15,"CR Revaluation surplus",AV9:AV15)</f>
        <v>0</v>
      </c>
      <c r="J34" s="382"/>
      <c r="K34" s="377"/>
      <c r="L34" s="293"/>
      <c r="M34" s="323"/>
      <c r="N34" s="302"/>
      <c r="O34" s="303"/>
      <c r="P34" s="293"/>
      <c r="Q34" s="303"/>
      <c r="R34" s="302"/>
      <c r="S34" s="303"/>
      <c r="T34" s="302"/>
      <c r="U34" s="303"/>
      <c r="V34" s="382"/>
      <c r="W34" s="377"/>
      <c r="X34" s="382"/>
      <c r="Y34" s="377"/>
      <c r="Z34" s="319"/>
      <c r="AA34" s="319"/>
      <c r="AB34" s="382"/>
      <c r="AC34" s="377"/>
      <c r="AD34" s="319"/>
      <c r="AE34" s="319"/>
      <c r="AF34" s="302"/>
      <c r="AG34" s="303"/>
      <c r="AH34" s="309">
        <f>G34-SUM(H34:AG34)</f>
        <v>0</v>
      </c>
      <c r="AT34" s="265" t="s">
        <v>685</v>
      </c>
      <c r="AU34" s="265">
        <f>BC35</f>
        <v>0</v>
      </c>
      <c r="AZ34" s="446" t="s">
        <v>218</v>
      </c>
      <c r="BA34" s="423"/>
      <c r="BB34" s="453"/>
      <c r="BC34" s="453"/>
      <c r="BD34" s="425"/>
      <c r="BJ34" s="488"/>
    </row>
    <row r="35" spans="2:67" ht="18.75" customHeight="1" x14ac:dyDescent="0.25">
      <c r="B35" s="230" t="s">
        <v>497</v>
      </c>
      <c r="C35" s="232"/>
      <c r="D35" s="234"/>
      <c r="E35" s="234"/>
      <c r="F35" s="234"/>
      <c r="G35" s="283">
        <f>SUM(D35:F35)</f>
        <v>0</v>
      </c>
      <c r="H35" s="302">
        <f>SUMIF($AT10:$AT16,"DR Retained Earnings",$AU10:$AU16)</f>
        <v>1145</v>
      </c>
      <c r="I35" s="323">
        <f>-SUMIF($AT10:$AT16,"CR Retained Earnings",AV10:AV16)</f>
        <v>0</v>
      </c>
      <c r="J35" s="302">
        <f>SUMIF($AT22:$AT24,"DR Retained Earnings",$AU22:$AU24)</f>
        <v>232.32</v>
      </c>
      <c r="K35" s="302">
        <f>SUMIF($AT22:$AT24,"CR Retained Earnings",$AU22:$AU24)</f>
        <v>0</v>
      </c>
      <c r="L35" s="293">
        <f>SUMIF($AT33:$AT35,"DR Retained Earnings",$AU33:$AU35)</f>
        <v>0</v>
      </c>
      <c r="M35" s="323">
        <f>-SUMIF($AT33:$AT35,"CR Retained Earnings",AX33:AX35)</f>
        <v>0</v>
      </c>
      <c r="N35" s="302">
        <f>SUMIF($AT$38:$AT$42,"DR Retained Earnings",$AU$38:$AU$42)</f>
        <v>228.9</v>
      </c>
      <c r="O35" s="303">
        <f>-SUMIF($AT$38:$AT$42,"CR Retained Earnings",$AV$38:$AV$42)</f>
        <v>0</v>
      </c>
      <c r="P35" s="293"/>
      <c r="Q35" s="303"/>
      <c r="R35" s="302">
        <f>SUMIF($AT$54:$AT$58,"DR Retained Earnings",$AU$54:$AU$58)</f>
        <v>0</v>
      </c>
      <c r="S35" s="303">
        <f>SUMIF($AT$54:$AT$58,"CR Retained Earnings",$AV$54:$AV$58)</f>
        <v>0</v>
      </c>
      <c r="T35" s="302">
        <f>SUMIF($AT$61:$AT$65,"DR Retained Earnings",$AU$61:$AU$65)</f>
        <v>0</v>
      </c>
      <c r="U35" s="302">
        <f>-SUMIF($AT$61:$AT$65,"CR Retained Earnings",$AV$61:$AV$65)</f>
        <v>0</v>
      </c>
      <c r="V35" s="382"/>
      <c r="W35" s="377"/>
      <c r="X35" s="382"/>
      <c r="Y35" s="377"/>
      <c r="Z35" s="319"/>
      <c r="AA35" s="319"/>
      <c r="AB35" s="382"/>
      <c r="AC35" s="377"/>
      <c r="AD35" s="319"/>
      <c r="AE35" s="319"/>
      <c r="AF35" s="302">
        <f>SUMIF($AT$123:$AT$124,"DR Retained Earnings",$AU$123:$AU$124)</f>
        <v>61.769999999999996</v>
      </c>
      <c r="AG35" s="303">
        <f>-SUMIF($AT$123:$AT$124,"CR Retained Earnings",$AV$123:$AV$124)</f>
        <v>0</v>
      </c>
      <c r="AH35" s="309">
        <f>G35-SUM(H35:AG35)</f>
        <v>-1667.99</v>
      </c>
      <c r="AT35" s="265" t="s">
        <v>686</v>
      </c>
      <c r="AV35" s="372">
        <f>BC35+BC36</f>
        <v>0</v>
      </c>
      <c r="AZ35" s="463" t="s">
        <v>683</v>
      </c>
      <c r="BA35" s="440"/>
      <c r="BB35" s="441"/>
      <c r="BC35" s="780"/>
      <c r="BD35" s="437"/>
    </row>
    <row r="36" spans="2:67" ht="18.75" customHeight="1" thickBot="1" x14ac:dyDescent="0.3">
      <c r="B36" s="230"/>
      <c r="C36" s="232"/>
      <c r="D36" s="233"/>
      <c r="E36" s="233"/>
      <c r="F36" s="233"/>
      <c r="G36" s="282"/>
      <c r="H36" s="300"/>
      <c r="I36" s="282"/>
      <c r="J36" s="380"/>
      <c r="K36" s="381"/>
      <c r="L36" s="292"/>
      <c r="M36" s="282"/>
      <c r="N36" s="300"/>
      <c r="O36" s="301"/>
      <c r="P36" s="292"/>
      <c r="Q36" s="301"/>
      <c r="R36" s="300"/>
      <c r="S36" s="301"/>
      <c r="T36" s="300"/>
      <c r="U36" s="301"/>
      <c r="V36" s="380"/>
      <c r="W36" s="381"/>
      <c r="X36" s="380"/>
      <c r="Y36" s="381"/>
      <c r="Z36" s="318"/>
      <c r="AA36" s="318"/>
      <c r="AB36" s="380"/>
      <c r="AC36" s="381"/>
      <c r="AD36" s="318"/>
      <c r="AE36" s="318"/>
      <c r="AF36" s="300"/>
      <c r="AG36" s="301"/>
      <c r="AH36" s="292"/>
      <c r="AZ36" s="623" t="s">
        <v>684</v>
      </c>
      <c r="BA36" s="452"/>
      <c r="BB36" s="454"/>
      <c r="BC36" s="773">
        <v>0</v>
      </c>
      <c r="BD36" s="445"/>
    </row>
    <row r="37" spans="2:67" ht="18.75" customHeight="1" thickBot="1" x14ac:dyDescent="0.3">
      <c r="B37" s="230"/>
      <c r="C37" s="232"/>
      <c r="D37" s="233"/>
      <c r="E37" s="233"/>
      <c r="F37" s="233"/>
      <c r="G37" s="282"/>
      <c r="H37" s="300"/>
      <c r="I37" s="282"/>
      <c r="J37" s="380"/>
      <c r="K37" s="381"/>
      <c r="L37" s="292"/>
      <c r="M37" s="282"/>
      <c r="N37" s="300"/>
      <c r="O37" s="301"/>
      <c r="P37" s="292"/>
      <c r="Q37" s="301"/>
      <c r="R37" s="300"/>
      <c r="S37" s="301"/>
      <c r="T37" s="300"/>
      <c r="U37" s="301"/>
      <c r="V37" s="380"/>
      <c r="W37" s="381"/>
      <c r="X37" s="380"/>
      <c r="Y37" s="381"/>
      <c r="Z37" s="318"/>
      <c r="AA37" s="318"/>
      <c r="AB37" s="380"/>
      <c r="AC37" s="381"/>
      <c r="AD37" s="318"/>
      <c r="AE37" s="318"/>
      <c r="AF37" s="300"/>
      <c r="AG37" s="301"/>
      <c r="AH37" s="292"/>
      <c r="BB37" s="273"/>
      <c r="BC37" s="273"/>
    </row>
    <row r="38" spans="2:67" ht="18.75" customHeight="1" thickBot="1" x14ac:dyDescent="0.3">
      <c r="B38" s="230" t="s">
        <v>662</v>
      </c>
      <c r="C38" s="232" t="s">
        <v>663</v>
      </c>
      <c r="D38" s="234"/>
      <c r="E38" s="234"/>
      <c r="F38" s="234"/>
      <c r="G38" s="283">
        <f>SUM(D38:F38)</f>
        <v>0</v>
      </c>
      <c r="H38" s="302"/>
      <c r="I38" s="323"/>
      <c r="J38" s="382"/>
      <c r="K38" s="377"/>
      <c r="L38" s="293"/>
      <c r="M38" s="323"/>
      <c r="N38" s="302"/>
      <c r="O38" s="303"/>
      <c r="P38" s="293"/>
      <c r="Q38" s="303"/>
      <c r="R38" s="302"/>
      <c r="S38" s="303"/>
      <c r="T38" s="302"/>
      <c r="U38" s="303"/>
      <c r="V38" s="382"/>
      <c r="W38" s="377"/>
      <c r="X38" s="382"/>
      <c r="Y38" s="377"/>
      <c r="Z38" s="319"/>
      <c r="AA38" s="319"/>
      <c r="AB38" s="382"/>
      <c r="AC38" s="377"/>
      <c r="AD38" s="319"/>
      <c r="AE38" s="319"/>
      <c r="AF38" s="302"/>
      <c r="AG38" s="303"/>
      <c r="AH38" s="309">
        <f>G38-SUM(H38:AG38)</f>
        <v>0</v>
      </c>
      <c r="AS38" s="274">
        <v>4</v>
      </c>
      <c r="AT38" s="265" t="str">
        <f>IF(BC44&gt;0,"DR Retained earnings","CR Retained Earnings")</f>
        <v>DR Retained earnings</v>
      </c>
      <c r="AU38" s="265">
        <f>IF($BC$44&gt;0,$BC$44," ")</f>
        <v>228.9</v>
      </c>
      <c r="AV38" s="372" t="str">
        <f>IF($BC$44&lt;0,-$BC$44," ")</f>
        <v xml:space="preserve"> </v>
      </c>
      <c r="AZ38" s="622" t="s">
        <v>693</v>
      </c>
      <c r="BA38" s="423"/>
      <c r="BB38" s="453"/>
      <c r="BC38" s="453"/>
      <c r="BD38" s="425"/>
    </row>
    <row r="39" spans="2:67" ht="18.75" customHeight="1" x14ac:dyDescent="0.25">
      <c r="B39" s="230"/>
      <c r="C39" s="232"/>
      <c r="D39" s="239">
        <f>SUM(D31:D38)</f>
        <v>0</v>
      </c>
      <c r="E39" s="239">
        <f>SUM(E31:E38)</f>
        <v>0</v>
      </c>
      <c r="F39" s="239">
        <f>SUM(F31:F38)</f>
        <v>0</v>
      </c>
      <c r="G39" s="288">
        <f>SUM(G31:G38)</f>
        <v>0</v>
      </c>
      <c r="H39" s="300"/>
      <c r="I39" s="282"/>
      <c r="J39" s="385"/>
      <c r="K39" s="386"/>
      <c r="L39" s="295"/>
      <c r="M39" s="286"/>
      <c r="N39" s="304"/>
      <c r="O39" s="305"/>
      <c r="P39" s="295"/>
      <c r="Q39" s="305"/>
      <c r="R39" s="304"/>
      <c r="S39" s="305"/>
      <c r="T39" s="304"/>
      <c r="U39" s="305"/>
      <c r="V39" s="385"/>
      <c r="W39" s="386"/>
      <c r="X39" s="385"/>
      <c r="Y39" s="386"/>
      <c r="Z39" s="321"/>
      <c r="AA39" s="321"/>
      <c r="AB39" s="385"/>
      <c r="AC39" s="386"/>
      <c r="AD39" s="321"/>
      <c r="AE39" s="321"/>
      <c r="AF39" s="304"/>
      <c r="AG39" s="305"/>
      <c r="AH39" s="312">
        <f>SUM(AH31:AH38)</f>
        <v>-1792.99</v>
      </c>
      <c r="AT39" s="265" t="str">
        <f>IF(BC44&gt;0,"CR SFP - Non-controlling interests","DR SFP - Non-controlling interests")</f>
        <v>CR SFP - Non-controlling interests</v>
      </c>
      <c r="AU39" s="372" t="str">
        <f>IF($BC$44&lt;0,-$BC$44," ")</f>
        <v xml:space="preserve"> </v>
      </c>
      <c r="AV39" s="265">
        <f>IF($BC$44&gt;0,$BC$44," ")</f>
        <v>228.9</v>
      </c>
      <c r="AZ39" s="463" t="str">
        <f>"Retained earnings "&amp;B8</f>
        <v>Retained earnings as at 31 October 2022</v>
      </c>
      <c r="BA39" s="440"/>
      <c r="BB39" s="441"/>
      <c r="BC39" s="448">
        <f>2213-BB16-BB17</f>
        <v>2088</v>
      </c>
      <c r="BD39" s="437"/>
      <c r="BE39" s="277" t="s">
        <v>1965</v>
      </c>
      <c r="BO39" s="399" t="s">
        <v>748</v>
      </c>
    </row>
    <row r="40" spans="2:67" ht="18.75" customHeight="1" x14ac:dyDescent="0.25">
      <c r="B40" s="227" t="s">
        <v>664</v>
      </c>
      <c r="C40" s="232" t="s">
        <v>665</v>
      </c>
      <c r="D40" s="240"/>
      <c r="E40" s="240"/>
      <c r="F40" s="240"/>
      <c r="G40" s="289">
        <f>SUM(D40:F40)</f>
        <v>0</v>
      </c>
      <c r="H40" s="302">
        <f>SUMIF($AT10:$AT17,"DR SFP - non-controlling interests",$AU10:$AU17)</f>
        <v>0</v>
      </c>
      <c r="I40" s="302">
        <f>-SUMIF($AT10:$AT16,"CR SFP - non-controlling interests",$AV10:$AV16)</f>
        <v>-381</v>
      </c>
      <c r="J40" s="302">
        <f>SUMIF($AT22:$AT24,"DR SFP - non-controlling interestS",$AU$22:$AU$24)</f>
        <v>32.680000000000007</v>
      </c>
      <c r="K40" s="302">
        <f>-SUMIF($AT22:$AT24,"CR SFP - non-controlling interestS",$AU$22:$AU$24)</f>
        <v>0</v>
      </c>
      <c r="L40" s="296"/>
      <c r="M40" s="329"/>
      <c r="N40" s="387">
        <f>-SUMIF($AT$38:$AT$42,"DR SFP - Non-controlling interests",$AU$38:$AU$42)</f>
        <v>0</v>
      </c>
      <c r="O40" s="303">
        <f>-SUMIF($AT$38:$AT$42,"CR SFP - Non-controlling interests",$AV$38:$AV$42)</f>
        <v>-228.9</v>
      </c>
      <c r="P40" s="377">
        <f>-SUMIF($AT$48:$AT$49,"DR SFP - Non-controlling interests",$AU$48:$AU$49)</f>
        <v>0</v>
      </c>
      <c r="Q40" s="303">
        <f>-SUMIF($AT$48:$AT$49,"CR SFP - Non-controlling interests",$AV$48:$AV$49)</f>
        <v>-54</v>
      </c>
      <c r="R40" s="302">
        <f>SUMIF($AT$54:$AT$58,"DR SFP - Non-controlling interests",$AU$54:$AU$58)</f>
        <v>0</v>
      </c>
      <c r="S40" s="303">
        <f>-SUMIF($AT$54:$AT$58,"CR SFP - Non-controlling interests",$AV$54:$AV$58)</f>
        <v>0</v>
      </c>
      <c r="T40" s="302">
        <f>SUMIF($AT$61:$AT$65,"DR SFP - Non-controlling interests",$AU$61:$AU$65)</f>
        <v>0</v>
      </c>
      <c r="U40" s="303">
        <f>-SUMIF($AT$61:$AT$65,"CR SFP - Non-controlling interests",$AV$61:$AV$65)</f>
        <v>0</v>
      </c>
      <c r="V40" s="302">
        <f>SUMIF($AT$69:$AT$76,"DR SFP - Non-controlling interests",$AU$69:$AU$76)</f>
        <v>3.3299999999999996</v>
      </c>
      <c r="W40" s="303">
        <f>-SUMIF($AT$69:$AT$76,"CR SFP - Non-controlling interests",$AV$69:$AV$76)</f>
        <v>0</v>
      </c>
      <c r="X40" s="302"/>
      <c r="Y40" s="303"/>
      <c r="Z40" s="319">
        <f>SUMIF($AT$86:$AT$97,"DR SFP - Non-controlling interests",AU$86:AU$97)</f>
        <v>0</v>
      </c>
      <c r="AA40" s="319">
        <f>-SUMIF($AT$86:$AT$97,"CR SFP - Non-controlling interests",AV$86:AV$97)</f>
        <v>0</v>
      </c>
      <c r="AB40" s="319">
        <f>SUMIF($AT$100:$AT$104,"DR SFP - Non-controlling interests",AU$100:AU$104)</f>
        <v>0</v>
      </c>
      <c r="AC40" s="319">
        <f>-SUMIF($AT$100:$AT$104,"CR SFP - Non-controlling interests",AV$100:AV$104)</f>
        <v>0</v>
      </c>
      <c r="AD40" s="302">
        <f>SUMIF($AT$109:$AT$121,"DR NCI (SFP)",$AU$109:$AU$121)</f>
        <v>0</v>
      </c>
      <c r="AE40" s="303">
        <f>-SUMIF($AT$109:$AT$116,"CR NCI (SFP)",$AV$109:$AV$116)</f>
        <v>0</v>
      </c>
      <c r="AF40" s="302">
        <f>-SUMIF($AT$123:$AT$124,"DR SFP - Non-controlling interests",$AU$123:$AU$124)</f>
        <v>0</v>
      </c>
      <c r="AG40" s="303">
        <f>-SUMIF($AT$123:$AT$124,"CR SFP - Non-controlling interests",$AV$123:$AV$124)</f>
        <v>0</v>
      </c>
      <c r="AH40" s="309">
        <f>G40-SUM(H40:AG40)</f>
        <v>627.89</v>
      </c>
      <c r="AZ40" s="463" t="s">
        <v>733</v>
      </c>
      <c r="BA40" s="440"/>
      <c r="BB40" s="440"/>
      <c r="BC40" s="448">
        <v>180</v>
      </c>
      <c r="BD40" s="621"/>
      <c r="BO40" s="399" t="s">
        <v>752</v>
      </c>
    </row>
    <row r="41" spans="2:67" ht="18.75" customHeight="1" x14ac:dyDescent="0.25">
      <c r="B41" s="227"/>
      <c r="C41" s="232"/>
      <c r="D41" s="233"/>
      <c r="E41" s="233"/>
      <c r="F41" s="233"/>
      <c r="G41" s="282"/>
      <c r="H41" s="300"/>
      <c r="I41" s="282"/>
      <c r="J41" s="380"/>
      <c r="K41" s="381"/>
      <c r="L41" s="292"/>
      <c r="M41" s="282"/>
      <c r="N41" s="300"/>
      <c r="O41" s="301"/>
      <c r="P41" s="292"/>
      <c r="Q41" s="301"/>
      <c r="R41" s="300"/>
      <c r="S41" s="301"/>
      <c r="T41" s="300"/>
      <c r="U41" s="301"/>
      <c r="V41" s="380"/>
      <c r="W41" s="381"/>
      <c r="X41" s="380"/>
      <c r="Y41" s="381"/>
      <c r="Z41" s="318"/>
      <c r="AA41" s="318"/>
      <c r="AB41" s="380"/>
      <c r="AC41" s="381"/>
      <c r="AD41" s="318"/>
      <c r="AE41" s="318"/>
      <c r="AF41" s="300"/>
      <c r="AG41" s="301"/>
      <c r="AH41" s="292"/>
      <c r="AT41" s="265" t="str">
        <f>IF(AU41&lt;&gt;0,"DR Revaluation surplus","CR Revaluation Surplus")</f>
        <v>CR Revaluation Surplus</v>
      </c>
      <c r="AU41" s="265">
        <f>IF($BC$47&gt;0,$BC$47,0)</f>
        <v>0</v>
      </c>
      <c r="AV41" s="265">
        <f>IF($BC$47&lt;0,-$BC$47,0)</f>
        <v>0</v>
      </c>
      <c r="AZ41" s="463" t="s">
        <v>800</v>
      </c>
      <c r="BA41" s="440"/>
      <c r="BB41" s="440"/>
      <c r="BC41" s="448"/>
      <c r="BD41" s="621"/>
      <c r="BO41" s="399" t="s">
        <v>806</v>
      </c>
    </row>
    <row r="42" spans="2:67" ht="18.75" customHeight="1" x14ac:dyDescent="0.25">
      <c r="B42" s="227"/>
      <c r="C42" s="232"/>
      <c r="D42" s="233"/>
      <c r="E42" s="233"/>
      <c r="F42" s="233"/>
      <c r="G42" s="282"/>
      <c r="H42" s="300"/>
      <c r="I42" s="282"/>
      <c r="J42" s="380"/>
      <c r="K42" s="381"/>
      <c r="L42" s="292"/>
      <c r="M42" s="282"/>
      <c r="N42" s="300"/>
      <c r="O42" s="301"/>
      <c r="P42" s="292"/>
      <c r="Q42" s="301"/>
      <c r="R42" s="300"/>
      <c r="S42" s="301"/>
      <c r="T42" s="300"/>
      <c r="U42" s="301"/>
      <c r="V42" s="380"/>
      <c r="W42" s="381"/>
      <c r="X42" s="380"/>
      <c r="Y42" s="381"/>
      <c r="Z42" s="318"/>
      <c r="AA42" s="318"/>
      <c r="AB42" s="380"/>
      <c r="AC42" s="381"/>
      <c r="AD42" s="318"/>
      <c r="AE42" s="318"/>
      <c r="AF42" s="300"/>
      <c r="AG42" s="301"/>
      <c r="AH42" s="292"/>
      <c r="AT42" s="265" t="str">
        <f>IF(AV42&lt;&gt;0,"CR SFP - Non-controlling interests","DR SFP - Non-controlling interests")</f>
        <v>DR SFP - Non-controlling interests</v>
      </c>
      <c r="AU42" s="265">
        <f>IF($BC$47&lt;0,-$BC$47,0)</f>
        <v>0</v>
      </c>
      <c r="AV42" s="265">
        <f>IF($BC$47&gt;0,$BC$47,0)</f>
        <v>0</v>
      </c>
      <c r="AZ42" s="463" t="s">
        <v>688</v>
      </c>
      <c r="BA42" s="440"/>
      <c r="BB42" s="441"/>
      <c r="BC42" s="456">
        <f>BB18</f>
        <v>1145</v>
      </c>
      <c r="BD42" s="437"/>
    </row>
    <row r="43" spans="2:67" ht="18.75" customHeight="1" x14ac:dyDescent="0.25">
      <c r="B43" s="227" t="s">
        <v>666</v>
      </c>
      <c r="C43" s="232"/>
      <c r="D43" s="236">
        <f>D39+D40</f>
        <v>0</v>
      </c>
      <c r="E43" s="236">
        <f>E39+E40</f>
        <v>0</v>
      </c>
      <c r="F43" s="236">
        <f>F39+F40</f>
        <v>0</v>
      </c>
      <c r="G43" s="285">
        <f>G39+G40</f>
        <v>0</v>
      </c>
      <c r="H43" s="300"/>
      <c r="I43" s="282"/>
      <c r="J43" s="383"/>
      <c r="K43" s="384"/>
      <c r="L43" s="294"/>
      <c r="M43" s="401"/>
      <c r="N43" s="315"/>
      <c r="O43" s="316"/>
      <c r="P43" s="294"/>
      <c r="Q43" s="316"/>
      <c r="R43" s="315"/>
      <c r="S43" s="316"/>
      <c r="T43" s="315"/>
      <c r="U43" s="316"/>
      <c r="V43" s="383"/>
      <c r="W43" s="384"/>
      <c r="X43" s="383"/>
      <c r="Y43" s="384"/>
      <c r="Z43" s="320"/>
      <c r="AA43" s="320"/>
      <c r="AB43" s="383"/>
      <c r="AC43" s="384"/>
      <c r="AD43" s="320"/>
      <c r="AE43" s="320"/>
      <c r="AF43" s="315"/>
      <c r="AG43" s="316"/>
      <c r="AH43" s="310">
        <f>AH39+AH40</f>
        <v>-1165.0999999999999</v>
      </c>
      <c r="AZ43" s="463" t="s">
        <v>689</v>
      </c>
      <c r="BA43" s="440"/>
      <c r="BB43" s="441"/>
      <c r="BC43" s="441">
        <f>BC39-BC42-BC40+BC41</f>
        <v>763</v>
      </c>
      <c r="BD43" s="621"/>
      <c r="BO43" s="399" t="s">
        <v>1425</v>
      </c>
    </row>
    <row r="44" spans="2:67" ht="18.75" customHeight="1" thickBot="1" x14ac:dyDescent="0.3">
      <c r="B44" s="230"/>
      <c r="C44" s="232"/>
      <c r="D44" s="233"/>
      <c r="E44" s="233"/>
      <c r="F44" s="233"/>
      <c r="G44" s="282"/>
      <c r="H44" s="300"/>
      <c r="I44" s="282"/>
      <c r="J44" s="380"/>
      <c r="K44" s="381"/>
      <c r="L44" s="292"/>
      <c r="M44" s="282"/>
      <c r="N44" s="300"/>
      <c r="O44" s="301"/>
      <c r="P44" s="292"/>
      <c r="Q44" s="301"/>
      <c r="R44" s="300"/>
      <c r="S44" s="301"/>
      <c r="T44" s="300"/>
      <c r="U44" s="301"/>
      <c r="V44" s="380"/>
      <c r="W44" s="381"/>
      <c r="X44" s="380"/>
      <c r="Y44" s="381"/>
      <c r="Z44" s="318"/>
      <c r="AA44" s="318"/>
      <c r="AB44" s="380"/>
      <c r="AC44" s="381"/>
      <c r="AD44" s="318"/>
      <c r="AE44" s="318"/>
      <c r="AF44" s="300"/>
      <c r="AG44" s="301"/>
      <c r="AH44" s="292"/>
      <c r="AZ44" s="463" t="str">
        <f>"NCI share of historical profit (*"&amp;BC11&amp;")"</f>
        <v>NCI share of historical profit (*0.3)</v>
      </c>
      <c r="BA44" s="440"/>
      <c r="BB44" s="440"/>
      <c r="BC44" s="279">
        <f>IF(SUM(BC39:BC41)=0,0,BC43*BC11)</f>
        <v>228.9</v>
      </c>
      <c r="BD44" s="437"/>
    </row>
    <row r="45" spans="2:67" ht="36" customHeight="1" thickTop="1" x14ac:dyDescent="0.25">
      <c r="B45" s="227" t="s">
        <v>82</v>
      </c>
      <c r="C45" s="232"/>
      <c r="D45" s="233"/>
      <c r="E45" s="233"/>
      <c r="F45" s="233"/>
      <c r="G45" s="282"/>
      <c r="H45" s="300"/>
      <c r="I45" s="282"/>
      <c r="J45" s="380"/>
      <c r="K45" s="381"/>
      <c r="L45" s="292"/>
      <c r="M45" s="282"/>
      <c r="N45" s="300"/>
      <c r="O45" s="301"/>
      <c r="P45" s="292"/>
      <c r="Q45" s="301"/>
      <c r="R45" s="300"/>
      <c r="S45" s="301"/>
      <c r="T45" s="300"/>
      <c r="U45" s="301"/>
      <c r="V45" s="380"/>
      <c r="W45" s="381"/>
      <c r="X45" s="380"/>
      <c r="Y45" s="381"/>
      <c r="Z45" s="318"/>
      <c r="AA45" s="318"/>
      <c r="AB45" s="380"/>
      <c r="AC45" s="381"/>
      <c r="AD45" s="380"/>
      <c r="AE45" s="381"/>
      <c r="AF45" s="300"/>
      <c r="AG45" s="301"/>
      <c r="AH45" s="292"/>
      <c r="AZ45" s="442"/>
      <c r="BA45" s="440"/>
      <c r="BB45" s="440"/>
      <c r="BC45" s="440"/>
      <c r="BD45" s="437"/>
    </row>
    <row r="46" spans="2:67" ht="18.75" customHeight="1" x14ac:dyDescent="0.25">
      <c r="B46" s="230" t="s">
        <v>667</v>
      </c>
      <c r="C46" s="232" t="s">
        <v>649</v>
      </c>
      <c r="D46" s="234"/>
      <c r="E46" s="234"/>
      <c r="F46" s="234"/>
      <c r="G46" s="283">
        <f>SUM(D46:F46)</f>
        <v>0</v>
      </c>
      <c r="H46" s="302"/>
      <c r="I46" s="323"/>
      <c r="J46" s="382"/>
      <c r="K46" s="377"/>
      <c r="L46" s="293"/>
      <c r="M46" s="323"/>
      <c r="N46" s="302"/>
      <c r="O46" s="303"/>
      <c r="P46" s="293"/>
      <c r="Q46" s="303"/>
      <c r="R46" s="302"/>
      <c r="S46" s="303"/>
      <c r="T46" s="302"/>
      <c r="U46" s="303"/>
      <c r="V46" s="382"/>
      <c r="W46" s="377"/>
      <c r="X46" s="382"/>
      <c r="Y46" s="377"/>
      <c r="Z46" s="319"/>
      <c r="AA46" s="319"/>
      <c r="AB46" s="382"/>
      <c r="AC46" s="377"/>
      <c r="AD46" s="302">
        <f>SUMIF($AT$109:$AT$116,"DR Bond Liability",$AU$109:$AU$116)</f>
        <v>0</v>
      </c>
      <c r="AE46" s="303">
        <f>-SUMIF($AT$109:$AT$116,"CR Bond liability",$AV$109:$AV$116)</f>
        <v>0</v>
      </c>
      <c r="AF46" s="302"/>
      <c r="AG46" s="303"/>
      <c r="AH46" s="309">
        <f>G46-SUM(H46:AG46)</f>
        <v>0</v>
      </c>
      <c r="AZ46" s="463" t="s">
        <v>850</v>
      </c>
      <c r="BA46" s="440"/>
      <c r="BB46" s="440"/>
      <c r="BC46" s="421">
        <v>0</v>
      </c>
      <c r="BD46" s="437"/>
    </row>
    <row r="47" spans="2:67" ht="18.75" customHeight="1" thickBot="1" x14ac:dyDescent="0.3">
      <c r="B47" s="230" t="s">
        <v>668</v>
      </c>
      <c r="C47" s="232" t="s">
        <v>669</v>
      </c>
      <c r="D47" s="234"/>
      <c r="E47" s="234"/>
      <c r="F47" s="234"/>
      <c r="G47" s="283">
        <f>SUM(D47:F47)</f>
        <v>0</v>
      </c>
      <c r="H47" s="302"/>
      <c r="I47" s="323"/>
      <c r="J47" s="382"/>
      <c r="K47" s="377"/>
      <c r="L47" s="293"/>
      <c r="M47" s="323"/>
      <c r="N47" s="302"/>
      <c r="O47" s="303"/>
      <c r="P47" s="293"/>
      <c r="Q47" s="303"/>
      <c r="R47" s="302"/>
      <c r="S47" s="303"/>
      <c r="T47" s="302"/>
      <c r="U47" s="303"/>
      <c r="V47" s="382"/>
      <c r="W47" s="377"/>
      <c r="X47" s="382"/>
      <c r="Y47" s="377"/>
      <c r="Z47" s="319"/>
      <c r="AA47" s="319"/>
      <c r="AB47" s="382"/>
      <c r="AC47" s="377"/>
      <c r="AD47" s="319"/>
      <c r="AE47" s="319"/>
      <c r="AF47" s="302"/>
      <c r="AG47" s="303"/>
      <c r="AH47" s="309">
        <f>G47-SUM(H47:AG47)</f>
        <v>0</v>
      </c>
      <c r="AZ47" s="463" t="str">
        <f>"NCI share of revaluation reserve (*"&amp;BC11&amp;")"</f>
        <v>NCI share of revaluation reserve (*0.3)</v>
      </c>
      <c r="BA47" s="440"/>
      <c r="BB47" s="440"/>
      <c r="BC47" s="278">
        <f>BC46*BC11</f>
        <v>0</v>
      </c>
      <c r="BD47" s="437"/>
    </row>
    <row r="48" spans="2:67" ht="18.75" customHeight="1" thickTop="1" thickBot="1" x14ac:dyDescent="0.3">
      <c r="B48" s="230" t="s">
        <v>670</v>
      </c>
      <c r="C48" s="232" t="s">
        <v>649</v>
      </c>
      <c r="D48" s="234"/>
      <c r="E48" s="234"/>
      <c r="F48" s="234"/>
      <c r="G48" s="283">
        <f>SUM(D48:F48)</f>
        <v>0</v>
      </c>
      <c r="H48" s="302"/>
      <c r="I48" s="323"/>
      <c r="J48" s="382"/>
      <c r="K48" s="377"/>
      <c r="L48" s="293"/>
      <c r="M48" s="323"/>
      <c r="N48" s="302"/>
      <c r="O48" s="303"/>
      <c r="P48" s="293"/>
      <c r="Q48" s="303"/>
      <c r="R48" s="302"/>
      <c r="S48" s="303"/>
      <c r="T48" s="302"/>
      <c r="U48" s="303"/>
      <c r="V48" s="382"/>
      <c r="W48" s="377"/>
      <c r="X48" s="382"/>
      <c r="Y48" s="377"/>
      <c r="Z48" s="319"/>
      <c r="AA48" s="319"/>
      <c r="AB48" s="382"/>
      <c r="AC48" s="377"/>
      <c r="AD48" s="319"/>
      <c r="AE48" s="319"/>
      <c r="AF48" s="302"/>
      <c r="AG48" s="303"/>
      <c r="AH48" s="309">
        <f>G48-SUM(H48:AG48)</f>
        <v>0</v>
      </c>
      <c r="AS48" s="274">
        <v>5</v>
      </c>
      <c r="AT48" s="265" t="s">
        <v>695</v>
      </c>
      <c r="AU48" s="781">
        <f>BC52</f>
        <v>54</v>
      </c>
      <c r="AV48" s="273"/>
      <c r="AZ48" s="451"/>
      <c r="BA48" s="452"/>
      <c r="BB48" s="452"/>
      <c r="BC48" s="452"/>
      <c r="BD48" s="445"/>
    </row>
    <row r="49" spans="2:67" ht="18.75" customHeight="1" thickBot="1" x14ac:dyDescent="0.3">
      <c r="B49" s="227" t="s">
        <v>671</v>
      </c>
      <c r="C49" s="232"/>
      <c r="D49" s="236">
        <f>SUM(D46:D48)</f>
        <v>0</v>
      </c>
      <c r="E49" s="236">
        <f>SUM(E46:E48)</f>
        <v>0</v>
      </c>
      <c r="F49" s="236">
        <f>SUM(F46:F48)</f>
        <v>0</v>
      </c>
      <c r="G49" s="285">
        <f>SUM(G46:G48)</f>
        <v>0</v>
      </c>
      <c r="H49" s="300"/>
      <c r="I49" s="282"/>
      <c r="J49" s="383"/>
      <c r="K49" s="384"/>
      <c r="L49" s="294"/>
      <c r="M49" s="401"/>
      <c r="N49" s="315"/>
      <c r="O49" s="316"/>
      <c r="P49" s="294"/>
      <c r="Q49" s="316"/>
      <c r="R49" s="315"/>
      <c r="S49" s="316"/>
      <c r="T49" s="315"/>
      <c r="U49" s="316"/>
      <c r="V49" s="383"/>
      <c r="W49" s="384"/>
      <c r="X49" s="383"/>
      <c r="Y49" s="384"/>
      <c r="Z49" s="320"/>
      <c r="AA49" s="320"/>
      <c r="AB49" s="383"/>
      <c r="AC49" s="384"/>
      <c r="AD49" s="320"/>
      <c r="AE49" s="320"/>
      <c r="AF49" s="315"/>
      <c r="AG49" s="316"/>
      <c r="AH49" s="310">
        <f>SUM(AH46:AH48)</f>
        <v>0</v>
      </c>
      <c r="AT49" s="265" t="s">
        <v>691</v>
      </c>
      <c r="AU49" s="273"/>
      <c r="AV49" s="781">
        <f>BC52</f>
        <v>54</v>
      </c>
      <c r="BO49" s="399" t="s">
        <v>731</v>
      </c>
    </row>
    <row r="50" spans="2:67" ht="18.75" customHeight="1" x14ac:dyDescent="0.25">
      <c r="B50" s="230"/>
      <c r="C50" s="232"/>
      <c r="D50" s="233"/>
      <c r="E50" s="233"/>
      <c r="F50" s="233"/>
      <c r="G50" s="282"/>
      <c r="H50" s="300"/>
      <c r="I50" s="282"/>
      <c r="J50" s="380"/>
      <c r="K50" s="381"/>
      <c r="L50" s="292"/>
      <c r="M50" s="282"/>
      <c r="N50" s="300"/>
      <c r="O50" s="301"/>
      <c r="P50" s="292"/>
      <c r="Q50" s="301"/>
      <c r="R50" s="300"/>
      <c r="S50" s="301"/>
      <c r="T50" s="300"/>
      <c r="U50" s="301"/>
      <c r="V50" s="380"/>
      <c r="W50" s="381"/>
      <c r="X50" s="380"/>
      <c r="Y50" s="381"/>
      <c r="Z50" s="318"/>
      <c r="AA50" s="318"/>
      <c r="AB50" s="380"/>
      <c r="AC50" s="381"/>
      <c r="AD50" s="318"/>
      <c r="AE50" s="318"/>
      <c r="AF50" s="300"/>
      <c r="AG50" s="301"/>
      <c r="AH50" s="292"/>
      <c r="AZ50" s="446" t="s">
        <v>692</v>
      </c>
      <c r="BA50" s="423"/>
      <c r="BB50" s="423"/>
      <c r="BC50" s="423"/>
      <c r="BD50" s="425"/>
      <c r="BO50" s="398"/>
    </row>
    <row r="51" spans="2:67" ht="18.75" customHeight="1" x14ac:dyDescent="0.25">
      <c r="B51" s="227" t="s">
        <v>84</v>
      </c>
      <c r="C51" s="232"/>
      <c r="D51" s="233"/>
      <c r="E51" s="233"/>
      <c r="F51" s="233"/>
      <c r="G51" s="282"/>
      <c r="H51" s="300"/>
      <c r="I51" s="282"/>
      <c r="J51" s="380"/>
      <c r="K51" s="381"/>
      <c r="L51" s="292"/>
      <c r="M51" s="282"/>
      <c r="N51" s="300"/>
      <c r="O51" s="301"/>
      <c r="P51" s="292"/>
      <c r="Q51" s="301"/>
      <c r="R51" s="300"/>
      <c r="S51" s="301"/>
      <c r="T51" s="300"/>
      <c r="U51" s="301"/>
      <c r="V51" s="380"/>
      <c r="W51" s="381"/>
      <c r="X51" s="380"/>
      <c r="Y51" s="381"/>
      <c r="Z51" s="318"/>
      <c r="AA51" s="318"/>
      <c r="AB51" s="380"/>
      <c r="AC51" s="381"/>
      <c r="AD51" s="318"/>
      <c r="AE51" s="318"/>
      <c r="AF51" s="300"/>
      <c r="AG51" s="301"/>
      <c r="AH51" s="292"/>
      <c r="AZ51" s="442" t="s">
        <v>694</v>
      </c>
      <c r="BA51" s="440"/>
      <c r="BB51" s="440"/>
      <c r="BC51" s="780">
        <f>+BC40</f>
        <v>180</v>
      </c>
      <c r="BD51" s="437"/>
      <c r="BO51" s="398"/>
    </row>
    <row r="52" spans="2:67" ht="18.75" customHeight="1" thickBot="1" x14ac:dyDescent="0.3">
      <c r="B52" s="230" t="s">
        <v>86</v>
      </c>
      <c r="C52" s="232"/>
      <c r="D52" s="242"/>
      <c r="E52" s="242"/>
      <c r="F52" s="242"/>
      <c r="G52" s="290">
        <f>SUM(D52:F52)</f>
        <v>0</v>
      </c>
      <c r="H52" s="302"/>
      <c r="I52" s="323"/>
      <c r="J52" s="382"/>
      <c r="K52" s="377"/>
      <c r="L52" s="293"/>
      <c r="M52" s="323"/>
      <c r="N52" s="302"/>
      <c r="O52" s="303"/>
      <c r="P52" s="293"/>
      <c r="Q52" s="303"/>
      <c r="R52" s="302">
        <f>SUMIF($AT$54:$AT$58,"DR Trade payables",$AU$54:$AU$58)</f>
        <v>0</v>
      </c>
      <c r="S52" s="303">
        <f>-SUMIF($AT$54:$AT$82,"CR Trade payables",$AV$54:$AV$82)</f>
        <v>0</v>
      </c>
      <c r="T52" s="302"/>
      <c r="U52" s="303"/>
      <c r="V52" s="382"/>
      <c r="W52" s="377"/>
      <c r="X52" s="382"/>
      <c r="Y52" s="377"/>
      <c r="Z52" s="319"/>
      <c r="AA52" s="319"/>
      <c r="AB52" s="382"/>
      <c r="AC52" s="377"/>
      <c r="AD52" s="319"/>
      <c r="AE52" s="319"/>
      <c r="AF52" s="302"/>
      <c r="AG52" s="303"/>
      <c r="AH52" s="309">
        <f>G52-SUM(H52:AG52)</f>
        <v>0</v>
      </c>
      <c r="AZ52" s="442" t="str">
        <f>"NCI share of current year profit (*"&amp;BC11&amp;")"</f>
        <v>NCI share of current year profit (*0.3)</v>
      </c>
      <c r="BA52" s="440"/>
      <c r="BB52" s="440"/>
      <c r="BC52" s="782">
        <f>BC51*BC11</f>
        <v>54</v>
      </c>
      <c r="BD52" s="437"/>
      <c r="BF52" s="277"/>
      <c r="BO52" s="399" t="s">
        <v>1426</v>
      </c>
    </row>
    <row r="53" spans="2:67" ht="18.75" customHeight="1" thickTop="1" thickBot="1" x14ac:dyDescent="0.3">
      <c r="B53" s="230" t="s">
        <v>672</v>
      </c>
      <c r="C53" s="232" t="s">
        <v>649</v>
      </c>
      <c r="D53" s="242"/>
      <c r="E53" s="242"/>
      <c r="F53" s="242"/>
      <c r="G53" s="290">
        <f>SUM(D53:F53)</f>
        <v>0</v>
      </c>
      <c r="H53" s="302"/>
      <c r="I53" s="323"/>
      <c r="J53" s="382"/>
      <c r="K53" s="377"/>
      <c r="L53" s="293"/>
      <c r="M53" s="323"/>
      <c r="N53" s="302"/>
      <c r="O53" s="303"/>
      <c r="P53" s="293"/>
      <c r="Q53" s="303"/>
      <c r="R53" s="302"/>
      <c r="S53" s="303"/>
      <c r="T53" s="302"/>
      <c r="U53" s="303"/>
      <c r="V53" s="382"/>
      <c r="W53" s="377"/>
      <c r="X53" s="382"/>
      <c r="Y53" s="377"/>
      <c r="Z53" s="319"/>
      <c r="AA53" s="319"/>
      <c r="AB53" s="382"/>
      <c r="AC53" s="377"/>
      <c r="AD53" s="319"/>
      <c r="AE53" s="319"/>
      <c r="AF53" s="302"/>
      <c r="AG53" s="303"/>
      <c r="AH53" s="309">
        <f>G53-SUM(H53:AG53)</f>
        <v>0</v>
      </c>
      <c r="AZ53" s="451"/>
      <c r="BA53" s="452"/>
      <c r="BB53" s="452"/>
      <c r="BC53" s="452"/>
      <c r="BD53" s="445"/>
      <c r="BF53" s="273"/>
      <c r="BO53" s="399" t="s">
        <v>754</v>
      </c>
    </row>
    <row r="54" spans="2:67" ht="18.75" customHeight="1" thickBot="1" x14ac:dyDescent="0.3">
      <c r="B54" s="230" t="s">
        <v>673</v>
      </c>
      <c r="C54" s="232" t="s">
        <v>649</v>
      </c>
      <c r="D54" s="242"/>
      <c r="E54" s="242"/>
      <c r="F54" s="242"/>
      <c r="G54" s="290">
        <f>SUM(D54:F54)</f>
        <v>0</v>
      </c>
      <c r="H54" s="302"/>
      <c r="I54" s="323"/>
      <c r="J54" s="382"/>
      <c r="K54" s="377"/>
      <c r="L54" s="293"/>
      <c r="M54" s="323"/>
      <c r="N54" s="302"/>
      <c r="O54" s="303"/>
      <c r="P54" s="293"/>
      <c r="Q54" s="303"/>
      <c r="R54" s="302"/>
      <c r="S54" s="303"/>
      <c r="T54" s="302"/>
      <c r="U54" s="303"/>
      <c r="V54" s="382"/>
      <c r="W54" s="377"/>
      <c r="X54" s="382"/>
      <c r="Y54" s="377"/>
      <c r="Z54" s="319"/>
      <c r="AA54" s="319"/>
      <c r="AB54" s="382"/>
      <c r="AC54" s="377"/>
      <c r="AD54" s="319"/>
      <c r="AE54" s="319"/>
      <c r="AF54" s="302"/>
      <c r="AG54" s="303"/>
      <c r="AH54" s="309">
        <f>G54-SUM(H54:AG54)</f>
        <v>0</v>
      </c>
      <c r="AS54" s="274">
        <v>6</v>
      </c>
      <c r="AT54" s="245" t="s">
        <v>805</v>
      </c>
      <c r="AU54" s="372">
        <f>BC56</f>
        <v>0</v>
      </c>
    </row>
    <row r="55" spans="2:67" ht="18.75" customHeight="1" x14ac:dyDescent="0.25">
      <c r="B55" s="230" t="s">
        <v>87</v>
      </c>
      <c r="C55" s="232"/>
      <c r="D55" s="242"/>
      <c r="E55" s="242"/>
      <c r="F55" s="242"/>
      <c r="G55" s="290">
        <f>SUM(D55:F55)</f>
        <v>0</v>
      </c>
      <c r="H55" s="302"/>
      <c r="I55" s="323"/>
      <c r="J55" s="382"/>
      <c r="K55" s="377"/>
      <c r="L55" s="293"/>
      <c r="M55" s="323"/>
      <c r="N55" s="302"/>
      <c r="O55" s="303"/>
      <c r="P55" s="293"/>
      <c r="Q55" s="303"/>
      <c r="R55" s="302"/>
      <c r="S55" s="303"/>
      <c r="T55" s="302"/>
      <c r="U55" s="303"/>
      <c r="V55" s="382"/>
      <c r="W55" s="377"/>
      <c r="X55" s="382"/>
      <c r="Y55" s="377"/>
      <c r="Z55" s="319"/>
      <c r="AA55" s="319"/>
      <c r="AB55" s="382"/>
      <c r="AC55" s="377"/>
      <c r="AD55" s="319"/>
      <c r="AE55" s="319"/>
      <c r="AF55" s="302"/>
      <c r="AG55" s="303"/>
      <c r="AH55" s="309">
        <f>G55-SUM(H55:AG55)</f>
        <v>0</v>
      </c>
      <c r="AT55" s="245" t="s">
        <v>795</v>
      </c>
      <c r="AV55" s="372">
        <f>BC56</f>
        <v>0</v>
      </c>
      <c r="AZ55" s="446" t="s">
        <v>749</v>
      </c>
      <c r="BA55" s="423"/>
      <c r="BB55" s="423"/>
      <c r="BC55" s="423"/>
      <c r="BD55" s="425"/>
    </row>
    <row r="56" spans="2:67" ht="18.75" customHeight="1" x14ac:dyDescent="0.25">
      <c r="B56" s="230" t="s">
        <v>674</v>
      </c>
      <c r="C56" s="232" t="s">
        <v>649</v>
      </c>
      <c r="D56" s="242"/>
      <c r="E56" s="242"/>
      <c r="F56" s="242"/>
      <c r="G56" s="290">
        <f>SUM(D56:F56)</f>
        <v>0</v>
      </c>
      <c r="H56" s="302"/>
      <c r="I56" s="323"/>
      <c r="J56" s="382"/>
      <c r="K56" s="377"/>
      <c r="L56" s="293"/>
      <c r="M56" s="323"/>
      <c r="N56" s="302"/>
      <c r="O56" s="303"/>
      <c r="P56" s="293"/>
      <c r="Q56" s="303"/>
      <c r="R56" s="302"/>
      <c r="S56" s="303"/>
      <c r="T56" s="302"/>
      <c r="U56" s="303"/>
      <c r="V56" s="382"/>
      <c r="W56" s="377"/>
      <c r="X56" s="382"/>
      <c r="Y56" s="377"/>
      <c r="Z56" s="319"/>
      <c r="AA56" s="319"/>
      <c r="AB56" s="382"/>
      <c r="AC56" s="377"/>
      <c r="AD56" s="319"/>
      <c r="AE56" s="319"/>
      <c r="AF56" s="302"/>
      <c r="AG56" s="303"/>
      <c r="AH56" s="309">
        <f>G56-SUM(H56:AG56)</f>
        <v>0</v>
      </c>
      <c r="AZ56" s="442" t="s">
        <v>750</v>
      </c>
      <c r="BA56" s="440"/>
      <c r="BB56" s="440"/>
      <c r="BC56" s="457"/>
      <c r="BD56" s="437"/>
    </row>
    <row r="57" spans="2:67" ht="18.75" customHeight="1" x14ac:dyDescent="0.25">
      <c r="B57" s="227" t="s">
        <v>675</v>
      </c>
      <c r="C57" s="232"/>
      <c r="D57" s="236">
        <f>SUM(D52:D56)</f>
        <v>0</v>
      </c>
      <c r="E57" s="236">
        <f>SUM(E52:E56)</f>
        <v>0</v>
      </c>
      <c r="F57" s="236">
        <f>SUM(F52:F56)</f>
        <v>0</v>
      </c>
      <c r="G57" s="285">
        <f>SUM(G52:G56)</f>
        <v>0</v>
      </c>
      <c r="H57" s="300"/>
      <c r="I57" s="282"/>
      <c r="J57" s="380"/>
      <c r="K57" s="381"/>
      <c r="L57" s="292"/>
      <c r="M57" s="282"/>
      <c r="N57" s="300"/>
      <c r="O57" s="301"/>
      <c r="P57" s="292"/>
      <c r="Q57" s="301"/>
      <c r="R57" s="300"/>
      <c r="S57" s="301"/>
      <c r="T57" s="300"/>
      <c r="U57" s="301"/>
      <c r="V57" s="380"/>
      <c r="W57" s="381"/>
      <c r="X57" s="380"/>
      <c r="Y57" s="381"/>
      <c r="Z57" s="318"/>
      <c r="AA57" s="318"/>
      <c r="AB57" s="380"/>
      <c r="AC57" s="381"/>
      <c r="AD57" s="318"/>
      <c r="AE57" s="318"/>
      <c r="AF57" s="300"/>
      <c r="AG57" s="301"/>
      <c r="AH57" s="310">
        <f>SUM(AH52:AH56)</f>
        <v>0</v>
      </c>
      <c r="AT57" s="245" t="s">
        <v>796</v>
      </c>
      <c r="AU57" s="273">
        <f>BC57</f>
        <v>0</v>
      </c>
      <c r="AV57" s="273"/>
      <c r="AZ57" s="442" t="s">
        <v>797</v>
      </c>
      <c r="BA57" s="440"/>
      <c r="BB57" s="440"/>
      <c r="BC57" s="448">
        <v>0</v>
      </c>
      <c r="BD57" s="437"/>
    </row>
    <row r="58" spans="2:67" ht="18.75" customHeight="1" thickBot="1" x14ac:dyDescent="0.3">
      <c r="B58" s="227" t="s">
        <v>676</v>
      </c>
      <c r="C58" s="232"/>
      <c r="D58" s="236">
        <f>SUM(D49,D57)</f>
        <v>0</v>
      </c>
      <c r="E58" s="236">
        <f>SUM(E49,E57)</f>
        <v>0</v>
      </c>
      <c r="F58" s="236">
        <f>SUM(F49,F57)</f>
        <v>0</v>
      </c>
      <c r="G58" s="285">
        <f>SUM(G49,G57)</f>
        <v>0</v>
      </c>
      <c r="H58" s="300"/>
      <c r="I58" s="282"/>
      <c r="J58" s="380"/>
      <c r="K58" s="381"/>
      <c r="L58" s="292"/>
      <c r="M58" s="282"/>
      <c r="N58" s="300"/>
      <c r="O58" s="301"/>
      <c r="P58" s="292"/>
      <c r="Q58" s="301"/>
      <c r="R58" s="300"/>
      <c r="S58" s="301"/>
      <c r="T58" s="300"/>
      <c r="U58" s="301"/>
      <c r="V58" s="380"/>
      <c r="W58" s="381"/>
      <c r="X58" s="380"/>
      <c r="Y58" s="381"/>
      <c r="Z58" s="318"/>
      <c r="AA58" s="318"/>
      <c r="AB58" s="380"/>
      <c r="AC58" s="381"/>
      <c r="AD58" s="318"/>
      <c r="AE58" s="318"/>
      <c r="AF58" s="300"/>
      <c r="AG58" s="301"/>
      <c r="AH58" s="310">
        <f>SUM(AH49,AH57)</f>
        <v>0</v>
      </c>
      <c r="AT58" s="245" t="s">
        <v>795</v>
      </c>
      <c r="AU58" s="273"/>
      <c r="AV58" s="273">
        <f>BC57</f>
        <v>0</v>
      </c>
      <c r="AZ58" s="451"/>
      <c r="BA58" s="452"/>
      <c r="BB58" s="452"/>
      <c r="BC58" s="452"/>
      <c r="BD58" s="445"/>
    </row>
    <row r="59" spans="2:67" ht="18.75" customHeight="1" thickBot="1" x14ac:dyDescent="0.3">
      <c r="B59" s="227" t="s">
        <v>677</v>
      </c>
      <c r="C59" s="232"/>
      <c r="D59" s="238">
        <f>SUM(D43,D58)</f>
        <v>0</v>
      </c>
      <c r="E59" s="238">
        <f>SUM(E43,E58)</f>
        <v>0</v>
      </c>
      <c r="F59" s="238">
        <f>SUM(F43,F58)</f>
        <v>0</v>
      </c>
      <c r="G59" s="287">
        <f>SUM(G43,G58)</f>
        <v>0</v>
      </c>
      <c r="H59" s="306"/>
      <c r="I59" s="352"/>
      <c r="J59" s="388"/>
      <c r="K59" s="389"/>
      <c r="L59" s="331"/>
      <c r="M59" s="352"/>
      <c r="N59" s="306"/>
      <c r="O59" s="307"/>
      <c r="P59" s="331"/>
      <c r="Q59" s="307"/>
      <c r="R59" s="306"/>
      <c r="S59" s="307"/>
      <c r="T59" s="306"/>
      <c r="U59" s="307"/>
      <c r="V59" s="388"/>
      <c r="W59" s="389"/>
      <c r="X59" s="388"/>
      <c r="Y59" s="389"/>
      <c r="Z59" s="376"/>
      <c r="AA59" s="376"/>
      <c r="AB59" s="388"/>
      <c r="AC59" s="389"/>
      <c r="AD59" s="376"/>
      <c r="AE59" s="376"/>
      <c r="AF59" s="306"/>
      <c r="AG59" s="307"/>
      <c r="AH59" s="311">
        <f>SUM(AH43,AH58)</f>
        <v>-1165.0999999999999</v>
      </c>
    </row>
    <row r="60" spans="2:67" ht="15.75" thickBot="1" x14ac:dyDescent="0.3">
      <c r="H60" s="391"/>
      <c r="I60" s="395"/>
      <c r="J60" s="391"/>
      <c r="K60" s="392"/>
      <c r="L60" s="395"/>
      <c r="M60" s="395"/>
      <c r="N60" s="391"/>
      <c r="O60" s="392"/>
      <c r="AB60" s="391"/>
      <c r="AC60" s="392"/>
    </row>
    <row r="61" spans="2:67" ht="16.5" thickBot="1" x14ac:dyDescent="0.3">
      <c r="H61" s="391"/>
      <c r="I61" s="395"/>
      <c r="J61" s="391"/>
      <c r="K61" s="392"/>
      <c r="L61" s="395"/>
      <c r="M61" s="395"/>
      <c r="N61" s="391"/>
      <c r="O61" s="392"/>
      <c r="AB61" s="391"/>
      <c r="AC61" s="392"/>
      <c r="AS61" s="274">
        <v>7</v>
      </c>
      <c r="AT61" s="265" t="s">
        <v>758</v>
      </c>
      <c r="AU61" s="273">
        <f>BC65</f>
        <v>0</v>
      </c>
      <c r="AV61" s="273"/>
    </row>
    <row r="62" spans="2:67" ht="15.75" x14ac:dyDescent="0.25">
      <c r="H62" s="391"/>
      <c r="I62" s="395"/>
      <c r="J62" s="391"/>
      <c r="K62" s="392"/>
      <c r="L62" s="395"/>
      <c r="M62" s="395"/>
      <c r="N62" s="391"/>
      <c r="O62" s="392"/>
      <c r="AB62" s="391"/>
      <c r="AC62" s="392"/>
      <c r="AT62" s="265" t="s">
        <v>591</v>
      </c>
      <c r="AU62" s="273"/>
      <c r="AV62" s="273">
        <f>BC65</f>
        <v>0</v>
      </c>
      <c r="AZ62" s="446" t="s">
        <v>751</v>
      </c>
      <c r="BA62" s="423"/>
      <c r="BB62" s="423"/>
      <c r="BC62" s="423"/>
      <c r="BD62" s="425"/>
    </row>
    <row r="63" spans="2:67" ht="15.75" x14ac:dyDescent="0.25">
      <c r="B63" s="224" t="str">
        <f>B6</f>
        <v>Hawkins plc</v>
      </c>
      <c r="C63" s="853" t="s">
        <v>637</v>
      </c>
      <c r="D63" s="229" t="s">
        <v>743</v>
      </c>
      <c r="E63" s="322">
        <f>3/12</f>
        <v>0.25</v>
      </c>
      <c r="F63" s="280"/>
      <c r="G63" s="280"/>
      <c r="H63" s="393"/>
      <c r="I63" s="396"/>
      <c r="J63" s="416"/>
      <c r="K63" s="417"/>
      <c r="L63" s="390"/>
      <c r="M63" s="396"/>
      <c r="N63" s="393"/>
      <c r="O63" s="394"/>
      <c r="P63" s="390"/>
      <c r="Q63" s="297"/>
      <c r="R63" s="297"/>
      <c r="S63" s="297"/>
      <c r="T63" s="297"/>
      <c r="U63" s="297"/>
      <c r="V63" s="297"/>
      <c r="W63" s="297"/>
      <c r="X63" s="297"/>
      <c r="Y63" s="297"/>
      <c r="Z63" s="297"/>
      <c r="AA63" s="396"/>
      <c r="AB63" s="393"/>
      <c r="AC63" s="394"/>
      <c r="AD63" s="390"/>
      <c r="AE63" s="297"/>
      <c r="AF63" s="297"/>
      <c r="AG63" s="297"/>
      <c r="AH63" s="225"/>
      <c r="AU63" s="273"/>
      <c r="AV63" s="273"/>
      <c r="AZ63" s="442" t="s">
        <v>757</v>
      </c>
      <c r="BA63" s="440"/>
      <c r="BB63" s="440"/>
      <c r="BC63" s="448"/>
      <c r="BD63" s="437"/>
      <c r="BF63" s="277"/>
    </row>
    <row r="64" spans="2:67" ht="15.75" x14ac:dyDescent="0.25">
      <c r="B64" s="227" t="s">
        <v>13</v>
      </c>
      <c r="C64" s="854"/>
      <c r="D64" s="225"/>
      <c r="E64" s="225"/>
      <c r="F64" s="225"/>
      <c r="G64" s="280"/>
      <c r="H64" s="850">
        <v>1</v>
      </c>
      <c r="I64" s="856"/>
      <c r="J64" s="850">
        <v>2</v>
      </c>
      <c r="K64" s="851"/>
      <c r="L64" s="856">
        <v>3</v>
      </c>
      <c r="M64" s="856"/>
      <c r="N64" s="850">
        <v>4</v>
      </c>
      <c r="O64" s="851"/>
      <c r="P64" s="856">
        <v>5</v>
      </c>
      <c r="Q64" s="851"/>
      <c r="R64" s="850">
        <v>6</v>
      </c>
      <c r="S64" s="851"/>
      <c r="T64" s="850">
        <v>7</v>
      </c>
      <c r="U64" s="851"/>
      <c r="V64" s="850">
        <v>8</v>
      </c>
      <c r="W64" s="851"/>
      <c r="X64" s="861">
        <v>9</v>
      </c>
      <c r="Y64" s="861"/>
      <c r="Z64" s="856">
        <v>10</v>
      </c>
      <c r="AA64" s="856"/>
      <c r="AB64" s="850">
        <v>11</v>
      </c>
      <c r="AC64" s="851"/>
      <c r="AD64" s="856">
        <v>12</v>
      </c>
      <c r="AE64" s="851"/>
      <c r="AF64" s="850">
        <v>13</v>
      </c>
      <c r="AG64" s="851"/>
      <c r="AH64" s="308"/>
      <c r="AT64" s="265" t="s">
        <v>759</v>
      </c>
      <c r="AU64" s="273">
        <f>BC66</f>
        <v>0</v>
      </c>
      <c r="AV64" s="273"/>
      <c r="AZ64" s="442"/>
      <c r="BA64" s="440"/>
      <c r="BB64" s="440"/>
      <c r="BC64" s="440"/>
      <c r="BD64" s="437"/>
    </row>
    <row r="65" spans="2:67" ht="16.5" thickBot="1" x14ac:dyDescent="0.3">
      <c r="B65" s="228" t="s">
        <v>699</v>
      </c>
      <c r="C65" s="855"/>
      <c r="D65" s="229" t="s">
        <v>639</v>
      </c>
      <c r="E65" s="229" t="s">
        <v>640</v>
      </c>
      <c r="F65" s="229" t="s">
        <v>640</v>
      </c>
      <c r="G65" s="281" t="s">
        <v>641</v>
      </c>
      <c r="H65" s="298" t="s">
        <v>700</v>
      </c>
      <c r="I65" s="281" t="s">
        <v>701</v>
      </c>
      <c r="J65" s="298" t="s">
        <v>700</v>
      </c>
      <c r="K65" s="281" t="s">
        <v>701</v>
      </c>
      <c r="L65" s="291" t="s">
        <v>700</v>
      </c>
      <c r="M65" s="281" t="s">
        <v>701</v>
      </c>
      <c r="N65" s="298" t="s">
        <v>700</v>
      </c>
      <c r="O65" s="299" t="s">
        <v>701</v>
      </c>
      <c r="P65" s="291" t="s">
        <v>700</v>
      </c>
      <c r="Q65" s="299" t="s">
        <v>701</v>
      </c>
      <c r="R65" s="298" t="s">
        <v>700</v>
      </c>
      <c r="S65" s="299" t="s">
        <v>701</v>
      </c>
      <c r="T65" s="298" t="s">
        <v>700</v>
      </c>
      <c r="U65" s="299" t="s">
        <v>701</v>
      </c>
      <c r="V65" s="298" t="s">
        <v>700</v>
      </c>
      <c r="W65" s="299" t="s">
        <v>701</v>
      </c>
      <c r="X65" s="469" t="s">
        <v>700</v>
      </c>
      <c r="Y65" s="470" t="s">
        <v>701</v>
      </c>
      <c r="Z65" s="291" t="s">
        <v>700</v>
      </c>
      <c r="AA65" s="281" t="s">
        <v>701</v>
      </c>
      <c r="AB65" s="291" t="s">
        <v>700</v>
      </c>
      <c r="AC65" s="281" t="s">
        <v>701</v>
      </c>
      <c r="AD65" s="291" t="s">
        <v>700</v>
      </c>
      <c r="AE65" s="281" t="s">
        <v>701</v>
      </c>
      <c r="AF65" s="298" t="s">
        <v>700</v>
      </c>
      <c r="AG65" s="299" t="s">
        <v>701</v>
      </c>
      <c r="AH65" s="291" t="s">
        <v>644</v>
      </c>
      <c r="AT65" s="265" t="s">
        <v>591</v>
      </c>
      <c r="AU65" s="273"/>
      <c r="AV65" s="273">
        <f>BC66</f>
        <v>0</v>
      </c>
      <c r="AZ65" s="442" t="s">
        <v>755</v>
      </c>
      <c r="BA65" s="440"/>
      <c r="BB65" s="440"/>
      <c r="BC65" s="441">
        <f>BC63-BC66</f>
        <v>0</v>
      </c>
      <c r="BD65" s="437"/>
    </row>
    <row r="66" spans="2:67" ht="15.75" x14ac:dyDescent="0.25">
      <c r="B66" s="230"/>
      <c r="C66" s="231" t="s">
        <v>645</v>
      </c>
      <c r="D66" s="229" t="s">
        <v>10</v>
      </c>
      <c r="E66" s="229" t="s">
        <v>10</v>
      </c>
      <c r="F66" s="229" t="s">
        <v>10</v>
      </c>
      <c r="G66" s="281" t="s">
        <v>10</v>
      </c>
      <c r="H66" s="298" t="s">
        <v>10</v>
      </c>
      <c r="I66" s="281" t="s">
        <v>10</v>
      </c>
      <c r="J66" s="298" t="s">
        <v>10</v>
      </c>
      <c r="K66" s="281" t="s">
        <v>10</v>
      </c>
      <c r="L66" s="291" t="s">
        <v>10</v>
      </c>
      <c r="M66" s="281" t="s">
        <v>10</v>
      </c>
      <c r="N66" s="298" t="s">
        <v>10</v>
      </c>
      <c r="O66" s="299" t="s">
        <v>10</v>
      </c>
      <c r="P66" s="291" t="s">
        <v>10</v>
      </c>
      <c r="Q66" s="299" t="s">
        <v>10</v>
      </c>
      <c r="R66" s="298" t="s">
        <v>10</v>
      </c>
      <c r="S66" s="299" t="s">
        <v>10</v>
      </c>
      <c r="T66" s="298" t="s">
        <v>10</v>
      </c>
      <c r="U66" s="299" t="s">
        <v>10</v>
      </c>
      <c r="V66" s="298" t="s">
        <v>10</v>
      </c>
      <c r="W66" s="299" t="s">
        <v>10</v>
      </c>
      <c r="X66" s="298" t="s">
        <v>10</v>
      </c>
      <c r="Y66" s="299" t="s">
        <v>10</v>
      </c>
      <c r="Z66" s="291" t="s">
        <v>10</v>
      </c>
      <c r="AA66" s="281" t="s">
        <v>10</v>
      </c>
      <c r="AB66" s="291" t="s">
        <v>10</v>
      </c>
      <c r="AC66" s="281" t="s">
        <v>10</v>
      </c>
      <c r="AD66" s="291" t="s">
        <v>10</v>
      </c>
      <c r="AE66" s="281" t="s">
        <v>10</v>
      </c>
      <c r="AF66" s="298" t="s">
        <v>10</v>
      </c>
      <c r="AG66" s="299" t="s">
        <v>10</v>
      </c>
      <c r="AH66" s="291" t="s">
        <v>10</v>
      </c>
      <c r="AZ66" s="442" t="s">
        <v>756</v>
      </c>
      <c r="BA66" s="440"/>
      <c r="BB66" s="440"/>
      <c r="BC66" s="441">
        <f>BC63*BC11</f>
        <v>0</v>
      </c>
      <c r="BD66" s="437"/>
    </row>
    <row r="67" spans="2:67" ht="16.5" thickBot="1" x14ac:dyDescent="0.3">
      <c r="B67" s="227" t="s">
        <v>58</v>
      </c>
      <c r="C67" s="232"/>
      <c r="D67" s="234"/>
      <c r="E67" s="234"/>
      <c r="F67" s="234"/>
      <c r="G67" s="283">
        <f>SUM(D67:F67)</f>
        <v>0</v>
      </c>
      <c r="H67" s="302"/>
      <c r="I67" s="323"/>
      <c r="J67" s="382"/>
      <c r="K67" s="377"/>
      <c r="L67" s="293"/>
      <c r="M67" s="323"/>
      <c r="N67" s="302"/>
      <c r="O67" s="303"/>
      <c r="P67" s="293"/>
      <c r="Q67" s="303"/>
      <c r="R67" s="302">
        <f>SUMIF($AT$54:$AT$58,"DR SPL - Revenue",$AU$54:$AU$58)</f>
        <v>0</v>
      </c>
      <c r="S67" s="303">
        <f>SUMIF($AT$54:$AT$58,"CR SPL - Revenue",$AV$54:$AV$58)</f>
        <v>0</v>
      </c>
      <c r="T67" s="302">
        <f>SUMIF($AT$61:$AT$65,"DR SPL - Revenue",$AU$61:$AU$65)</f>
        <v>0</v>
      </c>
      <c r="U67" s="303">
        <f>SUMIF($AT$61:$AT$65,"CR SPL - Revenue",$AV$61:$AV$65)</f>
        <v>0</v>
      </c>
      <c r="V67" s="302">
        <f>SUMIF($AT$69:$AT$76,"DR SPL - Revenue",$AU$69:$AU$76)</f>
        <v>60</v>
      </c>
      <c r="W67" s="303">
        <f>SUMIF($AT$69:$AT$76,"CR SPL - Revenue",$AV$69:$AV$76)</f>
        <v>0</v>
      </c>
      <c r="X67" s="382"/>
      <c r="Y67" s="377"/>
      <c r="Z67" s="319"/>
      <c r="AA67" s="319"/>
      <c r="AB67" s="382"/>
      <c r="AC67" s="377"/>
      <c r="AD67" s="319"/>
      <c r="AE67" s="319"/>
      <c r="AF67" s="302"/>
      <c r="AG67" s="303"/>
      <c r="AH67" s="309">
        <f>G67-SUM(H67:AG67)</f>
        <v>-60</v>
      </c>
      <c r="AZ67" s="451"/>
      <c r="BA67" s="452"/>
      <c r="BB67" s="452"/>
      <c r="BC67" s="452"/>
      <c r="BD67" s="445"/>
    </row>
    <row r="68" spans="2:67" ht="16.5" thickBot="1" x14ac:dyDescent="0.3">
      <c r="B68" s="227"/>
      <c r="C68" s="232"/>
      <c r="D68" s="246"/>
      <c r="E68" s="246"/>
      <c r="F68" s="246"/>
      <c r="G68" s="328"/>
      <c r="H68" s="302"/>
      <c r="I68" s="323"/>
      <c r="J68" s="382"/>
      <c r="K68" s="377"/>
      <c r="L68" s="293"/>
      <c r="M68" s="323"/>
      <c r="N68" s="302"/>
      <c r="O68" s="303"/>
      <c r="P68" s="293"/>
      <c r="Q68" s="303"/>
      <c r="R68" s="302"/>
      <c r="S68" s="303"/>
      <c r="T68" s="302"/>
      <c r="U68" s="303"/>
      <c r="V68" s="382"/>
      <c r="W68" s="377"/>
      <c r="X68" s="382"/>
      <c r="Y68" s="377"/>
      <c r="Z68" s="319"/>
      <c r="AA68" s="319"/>
      <c r="AB68" s="382"/>
      <c r="AC68" s="377"/>
      <c r="AD68" s="319"/>
      <c r="AE68" s="319"/>
      <c r="AF68" s="302"/>
      <c r="AG68" s="303"/>
      <c r="AH68" s="292"/>
    </row>
    <row r="69" spans="2:67" ht="16.5" thickBot="1" x14ac:dyDescent="0.3">
      <c r="B69" s="227"/>
      <c r="C69" s="232"/>
      <c r="D69" s="246"/>
      <c r="E69" s="246"/>
      <c r="F69" s="246"/>
      <c r="G69" s="328"/>
      <c r="H69" s="302"/>
      <c r="I69" s="323"/>
      <c r="J69" s="382"/>
      <c r="K69" s="377"/>
      <c r="L69" s="293"/>
      <c r="M69" s="323"/>
      <c r="N69" s="302"/>
      <c r="O69" s="303"/>
      <c r="P69" s="293"/>
      <c r="Q69" s="303"/>
      <c r="R69" s="302"/>
      <c r="S69" s="303"/>
      <c r="T69" s="302"/>
      <c r="U69" s="303"/>
      <c r="V69" s="382"/>
      <c r="W69" s="377"/>
      <c r="X69" s="382"/>
      <c r="Y69" s="377"/>
      <c r="Z69" s="319"/>
      <c r="AA69" s="319"/>
      <c r="AB69" s="382"/>
      <c r="AC69" s="377"/>
      <c r="AD69" s="319"/>
      <c r="AE69" s="319"/>
      <c r="AF69" s="302"/>
      <c r="AG69" s="303"/>
      <c r="AH69" s="292"/>
      <c r="AS69" s="274">
        <v>8</v>
      </c>
      <c r="AT69" s="265" t="s">
        <v>761</v>
      </c>
      <c r="AU69" s="273">
        <f>BC71</f>
        <v>60</v>
      </c>
      <c r="AZ69" s="622" t="s">
        <v>760</v>
      </c>
      <c r="BA69" s="423"/>
      <c r="BB69" s="423"/>
      <c r="BC69" s="423"/>
      <c r="BD69" s="425"/>
    </row>
    <row r="70" spans="2:67" ht="15.75" x14ac:dyDescent="0.25">
      <c r="B70" s="230" t="s">
        <v>67</v>
      </c>
      <c r="C70" s="232"/>
      <c r="D70" s="235"/>
      <c r="E70" s="235"/>
      <c r="F70" s="235"/>
      <c r="G70" s="283">
        <f>SUM(D70:F70)</f>
        <v>0</v>
      </c>
      <c r="H70" s="302"/>
      <c r="I70" s="323"/>
      <c r="J70" s="382"/>
      <c r="K70" s="377"/>
      <c r="L70" s="293"/>
      <c r="M70" s="323"/>
      <c r="N70" s="302"/>
      <c r="O70" s="303"/>
      <c r="P70" s="293"/>
      <c r="Q70" s="303"/>
      <c r="R70" s="302">
        <f>SUMIF($AT$54:$AT$58,"DR SPL - Cost of sales",$AU$54:$AU$58)</f>
        <v>0</v>
      </c>
      <c r="S70" s="303">
        <f>-SUMIF($AT$54:$AT$58,"CR SPL - Cost of sales",$AV$54:$AV$58)</f>
        <v>0</v>
      </c>
      <c r="T70" s="302">
        <f>SUMIF($AT$61:$AT$65,"DR SPL - Cost of sales",$AU$61:$AU$65)</f>
        <v>0</v>
      </c>
      <c r="U70" s="303">
        <f>-SUMIF($AT$61:$AT$65,"CR SPL - Cost of sales",$AV$61:$AV$65)</f>
        <v>0</v>
      </c>
      <c r="V70" s="302">
        <f>SUMIF($AT$69:$AT$76,"DR SPL - Cost of sales",$AU$69:$AU$76)</f>
        <v>11.1</v>
      </c>
      <c r="W70" s="303">
        <f>-SUMIF($AT$69:$AT$76,"CR SPL - Cost of sales",$AV$69:$AV$76)</f>
        <v>-60</v>
      </c>
      <c r="X70" s="382"/>
      <c r="Y70" s="377"/>
      <c r="Z70" s="319"/>
      <c r="AA70" s="319"/>
      <c r="AB70" s="382"/>
      <c r="AC70" s="377"/>
      <c r="AD70" s="302">
        <f>SUMIF($AT$109:$AT$116,"DR SPL - cost of sales",$AU$109:$AU$116)</f>
        <v>0</v>
      </c>
      <c r="AE70" s="303">
        <f>-SUMIF($AT$109:$AT$116,"CR SPL - cost of sales",$AV$109:$AV$116)</f>
        <v>0</v>
      </c>
      <c r="AF70" s="302"/>
      <c r="AG70" s="303"/>
      <c r="AH70" s="309">
        <f>G70+SUM(H70:AG70)</f>
        <v>-48.9</v>
      </c>
      <c r="AT70" s="265" t="s">
        <v>769</v>
      </c>
      <c r="AV70" s="272">
        <f>BC71</f>
        <v>60</v>
      </c>
      <c r="AZ70" s="458" t="s">
        <v>781</v>
      </c>
      <c r="BA70" s="440"/>
      <c r="BB70" s="440"/>
      <c r="BC70" s="440"/>
      <c r="BD70" s="437"/>
      <c r="BJ70" s="277"/>
      <c r="BO70" s="399" t="s">
        <v>762</v>
      </c>
    </row>
    <row r="71" spans="2:67" x14ac:dyDescent="0.25">
      <c r="B71" s="230"/>
      <c r="C71" s="232"/>
      <c r="D71" s="233"/>
      <c r="E71" s="233"/>
      <c r="F71" s="233"/>
      <c r="G71" s="282"/>
      <c r="H71" s="302"/>
      <c r="I71" s="323"/>
      <c r="J71" s="382"/>
      <c r="K71" s="377"/>
      <c r="L71" s="293"/>
      <c r="M71" s="323"/>
      <c r="N71" s="302"/>
      <c r="O71" s="303"/>
      <c r="P71" s="293"/>
      <c r="Q71" s="303"/>
      <c r="R71" s="302"/>
      <c r="S71" s="303"/>
      <c r="T71" s="302"/>
      <c r="U71" s="303"/>
      <c r="V71" s="382"/>
      <c r="W71" s="377"/>
      <c r="X71" s="382"/>
      <c r="Y71" s="377"/>
      <c r="Z71" s="319"/>
      <c r="AA71" s="319"/>
      <c r="AB71" s="382"/>
      <c r="AC71" s="377"/>
      <c r="AD71" s="302"/>
      <c r="AE71" s="303"/>
      <c r="AF71" s="302"/>
      <c r="AG71" s="303"/>
      <c r="AH71" s="292"/>
      <c r="AT71" s="265" t="s">
        <v>305</v>
      </c>
      <c r="AU71" s="272">
        <f>BC76</f>
        <v>11.1</v>
      </c>
      <c r="AZ71" s="442" t="s">
        <v>763</v>
      </c>
      <c r="BA71" s="440"/>
      <c r="BB71" s="440"/>
      <c r="BC71" s="448">
        <v>60</v>
      </c>
      <c r="BD71" s="437"/>
      <c r="BJ71" s="277"/>
    </row>
    <row r="72" spans="2:67" x14ac:dyDescent="0.25">
      <c r="B72" s="230"/>
      <c r="C72" s="232"/>
      <c r="D72" s="246"/>
      <c r="E72" s="246"/>
      <c r="F72" s="246"/>
      <c r="G72" s="328"/>
      <c r="H72" s="302"/>
      <c r="I72" s="323"/>
      <c r="J72" s="382"/>
      <c r="K72" s="377"/>
      <c r="L72" s="293"/>
      <c r="M72" s="323"/>
      <c r="N72" s="302"/>
      <c r="O72" s="303"/>
      <c r="P72" s="293"/>
      <c r="Q72" s="303"/>
      <c r="R72" s="302"/>
      <c r="S72" s="303"/>
      <c r="T72" s="302"/>
      <c r="U72" s="303"/>
      <c r="V72" s="382"/>
      <c r="W72" s="377"/>
      <c r="X72" s="382"/>
      <c r="Y72" s="377"/>
      <c r="Z72" s="319"/>
      <c r="AA72" s="319"/>
      <c r="AB72" s="382"/>
      <c r="AC72" s="377"/>
      <c r="AD72" s="319"/>
      <c r="AE72" s="319"/>
      <c r="AF72" s="302"/>
      <c r="AG72" s="303"/>
      <c r="AH72" s="330"/>
      <c r="AT72" s="265" t="s">
        <v>801</v>
      </c>
      <c r="AV72" s="272">
        <f>BC76</f>
        <v>11.1</v>
      </c>
      <c r="AZ72" s="442" t="s">
        <v>764</v>
      </c>
      <c r="BA72" s="436"/>
      <c r="BB72" s="436"/>
      <c r="BC72" s="448">
        <f>BC71*100/125</f>
        <v>48</v>
      </c>
      <c r="BD72" s="437"/>
    </row>
    <row r="73" spans="2:67" x14ac:dyDescent="0.25">
      <c r="B73" s="230" t="s">
        <v>702</v>
      </c>
      <c r="C73" s="232"/>
      <c r="D73" s="239">
        <f>D67-D70</f>
        <v>0</v>
      </c>
      <c r="E73" s="239">
        <f>E67-E70</f>
        <v>0</v>
      </c>
      <c r="F73" s="239">
        <f>F67-F70</f>
        <v>0</v>
      </c>
      <c r="G73" s="288">
        <f>G67-G70</f>
        <v>0</v>
      </c>
      <c r="H73" s="300"/>
      <c r="I73" s="282"/>
      <c r="J73" s="380"/>
      <c r="K73" s="381"/>
      <c r="L73" s="292"/>
      <c r="M73" s="282"/>
      <c r="N73" s="300"/>
      <c r="O73" s="301"/>
      <c r="P73" s="292"/>
      <c r="Q73" s="301"/>
      <c r="R73" s="300"/>
      <c r="S73" s="301"/>
      <c r="T73" s="300"/>
      <c r="U73" s="301"/>
      <c r="V73" s="380"/>
      <c r="W73" s="381"/>
      <c r="X73" s="380"/>
      <c r="Y73" s="381"/>
      <c r="Z73" s="318"/>
      <c r="AA73" s="318"/>
      <c r="AB73" s="380"/>
      <c r="AC73" s="381"/>
      <c r="AD73" s="318"/>
      <c r="AE73" s="318"/>
      <c r="AF73" s="300"/>
      <c r="AG73" s="301"/>
      <c r="AH73" s="312">
        <f>AH67-AH70</f>
        <v>-11.100000000000001</v>
      </c>
      <c r="AZ73" s="442" t="s">
        <v>765</v>
      </c>
      <c r="BA73" s="440"/>
      <c r="BB73" s="440"/>
      <c r="BC73" s="361">
        <f>BC71-BC72</f>
        <v>12</v>
      </c>
      <c r="BD73" s="437"/>
    </row>
    <row r="74" spans="2:67" x14ac:dyDescent="0.25">
      <c r="B74" s="230" t="s">
        <v>95</v>
      </c>
      <c r="C74" s="232"/>
      <c r="D74" s="235"/>
      <c r="E74" s="235"/>
      <c r="F74" s="235"/>
      <c r="G74" s="283">
        <f>SUM(D74:F74)</f>
        <v>0</v>
      </c>
      <c r="H74" s="302"/>
      <c r="I74" s="323"/>
      <c r="J74" s="382"/>
      <c r="K74" s="377"/>
      <c r="L74" s="293"/>
      <c r="M74" s="323"/>
      <c r="N74" s="302"/>
      <c r="O74" s="303"/>
      <c r="P74" s="293"/>
      <c r="Q74" s="303"/>
      <c r="R74" s="302"/>
      <c r="S74" s="303"/>
      <c r="T74" s="302"/>
      <c r="U74" s="303"/>
      <c r="V74" s="382"/>
      <c r="W74" s="377"/>
      <c r="X74" s="382">
        <f>SUMIF($AT$81:$AT$82,"DR SPL - Other income",$AU$81:$AU$82)</f>
        <v>0</v>
      </c>
      <c r="Y74" s="377"/>
      <c r="Z74" s="319">
        <f>SUMIF($AT$86:$AT$97,"DR SPL - gain on sale",AU$86:AU$97)</f>
        <v>0</v>
      </c>
      <c r="AA74" s="319">
        <f>SUMIF($AT$86:$AT$97,"CR SPL - gain on sale",AV$86:AV$97)</f>
        <v>0</v>
      </c>
      <c r="AB74" s="382"/>
      <c r="AC74" s="377"/>
      <c r="AD74" s="319"/>
      <c r="AE74" s="319"/>
      <c r="AF74" s="302"/>
      <c r="AG74" s="303"/>
      <c r="AH74" s="309">
        <f>G74-H74-H75-H76+I76+I75+I74</f>
        <v>0</v>
      </c>
      <c r="AZ74" s="435"/>
      <c r="BA74" s="436"/>
      <c r="BB74" s="436"/>
      <c r="BC74" s="436"/>
      <c r="BD74" s="437"/>
    </row>
    <row r="75" spans="2:67" x14ac:dyDescent="0.25">
      <c r="B75" s="230"/>
      <c r="C75" s="232"/>
      <c r="D75" s="233"/>
      <c r="E75" s="233"/>
      <c r="F75" s="233"/>
      <c r="G75" s="282"/>
      <c r="H75" s="302"/>
      <c r="I75" s="323"/>
      <c r="J75" s="382"/>
      <c r="K75" s="377"/>
      <c r="L75" s="293"/>
      <c r="M75" s="323"/>
      <c r="N75" s="302"/>
      <c r="O75" s="303"/>
      <c r="P75" s="293"/>
      <c r="Q75" s="303"/>
      <c r="R75" s="302"/>
      <c r="S75" s="303"/>
      <c r="T75" s="302"/>
      <c r="U75" s="303"/>
      <c r="V75" s="382"/>
      <c r="W75" s="377"/>
      <c r="X75" s="382"/>
      <c r="Y75" s="377"/>
      <c r="Z75" s="319"/>
      <c r="AA75" s="319"/>
      <c r="AB75" s="382"/>
      <c r="AC75" s="377"/>
      <c r="AD75" s="319"/>
      <c r="AE75" s="319"/>
      <c r="AF75" s="302"/>
      <c r="AG75" s="303"/>
      <c r="AH75" s="292"/>
      <c r="AT75" s="265" t="s">
        <v>759</v>
      </c>
      <c r="AU75" s="272">
        <f>BC79</f>
        <v>3.3299999999999996</v>
      </c>
      <c r="AZ75" s="442" t="s">
        <v>766</v>
      </c>
      <c r="BA75" s="436"/>
      <c r="BB75" s="436"/>
      <c r="BC75" s="51">
        <v>0.9</v>
      </c>
      <c r="BD75" s="437"/>
    </row>
    <row r="76" spans="2:67" ht="15.75" thickBot="1" x14ac:dyDescent="0.3">
      <c r="B76" s="230"/>
      <c r="C76" s="232"/>
      <c r="D76" s="233"/>
      <c r="E76" s="233"/>
      <c r="F76" s="233"/>
      <c r="G76" s="282"/>
      <c r="H76" s="302"/>
      <c r="I76" s="323"/>
      <c r="J76" s="382"/>
      <c r="K76" s="377"/>
      <c r="L76" s="293"/>
      <c r="M76" s="323"/>
      <c r="N76" s="302"/>
      <c r="O76" s="303"/>
      <c r="P76" s="293"/>
      <c r="Q76" s="303"/>
      <c r="R76" s="302"/>
      <c r="S76" s="303"/>
      <c r="T76" s="302"/>
      <c r="U76" s="303"/>
      <c r="V76" s="382"/>
      <c r="W76" s="377"/>
      <c r="X76" s="382"/>
      <c r="Y76" s="377"/>
      <c r="Z76" s="319"/>
      <c r="AA76" s="319"/>
      <c r="AB76" s="382"/>
      <c r="AC76" s="377"/>
      <c r="AD76" s="319"/>
      <c r="AE76" s="319"/>
      <c r="AF76" s="302"/>
      <c r="AG76" s="303"/>
      <c r="AH76" s="292"/>
      <c r="AT76" s="265" t="s">
        <v>695</v>
      </c>
      <c r="AV76" s="272">
        <f>BC79</f>
        <v>3.3299999999999996</v>
      </c>
      <c r="AZ76" s="442" t="s">
        <v>767</v>
      </c>
      <c r="BA76" s="436"/>
      <c r="BB76" s="436"/>
      <c r="BC76" s="364">
        <f>BC73-BC75</f>
        <v>11.1</v>
      </c>
      <c r="BD76" s="437"/>
      <c r="BE76" s="399" t="s">
        <v>1559</v>
      </c>
    </row>
    <row r="77" spans="2:67" ht="15.75" thickTop="1" x14ac:dyDescent="0.25">
      <c r="B77" s="230" t="s">
        <v>703</v>
      </c>
      <c r="C77" s="232"/>
      <c r="D77" s="247"/>
      <c r="E77" s="247"/>
      <c r="F77" s="247"/>
      <c r="G77" s="283">
        <f>SUM(D77:F77)</f>
        <v>0</v>
      </c>
      <c r="H77" s="302"/>
      <c r="I77" s="323"/>
      <c r="J77" s="382"/>
      <c r="K77" s="377"/>
      <c r="L77" s="293"/>
      <c r="M77" s="323"/>
      <c r="N77" s="302"/>
      <c r="O77" s="303"/>
      <c r="P77" s="293"/>
      <c r="Q77" s="303"/>
      <c r="R77" s="302"/>
      <c r="S77" s="303"/>
      <c r="T77" s="302"/>
      <c r="U77" s="303"/>
      <c r="V77" s="382"/>
      <c r="W77" s="377"/>
      <c r="X77" s="382"/>
      <c r="Y77" s="377"/>
      <c r="Z77" s="319"/>
      <c r="AA77" s="319"/>
      <c r="AB77" s="382"/>
      <c r="AC77" s="377"/>
      <c r="AD77" s="319"/>
      <c r="AE77" s="319"/>
      <c r="AF77" s="302"/>
      <c r="AG77" s="303"/>
      <c r="AH77" s="309">
        <f>G77+H77+H78+H79-I79-I78-I77</f>
        <v>0</v>
      </c>
      <c r="AZ77" s="435"/>
      <c r="BA77" s="436"/>
      <c r="BB77" s="436"/>
      <c r="BC77" s="436"/>
      <c r="BD77" s="437"/>
      <c r="BE77" s="399" t="s">
        <v>1560</v>
      </c>
    </row>
    <row r="78" spans="2:67" x14ac:dyDescent="0.25">
      <c r="B78" s="230"/>
      <c r="C78" s="232"/>
      <c r="D78" s="233"/>
      <c r="E78" s="233"/>
      <c r="F78" s="233"/>
      <c r="G78" s="282"/>
      <c r="H78" s="302"/>
      <c r="I78" s="323"/>
      <c r="J78" s="382"/>
      <c r="K78" s="377"/>
      <c r="L78" s="293"/>
      <c r="M78" s="323"/>
      <c r="N78" s="302"/>
      <c r="O78" s="303"/>
      <c r="P78" s="293"/>
      <c r="Q78" s="303"/>
      <c r="R78" s="302"/>
      <c r="S78" s="303"/>
      <c r="T78" s="302"/>
      <c r="U78" s="303"/>
      <c r="V78" s="382"/>
      <c r="W78" s="377"/>
      <c r="X78" s="382"/>
      <c r="Y78" s="377"/>
      <c r="Z78" s="319"/>
      <c r="AA78" s="319"/>
      <c r="AB78" s="382"/>
      <c r="AC78" s="377"/>
      <c r="AD78" s="319"/>
      <c r="AE78" s="319"/>
      <c r="AF78" s="302"/>
      <c r="AG78" s="303"/>
      <c r="AH78" s="292"/>
      <c r="AZ78" s="442"/>
      <c r="BA78" s="440"/>
      <c r="BB78" s="440"/>
      <c r="BC78" s="440"/>
      <c r="BD78" s="437"/>
    </row>
    <row r="79" spans="2:67" ht="15.75" thickBot="1" x14ac:dyDescent="0.3">
      <c r="B79" s="230"/>
      <c r="C79" s="232"/>
      <c r="D79" s="233"/>
      <c r="E79" s="233"/>
      <c r="F79" s="233"/>
      <c r="G79" s="282"/>
      <c r="H79" s="302"/>
      <c r="I79" s="323"/>
      <c r="J79" s="382"/>
      <c r="K79" s="377"/>
      <c r="L79" s="293"/>
      <c r="M79" s="323"/>
      <c r="N79" s="302"/>
      <c r="O79" s="303"/>
      <c r="P79" s="293"/>
      <c r="Q79" s="303"/>
      <c r="R79" s="302"/>
      <c r="S79" s="303"/>
      <c r="T79" s="302"/>
      <c r="U79" s="303"/>
      <c r="V79" s="382"/>
      <c r="W79" s="377"/>
      <c r="X79" s="382"/>
      <c r="Y79" s="377"/>
      <c r="Z79" s="319"/>
      <c r="AA79" s="319"/>
      <c r="AB79" s="382"/>
      <c r="AC79" s="377"/>
      <c r="AD79" s="319"/>
      <c r="AE79" s="319"/>
      <c r="AF79" s="302"/>
      <c r="AG79" s="303"/>
      <c r="AH79" s="292"/>
      <c r="AZ79" s="451" t="s">
        <v>768</v>
      </c>
      <c r="BA79" s="452"/>
      <c r="BB79" s="452"/>
      <c r="BC79" s="459">
        <f>IF(AZ70="Sub -&gt; Parent",BC76*BC11,0)</f>
        <v>3.3299999999999996</v>
      </c>
      <c r="BD79" s="445"/>
      <c r="BE79" s="399" t="s">
        <v>1561</v>
      </c>
    </row>
    <row r="80" spans="2:67" ht="15.75" thickBot="1" x14ac:dyDescent="0.3">
      <c r="B80" s="230" t="s">
        <v>704</v>
      </c>
      <c r="C80" s="232"/>
      <c r="D80" s="247"/>
      <c r="E80" s="247"/>
      <c r="F80" s="247"/>
      <c r="G80" s="283">
        <f>SUM(D80:F80)</f>
        <v>0</v>
      </c>
      <c r="H80" s="302"/>
      <c r="I80" s="323"/>
      <c r="J80" s="382"/>
      <c r="K80" s="377"/>
      <c r="L80" s="293"/>
      <c r="M80" s="323"/>
      <c r="N80" s="302"/>
      <c r="O80" s="303"/>
      <c r="P80" s="293"/>
      <c r="Q80" s="303"/>
      <c r="R80" s="302">
        <f>SUMIF($AT$33:$AT$35,"DR SPL - Impairment loss",$AU$33:$AU$35)</f>
        <v>0</v>
      </c>
      <c r="S80" s="303">
        <f>SUMIF($AT$33:$AT$35,"CR SPL - Impairment loss",$AU$33:$AU$35)</f>
        <v>0</v>
      </c>
      <c r="T80" s="302">
        <f>SUMIF($AT$61:$AT$65,"DR SPL - Impairment loss",$AU$61:$AU$65)+SUMIF($AT$61:$AT$65,"DR SPL - Administrative Expenses",$AU$61:$AU$65)</f>
        <v>0</v>
      </c>
      <c r="U80" s="303">
        <f>SUMIF($AT$61:$AT$65,"CR SPL - Impairment loss",$AV$61:$AV$65)+SUMIF($AT$61:$AT$65,"CR SPL - Administrative Expenses",$AV$61:$AV$65)</f>
        <v>0</v>
      </c>
      <c r="V80" s="382"/>
      <c r="W80" s="377"/>
      <c r="X80" s="382"/>
      <c r="Y80" s="377">
        <f>-SUMIF($AT$81:$AT$82,"CR SPL - Administrative expenses",$AV$81:$AV$82)</f>
        <v>0</v>
      </c>
      <c r="Z80" s="319">
        <f>SUMIF($AT$86:$AT$97,"DR SPL - depreciation charge",AU$86:AU$97)</f>
        <v>0</v>
      </c>
      <c r="AA80" s="319">
        <f>SUMIF($AT$86:$AT$97,"CR SPL - depreciation charge",AV$86:AV$97)</f>
        <v>0</v>
      </c>
      <c r="AB80" s="382"/>
      <c r="AC80" s="377"/>
      <c r="AD80" s="302">
        <f>SUMIF($AT$109:$AT$116,"DR SPL - depreciation charge",$AU$109:$AU$116)</f>
        <v>0</v>
      </c>
      <c r="AE80" s="303">
        <f>-SUMIF($AT$109:$AT$116,"CR SPL - depreciation charge",$AV$109:$AV$116)</f>
        <v>0</v>
      </c>
      <c r="AF80" s="302"/>
      <c r="AG80" s="303"/>
      <c r="AH80" s="309">
        <f>G80+SUM(H80:AG80)</f>
        <v>0</v>
      </c>
    </row>
    <row r="81" spans="2:67" ht="16.5" thickBot="1" x14ac:dyDescent="0.3">
      <c r="B81" s="230"/>
      <c r="C81" s="232"/>
      <c r="D81" s="233"/>
      <c r="E81" s="233"/>
      <c r="F81" s="233"/>
      <c r="G81" s="282"/>
      <c r="H81" s="302"/>
      <c r="I81" s="323"/>
      <c r="J81" s="382"/>
      <c r="K81" s="377"/>
      <c r="L81" s="293"/>
      <c r="M81" s="323"/>
      <c r="N81" s="302"/>
      <c r="O81" s="303"/>
      <c r="P81" s="293"/>
      <c r="Q81" s="303"/>
      <c r="R81" s="302"/>
      <c r="S81" s="303"/>
      <c r="T81" s="302"/>
      <c r="U81" s="303"/>
      <c r="V81" s="382"/>
      <c r="W81" s="377"/>
      <c r="X81" s="382"/>
      <c r="Y81" s="377"/>
      <c r="Z81" s="319"/>
      <c r="AA81" s="319"/>
      <c r="AB81" s="382"/>
      <c r="AC81" s="377"/>
      <c r="AD81" s="319"/>
      <c r="AE81" s="319"/>
      <c r="AF81" s="302"/>
      <c r="AG81" s="303"/>
      <c r="AH81" s="292"/>
      <c r="AS81" s="274">
        <v>9</v>
      </c>
      <c r="AT81" s="265" t="s">
        <v>1071</v>
      </c>
      <c r="AU81" s="272">
        <f>BC82</f>
        <v>0</v>
      </c>
      <c r="AZ81" s="446" t="s">
        <v>772</v>
      </c>
      <c r="BA81" s="423"/>
      <c r="BB81" s="423"/>
      <c r="BC81" s="423"/>
      <c r="BD81" s="425"/>
    </row>
    <row r="82" spans="2:67" x14ac:dyDescent="0.25">
      <c r="B82" s="230" t="s">
        <v>917</v>
      </c>
      <c r="C82" s="232"/>
      <c r="D82" s="233"/>
      <c r="E82" s="233"/>
      <c r="F82" s="233"/>
      <c r="G82" s="282"/>
      <c r="H82" s="302"/>
      <c r="I82" s="323"/>
      <c r="J82" s="382"/>
      <c r="K82" s="377"/>
      <c r="L82" s="293"/>
      <c r="M82" s="323"/>
      <c r="N82" s="302"/>
      <c r="O82" s="303"/>
      <c r="P82" s="293"/>
      <c r="Q82" s="303"/>
      <c r="R82" s="302"/>
      <c r="S82" s="303"/>
      <c r="T82" s="302"/>
      <c r="U82" s="303"/>
      <c r="V82" s="382"/>
      <c r="W82" s="377"/>
      <c r="X82" s="382"/>
      <c r="Y82" s="377"/>
      <c r="Z82" s="319"/>
      <c r="AA82" s="319"/>
      <c r="AB82" s="382">
        <f>SUMIF($AT$100:$AT$104,"DR SPL - Loss on disposal",$AU$100:$AU$104)</f>
        <v>0</v>
      </c>
      <c r="AC82" s="377">
        <f>-SUMIF($AT$100:$AT$104,"CR SPL - gain on disposal",$AU$100:$AU$104)</f>
        <v>0</v>
      </c>
      <c r="AD82" s="319"/>
      <c r="AE82" s="319"/>
      <c r="AF82" s="302"/>
      <c r="AG82" s="303"/>
      <c r="AH82" s="292"/>
      <c r="AT82" s="265" t="s">
        <v>1072</v>
      </c>
      <c r="AV82" s="272">
        <f>BC82</f>
        <v>0</v>
      </c>
      <c r="AZ82" s="442" t="s">
        <v>1070</v>
      </c>
      <c r="BA82" s="440"/>
      <c r="BB82" s="440"/>
      <c r="BC82" s="448"/>
      <c r="BD82" s="437"/>
    </row>
    <row r="83" spans="2:67" ht="15.75" thickBot="1" x14ac:dyDescent="0.3">
      <c r="B83" s="230"/>
      <c r="C83" s="232"/>
      <c r="D83" s="233"/>
      <c r="E83" s="233"/>
      <c r="F83" s="233"/>
      <c r="G83" s="282"/>
      <c r="H83" s="302"/>
      <c r="I83" s="323"/>
      <c r="J83" s="382"/>
      <c r="K83" s="377"/>
      <c r="L83" s="293"/>
      <c r="M83" s="323"/>
      <c r="N83" s="302"/>
      <c r="O83" s="303"/>
      <c r="P83" s="293"/>
      <c r="Q83" s="303"/>
      <c r="R83" s="302"/>
      <c r="S83" s="303"/>
      <c r="T83" s="302"/>
      <c r="U83" s="303"/>
      <c r="V83" s="382"/>
      <c r="W83" s="377"/>
      <c r="X83" s="382"/>
      <c r="Y83" s="377"/>
      <c r="Z83" s="319"/>
      <c r="AA83" s="319"/>
      <c r="AB83" s="382"/>
      <c r="AC83" s="377"/>
      <c r="AD83" s="319"/>
      <c r="AE83" s="319"/>
      <c r="AF83" s="302"/>
      <c r="AG83" s="303"/>
      <c r="AH83" s="292"/>
      <c r="AZ83" s="451"/>
      <c r="BA83" s="452"/>
      <c r="BB83" s="452"/>
      <c r="BC83" s="452"/>
      <c r="BD83" s="445"/>
    </row>
    <row r="84" spans="2:67" ht="15.75" thickBot="1" x14ac:dyDescent="0.3">
      <c r="B84" s="230"/>
      <c r="C84" s="232"/>
      <c r="D84" s="233"/>
      <c r="E84" s="233"/>
      <c r="F84" s="233"/>
      <c r="G84" s="282"/>
      <c r="H84" s="302"/>
      <c r="I84" s="323"/>
      <c r="J84" s="382"/>
      <c r="K84" s="377"/>
      <c r="L84" s="293"/>
      <c r="M84" s="323"/>
      <c r="N84" s="302"/>
      <c r="O84" s="303"/>
      <c r="P84" s="293"/>
      <c r="Q84" s="303"/>
      <c r="R84" s="302"/>
      <c r="S84" s="303"/>
      <c r="T84" s="302"/>
      <c r="U84" s="303"/>
      <c r="V84" s="382"/>
      <c r="W84" s="377"/>
      <c r="X84" s="382"/>
      <c r="Y84" s="377"/>
      <c r="Z84" s="319"/>
      <c r="AA84" s="319"/>
      <c r="AB84" s="382"/>
      <c r="AC84" s="377"/>
      <c r="AD84" s="319"/>
      <c r="AE84" s="319"/>
      <c r="AF84" s="302"/>
      <c r="AG84" s="303"/>
      <c r="AH84" s="292"/>
    </row>
    <row r="85" spans="2:67" ht="16.5" thickBot="1" x14ac:dyDescent="0.3">
      <c r="B85" s="230" t="s">
        <v>705</v>
      </c>
      <c r="C85" s="232"/>
      <c r="D85" s="234"/>
      <c r="E85" s="234"/>
      <c r="F85" s="234"/>
      <c r="G85" s="283">
        <f>SUM(D85:F85)</f>
        <v>0</v>
      </c>
      <c r="H85" s="302"/>
      <c r="I85" s="323"/>
      <c r="J85" s="382"/>
      <c r="K85" s="377"/>
      <c r="L85" s="293"/>
      <c r="M85" s="323"/>
      <c r="N85" s="302"/>
      <c r="O85" s="303"/>
      <c r="P85" s="293"/>
      <c r="Q85" s="303"/>
      <c r="R85" s="302"/>
      <c r="S85" s="303"/>
      <c r="T85" s="302"/>
      <c r="U85" s="303"/>
      <c r="V85" s="382"/>
      <c r="W85" s="377"/>
      <c r="X85" s="382"/>
      <c r="Y85" s="377"/>
      <c r="Z85" s="319"/>
      <c r="AA85" s="319"/>
      <c r="AB85" s="382"/>
      <c r="AC85" s="377"/>
      <c r="AD85" s="319"/>
      <c r="AE85" s="319"/>
      <c r="AF85" s="302"/>
      <c r="AG85" s="303"/>
      <c r="AH85" s="309">
        <f>G85+H85+H86+H87-I87-I86-I85</f>
        <v>0</v>
      </c>
      <c r="AZ85" s="446" t="s">
        <v>775</v>
      </c>
      <c r="BA85" s="423"/>
      <c r="BB85" s="423"/>
      <c r="BC85" s="423"/>
      <c r="BD85" s="425"/>
      <c r="BE85" s="399" t="s">
        <v>776</v>
      </c>
    </row>
    <row r="86" spans="2:67" ht="16.5" thickBot="1" x14ac:dyDescent="0.3">
      <c r="B86" s="230"/>
      <c r="C86" s="232"/>
      <c r="D86" s="233"/>
      <c r="E86" s="233"/>
      <c r="F86" s="233"/>
      <c r="G86" s="282"/>
      <c r="H86" s="302"/>
      <c r="I86" s="323"/>
      <c r="J86" s="382"/>
      <c r="K86" s="377"/>
      <c r="L86" s="293"/>
      <c r="M86" s="323"/>
      <c r="N86" s="302"/>
      <c r="O86" s="303"/>
      <c r="P86" s="293"/>
      <c r="Q86" s="303"/>
      <c r="R86" s="302"/>
      <c r="S86" s="303"/>
      <c r="T86" s="302"/>
      <c r="U86" s="303"/>
      <c r="V86" s="382"/>
      <c r="W86" s="377"/>
      <c r="X86" s="382"/>
      <c r="Y86" s="377"/>
      <c r="Z86" s="319"/>
      <c r="AA86" s="319"/>
      <c r="AB86" s="382"/>
      <c r="AC86" s="377"/>
      <c r="AD86" s="319"/>
      <c r="AE86" s="319"/>
      <c r="AF86" s="302"/>
      <c r="AG86" s="303"/>
      <c r="AH86" s="292"/>
      <c r="AS86" s="274">
        <v>10</v>
      </c>
      <c r="AT86" s="265" t="s">
        <v>783</v>
      </c>
      <c r="AU86" s="272">
        <f>BC92</f>
        <v>0</v>
      </c>
      <c r="AZ86" s="458" t="s">
        <v>781</v>
      </c>
      <c r="BA86" s="440"/>
      <c r="BB86" s="440"/>
      <c r="BC86" s="440"/>
      <c r="BD86" s="437"/>
      <c r="BE86" s="399" t="s">
        <v>777</v>
      </c>
    </row>
    <row r="87" spans="2:67" x14ac:dyDescent="0.25">
      <c r="B87" s="230"/>
      <c r="C87" s="232"/>
      <c r="D87" s="233"/>
      <c r="E87" s="233"/>
      <c r="F87" s="233"/>
      <c r="G87" s="282"/>
      <c r="H87" s="302"/>
      <c r="I87" s="323"/>
      <c r="J87" s="382"/>
      <c r="K87" s="377"/>
      <c r="L87" s="293"/>
      <c r="M87" s="323"/>
      <c r="N87" s="302"/>
      <c r="O87" s="303"/>
      <c r="P87" s="293"/>
      <c r="Q87" s="303"/>
      <c r="R87" s="302"/>
      <c r="S87" s="303"/>
      <c r="T87" s="302"/>
      <c r="U87" s="303"/>
      <c r="V87" s="382"/>
      <c r="W87" s="377"/>
      <c r="X87" s="382"/>
      <c r="Y87" s="377"/>
      <c r="Z87" s="319"/>
      <c r="AA87" s="319"/>
      <c r="AB87" s="382"/>
      <c r="AC87" s="377"/>
      <c r="AD87" s="319"/>
      <c r="AE87" s="319"/>
      <c r="AF87" s="302"/>
      <c r="AG87" s="303"/>
      <c r="AH87" s="292"/>
      <c r="AT87" s="265" t="str">
        <f>IF(AU86-AV88&gt;0,"CR PPE - Cost","DR PPE - Cost")</f>
        <v>DR PPE - Cost</v>
      </c>
      <c r="AU87" s="272">
        <f>IF($AU$86-$AV$88&gt;0,0,$AV$88-$AU$86)</f>
        <v>0</v>
      </c>
      <c r="AV87" s="272">
        <f>IF($AU$86-$AV$88&lt;0,0,$AU$86-$AV$88)</f>
        <v>0</v>
      </c>
      <c r="AZ87" s="442" t="s">
        <v>779</v>
      </c>
      <c r="BA87" s="440"/>
      <c r="BB87" s="440"/>
      <c r="BC87" s="457"/>
      <c r="BD87" s="437"/>
      <c r="BE87" s="399" t="s">
        <v>778</v>
      </c>
    </row>
    <row r="88" spans="2:67" x14ac:dyDescent="0.25">
      <c r="B88" s="230" t="s">
        <v>613</v>
      </c>
      <c r="C88" s="232"/>
      <c r="D88" s="247"/>
      <c r="E88" s="247"/>
      <c r="F88" s="247"/>
      <c r="G88" s="283">
        <f>SUM(D88:F88)</f>
        <v>0</v>
      </c>
      <c r="H88" s="302"/>
      <c r="I88" s="323"/>
      <c r="J88" s="382"/>
      <c r="K88" s="377"/>
      <c r="L88" s="293"/>
      <c r="M88" s="323"/>
      <c r="N88" s="302"/>
      <c r="O88" s="303"/>
      <c r="P88" s="293"/>
      <c r="Q88" s="303"/>
      <c r="R88" s="302"/>
      <c r="S88" s="303"/>
      <c r="T88" s="302"/>
      <c r="U88" s="303"/>
      <c r="V88" s="382"/>
      <c r="W88" s="377"/>
      <c r="X88" s="382"/>
      <c r="Y88" s="377"/>
      <c r="Z88" s="319"/>
      <c r="AA88" s="319"/>
      <c r="AB88" s="382"/>
      <c r="AC88" s="377"/>
      <c r="AD88" s="302">
        <f>SUMIF($AT$109:$AT$116,"DR SPL - Finance costs",$AU$109:$AU$116)</f>
        <v>0</v>
      </c>
      <c r="AE88" s="303">
        <f>-SUMIF($AT$109:$AT$116,"CR SPL - Finance costs",$AV$109:$AV$116)</f>
        <v>0</v>
      </c>
      <c r="AF88" s="302"/>
      <c r="AG88" s="303"/>
      <c r="AH88" s="309">
        <f>G88+H88+H89+H90-I90-I89-I88</f>
        <v>0</v>
      </c>
      <c r="AT88" s="265" t="s">
        <v>784</v>
      </c>
      <c r="AV88" s="272">
        <f>BC90</f>
        <v>0</v>
      </c>
      <c r="AZ88" s="442"/>
      <c r="BA88" s="440"/>
      <c r="BB88" s="440"/>
      <c r="BC88" s="440"/>
      <c r="BD88" s="437"/>
      <c r="BE88" s="399" t="s">
        <v>794</v>
      </c>
    </row>
    <row r="89" spans="2:67" x14ac:dyDescent="0.25">
      <c r="B89" s="230"/>
      <c r="C89" s="232"/>
      <c r="D89" s="233"/>
      <c r="E89" s="233"/>
      <c r="F89" s="233"/>
      <c r="G89" s="282"/>
      <c r="H89" s="302"/>
      <c r="I89" s="323"/>
      <c r="J89" s="382"/>
      <c r="K89" s="377"/>
      <c r="L89" s="293"/>
      <c r="M89" s="323"/>
      <c r="N89" s="302"/>
      <c r="O89" s="303"/>
      <c r="P89" s="293"/>
      <c r="Q89" s="303"/>
      <c r="R89" s="302"/>
      <c r="S89" s="303"/>
      <c r="T89" s="302"/>
      <c r="U89" s="303"/>
      <c r="V89" s="382"/>
      <c r="W89" s="377"/>
      <c r="X89" s="382"/>
      <c r="Y89" s="377"/>
      <c r="Z89" s="319"/>
      <c r="AA89" s="319"/>
      <c r="AB89" s="382"/>
      <c r="AC89" s="377"/>
      <c r="AD89" s="319"/>
      <c r="AE89" s="319"/>
      <c r="AF89" s="302"/>
      <c r="AG89" s="303"/>
      <c r="AH89" s="292"/>
      <c r="AZ89" s="442" t="s">
        <v>177</v>
      </c>
      <c r="BA89" s="440"/>
      <c r="BB89" s="440"/>
      <c r="BC89" s="448"/>
      <c r="BD89" s="437"/>
      <c r="BO89" s="398"/>
    </row>
    <row r="90" spans="2:67" x14ac:dyDescent="0.25">
      <c r="B90" s="230"/>
      <c r="C90" s="232"/>
      <c r="D90" s="233"/>
      <c r="E90" s="233"/>
      <c r="F90" s="233"/>
      <c r="G90" s="282"/>
      <c r="H90" s="302"/>
      <c r="I90" s="323"/>
      <c r="J90" s="382"/>
      <c r="K90" s="377"/>
      <c r="L90" s="293"/>
      <c r="M90" s="323"/>
      <c r="N90" s="302"/>
      <c r="O90" s="303"/>
      <c r="P90" s="293"/>
      <c r="Q90" s="303"/>
      <c r="R90" s="302"/>
      <c r="S90" s="303"/>
      <c r="T90" s="302"/>
      <c r="U90" s="303"/>
      <c r="V90" s="382"/>
      <c r="W90" s="377"/>
      <c r="X90" s="382"/>
      <c r="Y90" s="377"/>
      <c r="Z90" s="319"/>
      <c r="AA90" s="319"/>
      <c r="AB90" s="382"/>
      <c r="AC90" s="377"/>
      <c r="AD90" s="319"/>
      <c r="AE90" s="319"/>
      <c r="AF90" s="302"/>
      <c r="AG90" s="303"/>
      <c r="AH90" s="292"/>
      <c r="AT90" s="265" t="s">
        <v>803</v>
      </c>
      <c r="AU90" s="272">
        <f>BC93</f>
        <v>0</v>
      </c>
      <c r="AZ90" s="442" t="s">
        <v>788</v>
      </c>
      <c r="BA90" s="440"/>
      <c r="BB90" s="440"/>
      <c r="BC90" s="448"/>
      <c r="BD90" s="437"/>
      <c r="BO90" s="398"/>
    </row>
    <row r="91" spans="2:67" x14ac:dyDescent="0.25">
      <c r="B91" s="230" t="s">
        <v>629</v>
      </c>
      <c r="C91" s="232"/>
      <c r="D91" s="234"/>
      <c r="E91" s="234"/>
      <c r="F91" s="234"/>
      <c r="G91" s="283">
        <f>SUM(D91:F91)</f>
        <v>0</v>
      </c>
      <c r="H91" s="302"/>
      <c r="I91" s="323"/>
      <c r="J91" s="382"/>
      <c r="K91" s="377"/>
      <c r="L91" s="293"/>
      <c r="M91" s="323"/>
      <c r="N91" s="302"/>
      <c r="O91" s="303"/>
      <c r="P91" s="293"/>
      <c r="Q91" s="303"/>
      <c r="R91" s="302">
        <f>SUMIF($AT$54:$AT$58,"DR Finance Income",$AU$54:$AU$58)</f>
        <v>0</v>
      </c>
      <c r="S91" s="303">
        <f>-SUMIF($AT$54:$AT$58,"CR Finance Income",$AV$54:$AV$58)</f>
        <v>0</v>
      </c>
      <c r="T91" s="302">
        <f>SUMIF($AT$61:$AT$65,"DR Finance Income",$AU$61:$AU$65)</f>
        <v>0</v>
      </c>
      <c r="U91" s="303">
        <f>-SUMIF($AT$61:$AT$65,"CR Finance Income",$AV$61:$AV$65)</f>
        <v>0</v>
      </c>
      <c r="V91" s="382"/>
      <c r="W91" s="377"/>
      <c r="X91" s="382"/>
      <c r="Y91" s="377"/>
      <c r="Z91" s="319"/>
      <c r="AA91" s="319"/>
      <c r="AB91" s="382"/>
      <c r="AC91" s="377"/>
      <c r="AD91" s="319"/>
      <c r="AE91" s="319"/>
      <c r="AF91" s="302"/>
      <c r="AG91" s="303"/>
      <c r="AH91" s="309">
        <f>G91-SUM(H91:AG91)</f>
        <v>0</v>
      </c>
      <c r="AT91" s="265" t="s">
        <v>804</v>
      </c>
      <c r="AV91" s="272">
        <f>BC93</f>
        <v>0</v>
      </c>
      <c r="AZ91" s="442" t="s">
        <v>780</v>
      </c>
      <c r="BA91" s="440"/>
      <c r="BB91" s="440"/>
      <c r="BC91" s="374">
        <f>BC89-BC90</f>
        <v>0</v>
      </c>
      <c r="BD91" s="437"/>
      <c r="BO91" s="398"/>
    </row>
    <row r="92" spans="2:67" x14ac:dyDescent="0.25">
      <c r="B92" s="230"/>
      <c r="C92" s="232"/>
      <c r="D92" s="233"/>
      <c r="E92" s="233"/>
      <c r="F92" s="233"/>
      <c r="G92" s="282"/>
      <c r="H92" s="302"/>
      <c r="I92" s="323"/>
      <c r="J92" s="382"/>
      <c r="K92" s="377"/>
      <c r="L92" s="293"/>
      <c r="M92" s="323"/>
      <c r="N92" s="302"/>
      <c r="O92" s="303"/>
      <c r="P92" s="293"/>
      <c r="Q92" s="303"/>
      <c r="R92" s="302"/>
      <c r="S92" s="303"/>
      <c r="T92" s="302"/>
      <c r="U92" s="303"/>
      <c r="V92" s="382"/>
      <c r="W92" s="377"/>
      <c r="X92" s="382"/>
      <c r="Y92" s="377"/>
      <c r="Z92" s="319"/>
      <c r="AA92" s="319"/>
      <c r="AB92" s="382"/>
      <c r="AC92" s="377"/>
      <c r="AD92" s="319"/>
      <c r="AE92" s="319"/>
      <c r="AF92" s="302"/>
      <c r="AG92" s="303"/>
      <c r="AH92" s="292"/>
      <c r="AZ92" s="442" t="s">
        <v>782</v>
      </c>
      <c r="BA92" s="440"/>
      <c r="BB92" s="440"/>
      <c r="BC92" s="361">
        <f>BC87-BC91</f>
        <v>0</v>
      </c>
      <c r="BD92" s="437"/>
      <c r="BO92" s="398"/>
    </row>
    <row r="93" spans="2:67" ht="15.75" x14ac:dyDescent="0.25">
      <c r="B93" s="230"/>
      <c r="C93" s="232"/>
      <c r="D93" s="248"/>
      <c r="E93" s="248"/>
      <c r="F93" s="248"/>
      <c r="G93" s="352"/>
      <c r="H93" s="302"/>
      <c r="I93" s="323"/>
      <c r="J93" s="382"/>
      <c r="K93" s="377"/>
      <c r="L93" s="293"/>
      <c r="M93" s="323"/>
      <c r="N93" s="302"/>
      <c r="O93" s="303"/>
      <c r="P93" s="293"/>
      <c r="Q93" s="303"/>
      <c r="R93" s="302"/>
      <c r="S93" s="303"/>
      <c r="T93" s="302"/>
      <c r="U93" s="303"/>
      <c r="V93" s="382"/>
      <c r="W93" s="377"/>
      <c r="X93" s="382"/>
      <c r="Y93" s="377"/>
      <c r="Z93" s="319"/>
      <c r="AA93" s="319"/>
      <c r="AB93" s="382"/>
      <c r="AC93" s="377"/>
      <c r="AD93" s="319"/>
      <c r="AE93" s="319"/>
      <c r="AF93" s="302"/>
      <c r="AG93" s="303"/>
      <c r="AH93" s="331"/>
      <c r="AT93" s="265" t="s">
        <v>790</v>
      </c>
      <c r="AU93" s="272">
        <f>BC96</f>
        <v>0</v>
      </c>
      <c r="AZ93" s="744" t="s">
        <v>802</v>
      </c>
      <c r="BA93" s="440"/>
      <c r="BB93" s="440"/>
      <c r="BC93" s="449">
        <f>BC92*BC11</f>
        <v>0</v>
      </c>
      <c r="BD93" s="437"/>
      <c r="BE93" s="399" t="s">
        <v>854</v>
      </c>
      <c r="BO93" s="398"/>
    </row>
    <row r="94" spans="2:67" ht="15.75" x14ac:dyDescent="0.25">
      <c r="B94" s="227" t="s">
        <v>706</v>
      </c>
      <c r="C94" s="232" t="s">
        <v>707</v>
      </c>
      <c r="D94" s="241">
        <f>D73+D74-D77-D80-D85-D88+D91</f>
        <v>0</v>
      </c>
      <c r="E94" s="241">
        <f>E73+E74-E77-E80-E85-E88+E91</f>
        <v>0</v>
      </c>
      <c r="F94" s="241">
        <f>F73+F74-F77-F80-F85-F88+F91</f>
        <v>0</v>
      </c>
      <c r="G94" s="289">
        <f>G73+G74-G77-G80-G85-G88+G91</f>
        <v>0</v>
      </c>
      <c r="H94" s="300"/>
      <c r="I94" s="282"/>
      <c r="J94" s="380"/>
      <c r="K94" s="381"/>
      <c r="L94" s="292"/>
      <c r="M94" s="282"/>
      <c r="N94" s="300"/>
      <c r="O94" s="301"/>
      <c r="P94" s="292"/>
      <c r="Q94" s="301"/>
      <c r="R94" s="300"/>
      <c r="S94" s="301"/>
      <c r="T94" s="300"/>
      <c r="U94" s="301"/>
      <c r="V94" s="380"/>
      <c r="W94" s="381"/>
      <c r="X94" s="380"/>
      <c r="Y94" s="381"/>
      <c r="Z94" s="318"/>
      <c r="AA94" s="318"/>
      <c r="AB94" s="380"/>
      <c r="AC94" s="381"/>
      <c r="AD94" s="318"/>
      <c r="AE94" s="318"/>
      <c r="AF94" s="300"/>
      <c r="AG94" s="301"/>
      <c r="AH94" s="313">
        <f>AH73+AH74-AH77-AH80-AH85-AH88+AH91</f>
        <v>-11.100000000000001</v>
      </c>
      <c r="AT94" s="265" t="s">
        <v>791</v>
      </c>
      <c r="AV94" s="272">
        <f>BC96</f>
        <v>0</v>
      </c>
      <c r="AZ94" s="442" t="s">
        <v>785</v>
      </c>
      <c r="BA94" s="440"/>
      <c r="BB94" s="440"/>
      <c r="BC94" s="448"/>
      <c r="BD94" s="437"/>
    </row>
    <row r="95" spans="2:67" x14ac:dyDescent="0.25">
      <c r="B95" s="230" t="s">
        <v>1</v>
      </c>
      <c r="C95" s="232" t="s">
        <v>708</v>
      </c>
      <c r="D95" s="249"/>
      <c r="E95" s="249"/>
      <c r="F95" s="249"/>
      <c r="G95" s="353">
        <f>SUM(D95:F95)</f>
        <v>0</v>
      </c>
      <c r="H95" s="341"/>
      <c r="I95" s="324"/>
      <c r="J95" s="402"/>
      <c r="K95" s="403"/>
      <c r="L95" s="358"/>
      <c r="M95" s="324"/>
      <c r="N95" s="341"/>
      <c r="O95" s="342"/>
      <c r="P95" s="358"/>
      <c r="Q95" s="342"/>
      <c r="R95" s="341"/>
      <c r="S95" s="342"/>
      <c r="T95" s="341"/>
      <c r="U95" s="342"/>
      <c r="V95" s="402"/>
      <c r="W95" s="403"/>
      <c r="X95" s="402"/>
      <c r="Y95" s="403"/>
      <c r="Z95" s="366"/>
      <c r="AA95" s="366"/>
      <c r="AB95" s="402"/>
      <c r="AC95" s="403"/>
      <c r="AD95" s="366"/>
      <c r="AE95" s="366"/>
      <c r="AF95" s="341"/>
      <c r="AG95" s="342"/>
      <c r="AH95" s="332">
        <f>G95+H95+H96+H97-I97-I96-I95</f>
        <v>0</v>
      </c>
      <c r="AZ95" s="442" t="s">
        <v>786</v>
      </c>
      <c r="BA95" s="440"/>
      <c r="BB95" s="440"/>
      <c r="BC95" s="448"/>
      <c r="BD95" s="437"/>
      <c r="BO95" s="398"/>
    </row>
    <row r="96" spans="2:67" x14ac:dyDescent="0.25">
      <c r="B96" s="250"/>
      <c r="C96" s="232"/>
      <c r="D96" s="237"/>
      <c r="E96" s="237"/>
      <c r="F96" s="237"/>
      <c r="G96" s="286"/>
      <c r="H96" s="341"/>
      <c r="I96" s="324"/>
      <c r="J96" s="402"/>
      <c r="K96" s="403"/>
      <c r="L96" s="358"/>
      <c r="M96" s="324"/>
      <c r="N96" s="341"/>
      <c r="O96" s="342"/>
      <c r="P96" s="358"/>
      <c r="Q96" s="342"/>
      <c r="R96" s="341"/>
      <c r="S96" s="342"/>
      <c r="T96" s="341"/>
      <c r="U96" s="342"/>
      <c r="V96" s="402"/>
      <c r="W96" s="403"/>
      <c r="X96" s="402"/>
      <c r="Y96" s="403"/>
      <c r="Z96" s="366"/>
      <c r="AA96" s="366"/>
      <c r="AB96" s="402"/>
      <c r="AC96" s="403"/>
      <c r="AD96" s="366"/>
      <c r="AE96" s="366"/>
      <c r="AF96" s="341"/>
      <c r="AG96" s="342"/>
      <c r="AH96" s="295"/>
      <c r="AT96" s="265" t="s">
        <v>792</v>
      </c>
      <c r="AU96" s="272">
        <f>BC97</f>
        <v>0</v>
      </c>
      <c r="AZ96" s="442" t="s">
        <v>787</v>
      </c>
      <c r="BA96" s="440"/>
      <c r="BB96" s="440"/>
      <c r="BC96" s="374">
        <f>-(BC94-BC95)</f>
        <v>0</v>
      </c>
      <c r="BD96" s="437"/>
      <c r="BO96" s="398"/>
    </row>
    <row r="97" spans="2:67" ht="16.5" thickBot="1" x14ac:dyDescent="0.3">
      <c r="B97" s="250"/>
      <c r="C97" s="232"/>
      <c r="D97" s="233"/>
      <c r="E97" s="233"/>
      <c r="F97" s="233"/>
      <c r="G97" s="282"/>
      <c r="H97" s="341"/>
      <c r="I97" s="324"/>
      <c r="J97" s="402"/>
      <c r="K97" s="403"/>
      <c r="L97" s="358"/>
      <c r="M97" s="324"/>
      <c r="N97" s="341"/>
      <c r="O97" s="342"/>
      <c r="P97" s="358"/>
      <c r="Q97" s="342"/>
      <c r="R97" s="341"/>
      <c r="S97" s="342"/>
      <c r="T97" s="341"/>
      <c r="U97" s="342"/>
      <c r="V97" s="402"/>
      <c r="W97" s="403"/>
      <c r="X97" s="402"/>
      <c r="Y97" s="403"/>
      <c r="Z97" s="366"/>
      <c r="AA97" s="366"/>
      <c r="AB97" s="402"/>
      <c r="AC97" s="403"/>
      <c r="AD97" s="366"/>
      <c r="AE97" s="366"/>
      <c r="AF97" s="341"/>
      <c r="AG97" s="342"/>
      <c r="AH97" s="292"/>
      <c r="AT97" s="265" t="s">
        <v>682</v>
      </c>
      <c r="AV97" s="272">
        <f>BC97</f>
        <v>0</v>
      </c>
      <c r="AZ97" s="450" t="s">
        <v>789</v>
      </c>
      <c r="BA97" s="440"/>
      <c r="BB97" s="440"/>
      <c r="BC97" s="375">
        <f>IF(AZ86="Parent -&gt; Sub",BC96*BC11,0)</f>
        <v>0</v>
      </c>
      <c r="BD97" s="437"/>
      <c r="BO97" s="398"/>
    </row>
    <row r="98" spans="2:67" ht="17.25" thickTop="1" thickBot="1" x14ac:dyDescent="0.3">
      <c r="B98" s="251" t="s">
        <v>709</v>
      </c>
      <c r="C98" s="232" t="s">
        <v>707</v>
      </c>
      <c r="D98" s="252">
        <f>D94-D95</f>
        <v>0</v>
      </c>
      <c r="E98" s="252">
        <f>E94-E95</f>
        <v>0</v>
      </c>
      <c r="F98" s="252">
        <f>F94-F95</f>
        <v>0</v>
      </c>
      <c r="G98" s="354">
        <f>G94-G95</f>
        <v>0</v>
      </c>
      <c r="H98" s="343"/>
      <c r="I98" s="325"/>
      <c r="J98" s="404"/>
      <c r="K98" s="405"/>
      <c r="L98" s="359"/>
      <c r="M98" s="325"/>
      <c r="N98" s="343"/>
      <c r="O98" s="344"/>
      <c r="P98" s="359"/>
      <c r="Q98" s="344"/>
      <c r="R98" s="343"/>
      <c r="S98" s="344"/>
      <c r="T98" s="343"/>
      <c r="U98" s="344"/>
      <c r="V98" s="404"/>
      <c r="W98" s="405"/>
      <c r="X98" s="404"/>
      <c r="Y98" s="405"/>
      <c r="Z98" s="367"/>
      <c r="AA98" s="367"/>
      <c r="AB98" s="404"/>
      <c r="AC98" s="405"/>
      <c r="AD98" s="367"/>
      <c r="AE98" s="367"/>
      <c r="AF98" s="343"/>
      <c r="AG98" s="344"/>
      <c r="AH98" s="314">
        <f>AH94-AH95</f>
        <v>-11.100000000000001</v>
      </c>
      <c r="AZ98" s="451"/>
      <c r="BA98" s="452"/>
      <c r="BB98" s="452"/>
      <c r="BC98" s="452"/>
      <c r="BD98" s="445"/>
      <c r="BO98" s="398"/>
    </row>
    <row r="99" spans="2:67" ht="15.75" thickBot="1" x14ac:dyDescent="0.3">
      <c r="B99" s="230" t="s">
        <v>710</v>
      </c>
      <c r="C99" s="232" t="s">
        <v>711</v>
      </c>
      <c r="D99" s="253"/>
      <c r="E99" s="253"/>
      <c r="F99" s="253"/>
      <c r="G99" s="355">
        <f>SUM(D99:F99)</f>
        <v>0</v>
      </c>
      <c r="H99" s="345"/>
      <c r="I99" s="326"/>
      <c r="J99" s="406"/>
      <c r="K99" s="407"/>
      <c r="L99" s="360"/>
      <c r="M99" s="326"/>
      <c r="N99" s="345"/>
      <c r="O99" s="346"/>
      <c r="P99" s="360"/>
      <c r="Q99" s="346"/>
      <c r="R99" s="345"/>
      <c r="S99" s="346"/>
      <c r="T99" s="345"/>
      <c r="U99" s="346"/>
      <c r="V99" s="406"/>
      <c r="W99" s="407"/>
      <c r="X99" s="406"/>
      <c r="Y99" s="407"/>
      <c r="Z99" s="369"/>
      <c r="AA99" s="369"/>
      <c r="AB99" s="406"/>
      <c r="AC99" s="407"/>
      <c r="AD99" s="369"/>
      <c r="AE99" s="369"/>
      <c r="AF99" s="345"/>
      <c r="AG99" s="346"/>
      <c r="AH99" s="333">
        <f>G99+H99-I99</f>
        <v>0</v>
      </c>
      <c r="BO99" s="398"/>
    </row>
    <row r="100" spans="2:67" ht="16.5" thickBot="1" x14ac:dyDescent="0.3">
      <c r="B100" s="227" t="s">
        <v>712</v>
      </c>
      <c r="C100" s="232" t="s">
        <v>707</v>
      </c>
      <c r="D100" s="255">
        <f>D98-D99</f>
        <v>0</v>
      </c>
      <c r="E100" s="255">
        <f>E98-E99</f>
        <v>0</v>
      </c>
      <c r="F100" s="255">
        <f>F98-F99</f>
        <v>0</v>
      </c>
      <c r="G100" s="356">
        <f>G98-G99</f>
        <v>0</v>
      </c>
      <c r="H100" s="347"/>
      <c r="I100" s="327"/>
      <c r="J100" s="408"/>
      <c r="K100" s="409"/>
      <c r="L100" s="335"/>
      <c r="M100" s="327"/>
      <c r="N100" s="347"/>
      <c r="O100" s="348"/>
      <c r="P100" s="335"/>
      <c r="Q100" s="348"/>
      <c r="R100" s="347"/>
      <c r="S100" s="348"/>
      <c r="T100" s="347"/>
      <c r="U100" s="348"/>
      <c r="V100" s="408"/>
      <c r="W100" s="409"/>
      <c r="X100" s="408"/>
      <c r="Y100" s="409"/>
      <c r="Z100" s="368"/>
      <c r="AA100" s="368"/>
      <c r="AB100" s="408"/>
      <c r="AC100" s="409"/>
      <c r="AD100" s="368"/>
      <c r="AE100" s="368"/>
      <c r="AF100" s="347"/>
      <c r="AG100" s="348"/>
      <c r="AH100" s="334">
        <f>AH98-AH99</f>
        <v>-11.100000000000001</v>
      </c>
      <c r="AS100" s="274">
        <v>11</v>
      </c>
      <c r="AT100" s="245" t="s">
        <v>805</v>
      </c>
      <c r="AU100" s="272">
        <f>BC102</f>
        <v>0</v>
      </c>
      <c r="AV100" s="272"/>
    </row>
    <row r="101" spans="2:67" ht="15.75" x14ac:dyDescent="0.25">
      <c r="B101" s="230"/>
      <c r="C101" s="232"/>
      <c r="D101" s="256"/>
      <c r="E101" s="256"/>
      <c r="F101" s="256"/>
      <c r="G101" s="327"/>
      <c r="H101" s="347"/>
      <c r="I101" s="327"/>
      <c r="J101" s="408"/>
      <c r="K101" s="409"/>
      <c r="L101" s="335"/>
      <c r="M101" s="327"/>
      <c r="N101" s="347"/>
      <c r="O101" s="348"/>
      <c r="P101" s="335"/>
      <c r="Q101" s="348"/>
      <c r="R101" s="347"/>
      <c r="S101" s="348"/>
      <c r="T101" s="347"/>
      <c r="U101" s="348"/>
      <c r="V101" s="408"/>
      <c r="W101" s="409"/>
      <c r="X101" s="408"/>
      <c r="Y101" s="409"/>
      <c r="Z101" s="368"/>
      <c r="AA101" s="368"/>
      <c r="AB101" s="408"/>
      <c r="AC101" s="409"/>
      <c r="AD101" s="368"/>
      <c r="AE101" s="368"/>
      <c r="AF101" s="347"/>
      <c r="AG101" s="348"/>
      <c r="AH101" s="335"/>
      <c r="AT101" s="265" t="s">
        <v>803</v>
      </c>
      <c r="AU101" s="272">
        <f>BC105</f>
        <v>0</v>
      </c>
      <c r="AV101" s="272"/>
      <c r="AZ101" s="446" t="s">
        <v>818</v>
      </c>
      <c r="BA101" s="423"/>
      <c r="BB101" s="423"/>
      <c r="BC101" s="423"/>
      <c r="BD101" s="425"/>
    </row>
    <row r="102" spans="2:67" ht="15.75" x14ac:dyDescent="0.25">
      <c r="B102" s="227" t="s">
        <v>3</v>
      </c>
      <c r="C102" s="232"/>
      <c r="D102" s="256"/>
      <c r="E102" s="256"/>
      <c r="F102" s="256"/>
      <c r="G102" s="327"/>
      <c r="H102" s="347"/>
      <c r="I102" s="327"/>
      <c r="J102" s="408"/>
      <c r="K102" s="409"/>
      <c r="L102" s="335"/>
      <c r="M102" s="327"/>
      <c r="N102" s="347"/>
      <c r="O102" s="348"/>
      <c r="P102" s="335"/>
      <c r="Q102" s="348"/>
      <c r="R102" s="347"/>
      <c r="S102" s="348"/>
      <c r="T102" s="347"/>
      <c r="U102" s="348"/>
      <c r="V102" s="408"/>
      <c r="W102" s="409"/>
      <c r="X102" s="408"/>
      <c r="Y102" s="409"/>
      <c r="Z102" s="368"/>
      <c r="AA102" s="368"/>
      <c r="AB102" s="408"/>
      <c r="AC102" s="409"/>
      <c r="AD102" s="368"/>
      <c r="AE102" s="368"/>
      <c r="AF102" s="347"/>
      <c r="AG102" s="348"/>
      <c r="AH102" s="335"/>
      <c r="AT102" s="265" t="s">
        <v>686</v>
      </c>
      <c r="AU102" s="272"/>
      <c r="AV102" s="272">
        <f>BC103</f>
        <v>0</v>
      </c>
      <c r="AZ102" s="442" t="s">
        <v>150</v>
      </c>
      <c r="BA102" s="440"/>
      <c r="BB102" s="440"/>
      <c r="BC102" s="780">
        <v>0</v>
      </c>
      <c r="BD102" s="437"/>
    </row>
    <row r="103" spans="2:67" ht="15.75" x14ac:dyDescent="0.25">
      <c r="B103" s="227" t="s">
        <v>4</v>
      </c>
      <c r="C103" s="232"/>
      <c r="D103" s="256"/>
      <c r="E103" s="256"/>
      <c r="F103" s="256"/>
      <c r="G103" s="327"/>
      <c r="H103" s="347"/>
      <c r="I103" s="327"/>
      <c r="J103" s="408"/>
      <c r="K103" s="409"/>
      <c r="L103" s="335"/>
      <c r="M103" s="327"/>
      <c r="N103" s="347"/>
      <c r="O103" s="348"/>
      <c r="P103" s="335"/>
      <c r="Q103" s="348"/>
      <c r="R103" s="347"/>
      <c r="S103" s="348"/>
      <c r="T103" s="347"/>
      <c r="U103" s="348"/>
      <c r="V103" s="408"/>
      <c r="W103" s="409"/>
      <c r="X103" s="408"/>
      <c r="Y103" s="409"/>
      <c r="Z103" s="368"/>
      <c r="AA103" s="368"/>
      <c r="AB103" s="408"/>
      <c r="AC103" s="409"/>
      <c r="AD103" s="368"/>
      <c r="AE103" s="368"/>
      <c r="AF103" s="347"/>
      <c r="AG103" s="348"/>
      <c r="AH103" s="335"/>
      <c r="AK103" s="399" t="s">
        <v>1315</v>
      </c>
      <c r="AO103" s="277"/>
      <c r="AT103" s="265" t="s">
        <v>821</v>
      </c>
      <c r="AU103" s="272"/>
      <c r="AV103" s="272">
        <f>BC104</f>
        <v>0</v>
      </c>
      <c r="AZ103" s="442" t="s">
        <v>819</v>
      </c>
      <c r="BA103" s="440"/>
      <c r="BB103" s="440"/>
      <c r="BC103" s="783">
        <f>IF(BC102&lt;&gt;0,BC21-BC35-BC36,0)</f>
        <v>0</v>
      </c>
      <c r="BD103" s="437"/>
      <c r="BF103" s="399" t="s">
        <v>1918</v>
      </c>
    </row>
    <row r="104" spans="2:67" x14ac:dyDescent="0.25">
      <c r="B104" s="230" t="s">
        <v>713</v>
      </c>
      <c r="C104" s="232" t="s">
        <v>714</v>
      </c>
      <c r="D104" s="242"/>
      <c r="E104" s="242"/>
      <c r="F104" s="242"/>
      <c r="G104" s="290">
        <f>SUM(D104:F104)</f>
        <v>0</v>
      </c>
      <c r="H104" s="345"/>
      <c r="I104" s="326"/>
      <c r="J104" s="406"/>
      <c r="K104" s="407"/>
      <c r="L104" s="360"/>
      <c r="M104" s="326"/>
      <c r="N104" s="345"/>
      <c r="O104" s="346"/>
      <c r="P104" s="360"/>
      <c r="Q104" s="346"/>
      <c r="R104" s="345"/>
      <c r="S104" s="346"/>
      <c r="T104" s="345"/>
      <c r="U104" s="346"/>
      <c r="V104" s="406"/>
      <c r="W104" s="407"/>
      <c r="X104" s="406"/>
      <c r="Y104" s="407"/>
      <c r="Z104" s="369"/>
      <c r="AA104" s="369"/>
      <c r="AB104" s="406"/>
      <c r="AC104" s="407"/>
      <c r="AD104" s="369"/>
      <c r="AE104" s="369"/>
      <c r="AF104" s="345"/>
      <c r="AG104" s="346"/>
      <c r="AH104" s="314">
        <f>G104-H104+I104</f>
        <v>0</v>
      </c>
      <c r="AT104" s="265" t="str">
        <f>IF(BC107&gt;0,"CR SPL - gain on disposal","DR SPL - loss on disposal")</f>
        <v>DR SPL - loss on disposal</v>
      </c>
      <c r="AU104" s="272">
        <f>IF(BC107&lt;0,-BC107,0)</f>
        <v>0</v>
      </c>
      <c r="AV104" s="272">
        <f>IF(BC107&gt;0,BC107,0)</f>
        <v>0</v>
      </c>
      <c r="AZ104" s="442" t="s">
        <v>847</v>
      </c>
      <c r="BA104" s="440"/>
      <c r="BB104" s="440"/>
      <c r="BC104" s="780">
        <v>0</v>
      </c>
      <c r="BD104" s="437"/>
      <c r="BF104" s="399" t="s">
        <v>1919</v>
      </c>
    </row>
    <row r="105" spans="2:67" ht="30" x14ac:dyDescent="0.25">
      <c r="B105" s="230" t="s">
        <v>715</v>
      </c>
      <c r="C105" s="232" t="s">
        <v>714</v>
      </c>
      <c r="D105" s="242"/>
      <c r="E105" s="242"/>
      <c r="F105" s="242"/>
      <c r="G105" s="290">
        <f>SUM(D105:F105)</f>
        <v>0</v>
      </c>
      <c r="H105" s="345"/>
      <c r="I105" s="326"/>
      <c r="J105" s="406"/>
      <c r="K105" s="407"/>
      <c r="L105" s="360"/>
      <c r="M105" s="326"/>
      <c r="N105" s="345"/>
      <c r="O105" s="346"/>
      <c r="P105" s="360"/>
      <c r="Q105" s="346"/>
      <c r="R105" s="345"/>
      <c r="S105" s="346"/>
      <c r="T105" s="345"/>
      <c r="U105" s="346"/>
      <c r="V105" s="406"/>
      <c r="W105" s="407"/>
      <c r="X105" s="406"/>
      <c r="Y105" s="407"/>
      <c r="Z105" s="369"/>
      <c r="AA105" s="369"/>
      <c r="AB105" s="406"/>
      <c r="AC105" s="407"/>
      <c r="AD105" s="369"/>
      <c r="AE105" s="369"/>
      <c r="AF105" s="345"/>
      <c r="AG105" s="346"/>
      <c r="AH105" s="314">
        <f>G105-H105+I105</f>
        <v>0</v>
      </c>
      <c r="AZ105" s="442" t="s">
        <v>849</v>
      </c>
      <c r="BA105" s="440"/>
      <c r="BB105" s="440"/>
      <c r="BC105" s="784">
        <f>BC104*BC11</f>
        <v>0</v>
      </c>
      <c r="BD105" s="460" t="s">
        <v>846</v>
      </c>
      <c r="BF105" s="399" t="s">
        <v>1920</v>
      </c>
      <c r="BO105" s="398"/>
    </row>
    <row r="106" spans="2:67" ht="30" x14ac:dyDescent="0.25">
      <c r="B106" s="230" t="s">
        <v>716</v>
      </c>
      <c r="C106" s="232" t="s">
        <v>717</v>
      </c>
      <c r="D106" s="242"/>
      <c r="E106" s="242"/>
      <c r="F106" s="242"/>
      <c r="G106" s="290">
        <f>SUM(D106:F106)</f>
        <v>0</v>
      </c>
      <c r="H106" s="345"/>
      <c r="I106" s="326"/>
      <c r="J106" s="406"/>
      <c r="K106" s="407"/>
      <c r="L106" s="360"/>
      <c r="M106" s="326"/>
      <c r="N106" s="345"/>
      <c r="O106" s="346"/>
      <c r="P106" s="360"/>
      <c r="Q106" s="346"/>
      <c r="R106" s="345"/>
      <c r="S106" s="346"/>
      <c r="T106" s="345"/>
      <c r="U106" s="346"/>
      <c r="V106" s="406"/>
      <c r="W106" s="407"/>
      <c r="X106" s="406"/>
      <c r="Y106" s="407"/>
      <c r="Z106" s="369"/>
      <c r="AA106" s="369"/>
      <c r="AB106" s="406"/>
      <c r="AC106" s="407"/>
      <c r="AD106" s="369"/>
      <c r="AE106" s="369"/>
      <c r="AF106" s="345"/>
      <c r="AG106" s="346"/>
      <c r="AH106" s="314">
        <f>G106-H106+I106</f>
        <v>0</v>
      </c>
      <c r="AZ106" s="442" t="s">
        <v>848</v>
      </c>
      <c r="BA106" s="440"/>
      <c r="BB106" s="440"/>
      <c r="BC106" s="785">
        <f>BC104-BC105</f>
        <v>0</v>
      </c>
      <c r="BD106" s="437"/>
      <c r="BF106" s="399" t="s">
        <v>1777</v>
      </c>
      <c r="BO106" s="398"/>
    </row>
    <row r="107" spans="2:67" ht="15.75" thickBot="1" x14ac:dyDescent="0.3">
      <c r="B107" s="230" t="s">
        <v>718</v>
      </c>
      <c r="C107" s="232" t="s">
        <v>708</v>
      </c>
      <c r="D107" s="253"/>
      <c r="E107" s="253"/>
      <c r="F107" s="253"/>
      <c r="G107" s="467">
        <f>SUM(D107:F107)</f>
        <v>0</v>
      </c>
      <c r="H107" s="345"/>
      <c r="I107" s="326"/>
      <c r="J107" s="406"/>
      <c r="K107" s="407"/>
      <c r="L107" s="360"/>
      <c r="M107" s="326"/>
      <c r="N107" s="345"/>
      <c r="O107" s="346"/>
      <c r="P107" s="360"/>
      <c r="Q107" s="346"/>
      <c r="R107" s="345"/>
      <c r="S107" s="346"/>
      <c r="T107" s="345"/>
      <c r="U107" s="346"/>
      <c r="V107" s="406"/>
      <c r="W107" s="407"/>
      <c r="X107" s="406"/>
      <c r="Y107" s="407"/>
      <c r="Z107" s="369"/>
      <c r="AA107" s="369"/>
      <c r="AB107" s="406"/>
      <c r="AC107" s="407"/>
      <c r="AD107" s="369"/>
      <c r="AE107" s="369"/>
      <c r="AF107" s="345"/>
      <c r="AG107" s="346"/>
      <c r="AH107" s="333">
        <f>G107+H107-I107</f>
        <v>0</v>
      </c>
      <c r="AZ107" s="442" t="s">
        <v>853</v>
      </c>
      <c r="BA107" s="440"/>
      <c r="BB107" s="440"/>
      <c r="BC107" s="782">
        <f>BC102-BC103-BC106</f>
        <v>0</v>
      </c>
      <c r="BD107" s="437"/>
      <c r="BF107" s="399" t="s">
        <v>822</v>
      </c>
      <c r="BO107" s="398"/>
    </row>
    <row r="108" spans="2:67" ht="16.5" thickTop="1" thickBot="1" x14ac:dyDescent="0.3">
      <c r="B108" s="230"/>
      <c r="C108" s="232"/>
      <c r="D108" s="255">
        <f>D104+D105+D106-D107</f>
        <v>0</v>
      </c>
      <c r="E108" s="255">
        <f>E104+E105+E106-E107</f>
        <v>0</v>
      </c>
      <c r="F108" s="255">
        <f>F104+F105+F106-F107</f>
        <v>0</v>
      </c>
      <c r="G108" s="468">
        <f>G104+G105+G106-G107</f>
        <v>0</v>
      </c>
      <c r="H108" s="347"/>
      <c r="I108" s="327"/>
      <c r="J108" s="408"/>
      <c r="K108" s="409"/>
      <c r="L108" s="335"/>
      <c r="M108" s="327"/>
      <c r="N108" s="347"/>
      <c r="O108" s="348"/>
      <c r="P108" s="335"/>
      <c r="Q108" s="348"/>
      <c r="R108" s="347"/>
      <c r="S108" s="348"/>
      <c r="T108" s="347"/>
      <c r="U108" s="348"/>
      <c r="V108" s="408"/>
      <c r="W108" s="409"/>
      <c r="X108" s="408"/>
      <c r="Y108" s="409"/>
      <c r="Z108" s="368"/>
      <c r="AA108" s="368"/>
      <c r="AB108" s="408"/>
      <c r="AC108" s="409"/>
      <c r="AD108" s="368"/>
      <c r="AE108" s="368"/>
      <c r="AF108" s="347"/>
      <c r="AG108" s="348"/>
      <c r="AH108" s="334">
        <f>AH104+AH105+AH106-AH107</f>
        <v>0</v>
      </c>
      <c r="AZ108" s="451"/>
      <c r="BA108" s="452"/>
      <c r="BB108" s="452"/>
      <c r="BC108" s="452"/>
      <c r="BD108" s="445"/>
      <c r="BF108" s="399" t="s">
        <v>1669</v>
      </c>
      <c r="BO108" s="398"/>
    </row>
    <row r="109" spans="2:67" ht="16.5" thickBot="1" x14ac:dyDescent="0.3">
      <c r="B109" s="227" t="s">
        <v>30</v>
      </c>
      <c r="C109" s="232"/>
      <c r="D109" s="256"/>
      <c r="E109" s="256"/>
      <c r="F109" s="256"/>
      <c r="G109" s="327"/>
      <c r="H109" s="347"/>
      <c r="I109" s="327"/>
      <c r="J109" s="408"/>
      <c r="K109" s="409"/>
      <c r="L109" s="335"/>
      <c r="M109" s="327"/>
      <c r="N109" s="347"/>
      <c r="O109" s="348"/>
      <c r="P109" s="335"/>
      <c r="Q109" s="348"/>
      <c r="R109" s="347"/>
      <c r="S109" s="348"/>
      <c r="T109" s="347"/>
      <c r="U109" s="348"/>
      <c r="V109" s="408"/>
      <c r="W109" s="409"/>
      <c r="X109" s="408"/>
      <c r="Y109" s="409"/>
      <c r="Z109" s="368"/>
      <c r="AA109" s="368"/>
      <c r="AB109" s="408"/>
      <c r="AC109" s="409"/>
      <c r="AD109" s="368"/>
      <c r="AE109" s="368"/>
      <c r="AF109" s="347"/>
      <c r="AG109" s="348"/>
      <c r="AH109" s="335"/>
      <c r="AS109" s="274">
        <v>12</v>
      </c>
      <c r="AT109" s="265" t="s">
        <v>1058</v>
      </c>
      <c r="AU109" s="533">
        <f>BC114</f>
        <v>0</v>
      </c>
      <c r="BF109" s="277" t="s">
        <v>1668</v>
      </c>
      <c r="BO109" s="398"/>
    </row>
    <row r="110" spans="2:67" ht="15.75" x14ac:dyDescent="0.25">
      <c r="B110" s="230" t="s">
        <v>32</v>
      </c>
      <c r="C110" s="232" t="s">
        <v>714</v>
      </c>
      <c r="D110" s="242"/>
      <c r="E110" s="242"/>
      <c r="F110" s="242"/>
      <c r="G110" s="290">
        <f>SUM(D110:F110)</f>
        <v>0</v>
      </c>
      <c r="H110" s="345"/>
      <c r="I110" s="326"/>
      <c r="J110" s="406"/>
      <c r="K110" s="407"/>
      <c r="L110" s="360"/>
      <c r="M110" s="326"/>
      <c r="N110" s="345"/>
      <c r="O110" s="346"/>
      <c r="P110" s="360"/>
      <c r="Q110" s="346"/>
      <c r="R110" s="345"/>
      <c r="S110" s="346"/>
      <c r="T110" s="345"/>
      <c r="U110" s="346"/>
      <c r="V110" s="406"/>
      <c r="W110" s="407"/>
      <c r="X110" s="406"/>
      <c r="Y110" s="407"/>
      <c r="Z110" s="369"/>
      <c r="AA110" s="369"/>
      <c r="AB110" s="406"/>
      <c r="AC110" s="407"/>
      <c r="AD110" s="369"/>
      <c r="AE110" s="369"/>
      <c r="AF110" s="345"/>
      <c r="AG110" s="346"/>
      <c r="AH110" s="314">
        <f>G110-H110+I110</f>
        <v>0</v>
      </c>
      <c r="AT110" s="265" t="s">
        <v>784</v>
      </c>
      <c r="AV110" s="533">
        <f>BC114</f>
        <v>0</v>
      </c>
      <c r="AZ110" s="446" t="s">
        <v>1019</v>
      </c>
      <c r="BA110" s="423"/>
      <c r="BB110" s="423"/>
      <c r="BC110" s="423"/>
      <c r="BD110" s="425"/>
      <c r="BO110" s="398"/>
    </row>
    <row r="111" spans="2:67" ht="15.75" x14ac:dyDescent="0.25">
      <c r="B111" s="230" t="s">
        <v>719</v>
      </c>
      <c r="C111" s="232" t="s">
        <v>708</v>
      </c>
      <c r="D111" s="253"/>
      <c r="E111" s="253"/>
      <c r="F111" s="253"/>
      <c r="G111" s="355">
        <f>SUM(D111:F111)</f>
        <v>0</v>
      </c>
      <c r="H111" s="345"/>
      <c r="I111" s="326"/>
      <c r="J111" s="406"/>
      <c r="K111" s="407"/>
      <c r="L111" s="360"/>
      <c r="M111" s="326"/>
      <c r="N111" s="345"/>
      <c r="O111" s="346"/>
      <c r="P111" s="360"/>
      <c r="Q111" s="346"/>
      <c r="R111" s="345"/>
      <c r="S111" s="346"/>
      <c r="T111" s="345"/>
      <c r="U111" s="346"/>
      <c r="V111" s="406"/>
      <c r="W111" s="407"/>
      <c r="X111" s="406"/>
      <c r="Y111" s="407"/>
      <c r="Z111" s="369"/>
      <c r="AA111" s="369"/>
      <c r="AB111" s="406"/>
      <c r="AC111" s="407"/>
      <c r="AD111" s="369"/>
      <c r="AE111" s="369"/>
      <c r="AF111" s="345"/>
      <c r="AG111" s="346"/>
      <c r="AH111" s="333">
        <f>G111+H111-I111</f>
        <v>0</v>
      </c>
      <c r="AZ111" s="450" t="s">
        <v>1053</v>
      </c>
      <c r="BA111" s="440"/>
      <c r="BB111" s="440"/>
      <c r="BC111" s="440"/>
      <c r="BD111" s="437"/>
      <c r="BO111" s="398"/>
    </row>
    <row r="112" spans="2:67" x14ac:dyDescent="0.25">
      <c r="B112" s="230"/>
      <c r="C112" s="232"/>
      <c r="D112" s="254">
        <f>D110-D111</f>
        <v>0</v>
      </c>
      <c r="E112" s="254">
        <f>E110-E111</f>
        <v>0</v>
      </c>
      <c r="F112" s="254">
        <f>F110-F111</f>
        <v>0</v>
      </c>
      <c r="G112" s="355">
        <f>G110-G111</f>
        <v>0</v>
      </c>
      <c r="H112" s="347"/>
      <c r="I112" s="327"/>
      <c r="J112" s="408"/>
      <c r="K112" s="409"/>
      <c r="L112" s="335"/>
      <c r="M112" s="327"/>
      <c r="N112" s="347"/>
      <c r="O112" s="348"/>
      <c r="P112" s="335"/>
      <c r="Q112" s="348"/>
      <c r="R112" s="347"/>
      <c r="S112" s="348"/>
      <c r="T112" s="347"/>
      <c r="U112" s="348"/>
      <c r="V112" s="408"/>
      <c r="W112" s="409"/>
      <c r="X112" s="408"/>
      <c r="Y112" s="409"/>
      <c r="Z112" s="368"/>
      <c r="AA112" s="368"/>
      <c r="AB112" s="408"/>
      <c r="AC112" s="409"/>
      <c r="AD112" s="368"/>
      <c r="AE112" s="368"/>
      <c r="AF112" s="347"/>
      <c r="AG112" s="348"/>
      <c r="AH112" s="333">
        <f>AH110-AH111</f>
        <v>0</v>
      </c>
      <c r="AT112" s="265" t="str">
        <f>IF(AU112&lt;&gt;0,"DR Bond Liability","CR Bond Liability")</f>
        <v>CR Bond Liability</v>
      </c>
      <c r="AU112" s="265">
        <f>IF($BC$118&lt;0,-$BC$118,0)</f>
        <v>0</v>
      </c>
      <c r="AV112" s="272">
        <f>IF($BC$118&gt;0,$BC$118,0)</f>
        <v>0</v>
      </c>
      <c r="AZ112" s="442" t="s">
        <v>1054</v>
      </c>
      <c r="BA112" s="440" t="s">
        <v>1055</v>
      </c>
      <c r="BB112" s="440"/>
      <c r="BC112" s="449">
        <f>'FV adjustments (consol)'!F44</f>
        <v>0</v>
      </c>
      <c r="BD112" s="437"/>
      <c r="BE112" s="399" t="s">
        <v>1552</v>
      </c>
      <c r="BO112" s="398"/>
    </row>
    <row r="113" spans="2:58" ht="15.75" x14ac:dyDescent="0.25">
      <c r="B113" s="227" t="s">
        <v>8</v>
      </c>
      <c r="C113" s="232"/>
      <c r="D113" s="254">
        <f>SUM(D108,D112)</f>
        <v>0</v>
      </c>
      <c r="E113" s="254">
        <f>SUM(E108,E112)</f>
        <v>0</v>
      </c>
      <c r="F113" s="254">
        <f>SUM(F108,F112)</f>
        <v>0</v>
      </c>
      <c r="G113" s="355">
        <f>SUM(G108,G112)</f>
        <v>0</v>
      </c>
      <c r="H113" s="347"/>
      <c r="I113" s="327"/>
      <c r="J113" s="408"/>
      <c r="K113" s="409"/>
      <c r="L113" s="335"/>
      <c r="M113" s="327"/>
      <c r="N113" s="347"/>
      <c r="O113" s="348"/>
      <c r="P113" s="335"/>
      <c r="Q113" s="348"/>
      <c r="R113" s="347"/>
      <c r="S113" s="348"/>
      <c r="T113" s="347"/>
      <c r="U113" s="348"/>
      <c r="V113" s="408"/>
      <c r="W113" s="409"/>
      <c r="X113" s="408"/>
      <c r="Y113" s="409"/>
      <c r="Z113" s="368"/>
      <c r="AA113" s="368"/>
      <c r="AB113" s="408"/>
      <c r="AC113" s="409"/>
      <c r="AD113" s="368"/>
      <c r="AE113" s="368"/>
      <c r="AF113" s="347"/>
      <c r="AG113" s="348"/>
      <c r="AH113" s="333">
        <f>AH108+AH112</f>
        <v>0</v>
      </c>
      <c r="AT113" s="265" t="str">
        <f>IF(AV113&lt;&gt;0,"CR SPL - Finance costs","DR SPL - Finance costs")</f>
        <v>DR SPL - Finance costs</v>
      </c>
      <c r="AU113" s="272">
        <f>IF($BC$118&gt;0,$BC$118,0)</f>
        <v>0</v>
      </c>
      <c r="AV113" s="265">
        <f>IF($BC$118&lt;0,-$BC$118,0)</f>
        <v>0</v>
      </c>
      <c r="AZ113" s="442" t="s">
        <v>1056</v>
      </c>
      <c r="BA113" s="440"/>
      <c r="BB113" s="440"/>
      <c r="BC113" s="447"/>
      <c r="BD113" s="437"/>
      <c r="BE113" s="399" t="str">
        <f>"Increase of £"&amp;BC112&amp;" over remaining useful life of … = £"&amp;BC114&amp;" increase in the depreciation charge"</f>
        <v>Increase of £0 over remaining useful life of … = £0 increase in the depreciation charge</v>
      </c>
    </row>
    <row r="114" spans="2:58" ht="16.5" thickBot="1" x14ac:dyDescent="0.3">
      <c r="B114" s="251" t="s">
        <v>9</v>
      </c>
      <c r="C114" s="257"/>
      <c r="D114" s="258">
        <f>D100+D113</f>
        <v>0</v>
      </c>
      <c r="E114" s="258">
        <f>E100+E113</f>
        <v>0</v>
      </c>
      <c r="F114" s="258">
        <f>F100+F113</f>
        <v>0</v>
      </c>
      <c r="G114" s="357">
        <f>G100+G113</f>
        <v>0</v>
      </c>
      <c r="H114" s="343"/>
      <c r="I114" s="325"/>
      <c r="J114" s="404"/>
      <c r="K114" s="405"/>
      <c r="L114" s="359"/>
      <c r="M114" s="325"/>
      <c r="N114" s="343"/>
      <c r="O114" s="344"/>
      <c r="P114" s="359"/>
      <c r="Q114" s="344"/>
      <c r="R114" s="343"/>
      <c r="S114" s="344"/>
      <c r="T114" s="343"/>
      <c r="U114" s="344"/>
      <c r="V114" s="404"/>
      <c r="W114" s="405"/>
      <c r="X114" s="404"/>
      <c r="Y114" s="405"/>
      <c r="Z114" s="367"/>
      <c r="AA114" s="367"/>
      <c r="AB114" s="404"/>
      <c r="AC114" s="405"/>
      <c r="AD114" s="367"/>
      <c r="AE114" s="367"/>
      <c r="AF114" s="343"/>
      <c r="AG114" s="344"/>
      <c r="AH114" s="336">
        <f>AH100+AH113</f>
        <v>-11.100000000000001</v>
      </c>
      <c r="AZ114" s="442" t="s">
        <v>1057</v>
      </c>
      <c r="BA114" s="440" t="str">
        <f>"=("&amp;BC113&amp;"*"&amp;BC112&amp;")"</f>
        <v>=(*0)</v>
      </c>
      <c r="BB114" s="440"/>
      <c r="BC114" s="535">
        <f>BC113*BC112</f>
        <v>0</v>
      </c>
      <c r="BD114" s="437"/>
    </row>
    <row r="115" spans="2:58" ht="15.75" x14ac:dyDescent="0.25">
      <c r="B115" s="230"/>
      <c r="C115" s="257"/>
      <c r="D115" s="237"/>
      <c r="E115" s="237"/>
      <c r="F115" s="237"/>
      <c r="G115" s="286"/>
      <c r="H115" s="300"/>
      <c r="I115" s="282"/>
      <c r="J115" s="380"/>
      <c r="K115" s="381"/>
      <c r="L115" s="292"/>
      <c r="M115" s="282"/>
      <c r="N115" s="300"/>
      <c r="O115" s="301"/>
      <c r="P115" s="292"/>
      <c r="Q115" s="301"/>
      <c r="R115" s="300"/>
      <c r="S115" s="301"/>
      <c r="T115" s="300"/>
      <c r="U115" s="301"/>
      <c r="V115" s="380"/>
      <c r="W115" s="381"/>
      <c r="X115" s="380"/>
      <c r="Y115" s="381"/>
      <c r="Z115" s="318"/>
      <c r="AA115" s="318"/>
      <c r="AB115" s="380"/>
      <c r="AC115" s="381"/>
      <c r="AD115" s="318"/>
      <c r="AE115" s="318"/>
      <c r="AF115" s="300"/>
      <c r="AG115" s="301"/>
      <c r="AH115" s="295"/>
      <c r="AT115" s="265" t="str">
        <f>IF(BC121&gt;0,"DR SPL - Cost of sales","CR SPL - Cost of sales")</f>
        <v>CR SPL - Cost of sales</v>
      </c>
      <c r="AU115" s="272">
        <f>IF($BC$121&gt;0,$BC$121,0)</f>
        <v>0</v>
      </c>
      <c r="AV115" s="265">
        <f>IF($BC$121&lt;0,-$BC$121,0)</f>
        <v>0</v>
      </c>
      <c r="AZ115" s="450" t="s">
        <v>1059</v>
      </c>
      <c r="BA115" s="440"/>
      <c r="BB115" s="440"/>
      <c r="BC115" s="534"/>
      <c r="BD115" s="437"/>
    </row>
    <row r="116" spans="2:58" x14ac:dyDescent="0.25">
      <c r="B116" s="230" t="s">
        <v>720</v>
      </c>
      <c r="C116" s="232" t="s">
        <v>707</v>
      </c>
      <c r="D116" s="233"/>
      <c r="E116" s="233"/>
      <c r="F116" s="233"/>
      <c r="G116" s="282"/>
      <c r="H116" s="300"/>
      <c r="I116" s="282"/>
      <c r="J116" s="380"/>
      <c r="K116" s="381"/>
      <c r="L116" s="292"/>
      <c r="M116" s="282"/>
      <c r="N116" s="300"/>
      <c r="O116" s="301"/>
      <c r="P116" s="292"/>
      <c r="Q116" s="301"/>
      <c r="R116" s="300"/>
      <c r="S116" s="301"/>
      <c r="T116" s="300"/>
      <c r="U116" s="301"/>
      <c r="V116" s="380"/>
      <c r="W116" s="381"/>
      <c r="X116" s="380"/>
      <c r="Y116" s="381"/>
      <c r="Z116" s="318"/>
      <c r="AA116" s="318"/>
      <c r="AB116" s="380"/>
      <c r="AC116" s="381"/>
      <c r="AD116" s="318"/>
      <c r="AE116" s="318"/>
      <c r="AF116" s="300"/>
      <c r="AG116" s="301"/>
      <c r="AH116" s="292"/>
      <c r="AT116" s="265" t="str">
        <f>IF(BC121&gt;0,"CR Inventory","DR Inventory")</f>
        <v>DR Inventory</v>
      </c>
      <c r="AU116" s="265">
        <f>IF($BC$121&lt;0,-$BC$121,0)</f>
        <v>0</v>
      </c>
      <c r="AV116" s="272">
        <f>IF($BC$121&gt;0,$BC$121,0)</f>
        <v>0</v>
      </c>
      <c r="AZ116" s="442" t="s">
        <v>1060</v>
      </c>
      <c r="BA116" s="440"/>
      <c r="BB116" s="440"/>
      <c r="BC116" s="447"/>
      <c r="BD116" s="437"/>
      <c r="BE116" s="399" t="s">
        <v>1553</v>
      </c>
    </row>
    <row r="117" spans="2:58" x14ac:dyDescent="0.25">
      <c r="B117" s="259" t="s">
        <v>721</v>
      </c>
      <c r="C117" s="257"/>
      <c r="D117" s="233"/>
      <c r="E117" s="233"/>
      <c r="F117" s="233"/>
      <c r="G117" s="282"/>
      <c r="H117" s="349"/>
      <c r="I117" s="328"/>
      <c r="J117" s="410"/>
      <c r="K117" s="411"/>
      <c r="L117" s="330"/>
      <c r="M117" s="328"/>
      <c r="N117" s="349"/>
      <c r="O117" s="350"/>
      <c r="P117" s="330"/>
      <c r="Q117" s="350"/>
      <c r="R117" s="349"/>
      <c r="S117" s="350"/>
      <c r="T117" s="349"/>
      <c r="U117" s="350"/>
      <c r="V117" s="410"/>
      <c r="W117" s="411"/>
      <c r="X117" s="410"/>
      <c r="Y117" s="411"/>
      <c r="Z117" s="318"/>
      <c r="AA117" s="318"/>
      <c r="AB117" s="380"/>
      <c r="AC117" s="381"/>
      <c r="AD117" s="318"/>
      <c r="AE117" s="318"/>
      <c r="AF117" s="349"/>
      <c r="AG117" s="350"/>
      <c r="AH117" s="332">
        <f>AH119-AH118</f>
        <v>-55.110000000000007</v>
      </c>
      <c r="AZ117" s="442" t="s">
        <v>1061</v>
      </c>
      <c r="BA117" s="440"/>
      <c r="BB117" s="440"/>
      <c r="BC117" s="447"/>
      <c r="BD117" s="437"/>
    </row>
    <row r="118" spans="2:58" x14ac:dyDescent="0.25">
      <c r="B118" s="260" t="s">
        <v>664</v>
      </c>
      <c r="C118" s="257"/>
      <c r="D118" s="233"/>
      <c r="E118" s="233"/>
      <c r="F118" s="233"/>
      <c r="G118" s="282"/>
      <c r="H118" s="302"/>
      <c r="I118" s="323"/>
      <c r="J118" s="382"/>
      <c r="K118" s="377"/>
      <c r="L118" s="293"/>
      <c r="M118" s="323"/>
      <c r="N118" s="302"/>
      <c r="O118" s="303"/>
      <c r="P118" s="302">
        <f>SUMIF($AT$48:$AT$49,"DR SPL - Non-controlling interests",$AU$48:$AU$49)</f>
        <v>54</v>
      </c>
      <c r="Q118" s="303">
        <f>-SUMIF($AT$48:$AT$49,"DR SPL - Non-controlling interests",$AV$48:$AV$49)</f>
        <v>0</v>
      </c>
      <c r="R118" s="302">
        <f>SUMIF($AT$54:$AT$76,"DR SPL - Non-controlling interests",$AU$54:$AU$76)</f>
        <v>0</v>
      </c>
      <c r="S118" s="303">
        <f>-SUMIF($AT$54:$AT$76,"DR SPL - Non-controlling interests",$AV$54:$AV$76)</f>
        <v>-3.3299999999999996</v>
      </c>
      <c r="T118" s="302">
        <f>SUMIF($AT$54:$AT$76,"DR SPL - Non-controlling interests",$AU$54:$AU$76)</f>
        <v>0</v>
      </c>
      <c r="U118" s="303">
        <f>-SUMIF($AT$54:$AT$76,"DR SPL - Non-controlling interests",$AV$54:$AV$76)</f>
        <v>-3.3299999999999996</v>
      </c>
      <c r="V118" s="302">
        <f>SUMIF($AT$69:$AT$76,"DR SPL - Non-controlling interests",$AU$69:$AU$76)</f>
        <v>0</v>
      </c>
      <c r="W118" s="303">
        <f>-SUMIF($AT$69:$AT$76,"DR SPL - Non-controlling interests",$AV$69:$AV$76)</f>
        <v>-3.3299999999999996</v>
      </c>
      <c r="X118" s="382"/>
      <c r="Y118" s="377"/>
      <c r="Z118" s="293">
        <f>SUMIF($AT$86:$AT$97,"DR SPL - Non-controlling interests",$AU$86:$AU$97)</f>
        <v>0</v>
      </c>
      <c r="AA118" s="323">
        <f>-SUMIF($AT$86:$AT$97,"CR SPL - Non-controlling interests",$AV$86:$AV$97)</f>
        <v>0</v>
      </c>
      <c r="AB118" s="302"/>
      <c r="AC118" s="303"/>
      <c r="AD118" s="302">
        <f>SUMIF($AT$109:$AT$121,"DR NCI (SPL)",$AU$109:$AU$121)</f>
        <v>0</v>
      </c>
      <c r="AE118" s="303">
        <f>-SUMIF($AT$109:$AT$121,"CR NCI (SPL)",$AV$109:$AV$121)</f>
        <v>0</v>
      </c>
      <c r="AF118" s="302"/>
      <c r="AG118" s="303"/>
      <c r="AH118" s="295">
        <f>SUM(H118:AG118)</f>
        <v>44.010000000000005</v>
      </c>
      <c r="AR118" s="399" t="s">
        <v>1554</v>
      </c>
      <c r="AZ118" s="442" t="s">
        <v>1062</v>
      </c>
      <c r="BA118" s="536" t="str">
        <f>"=("&amp;BC116&amp;" * "&amp;'FV adjustments (consol)'!E57&amp;") - ("&amp;'Consol New'!BC117&amp;" * "&amp;'FV adjustments (consol)'!E58&amp;")"</f>
        <v>=( * ) - ( * )</v>
      </c>
      <c r="BB118" s="440"/>
      <c r="BC118" s="440">
        <f>'FV adjustments (consol)'!E58*'Consol New'!BC117-'Consol New'!BC116*'FV adjustments (consol)'!E57</f>
        <v>0</v>
      </c>
      <c r="BD118" s="437"/>
    </row>
    <row r="119" spans="2:58" ht="16.5" thickBot="1" x14ac:dyDescent="0.3">
      <c r="B119" s="230"/>
      <c r="C119" s="257"/>
      <c r="D119" s="233"/>
      <c r="E119" s="233"/>
      <c r="F119" s="233"/>
      <c r="G119" s="282"/>
      <c r="H119" s="300"/>
      <c r="I119" s="282"/>
      <c r="J119" s="380"/>
      <c r="K119" s="381"/>
      <c r="L119" s="292"/>
      <c r="M119" s="282"/>
      <c r="N119" s="300"/>
      <c r="O119" s="301"/>
      <c r="P119" s="292"/>
      <c r="Q119" s="301"/>
      <c r="R119" s="300"/>
      <c r="S119" s="301"/>
      <c r="T119" s="300"/>
      <c r="U119" s="301"/>
      <c r="V119" s="380"/>
      <c r="W119" s="381"/>
      <c r="X119" s="380"/>
      <c r="Y119" s="381"/>
      <c r="Z119" s="318"/>
      <c r="AA119" s="318"/>
      <c r="AB119" s="380"/>
      <c r="AC119" s="381"/>
      <c r="AD119" s="318"/>
      <c r="AE119" s="318"/>
      <c r="AF119" s="300"/>
      <c r="AG119" s="301"/>
      <c r="AH119" s="311">
        <f>AH114</f>
        <v>-11.100000000000001</v>
      </c>
      <c r="AT119" s="265" t="s">
        <v>1557</v>
      </c>
      <c r="AU119" s="272">
        <f>AU109+AU113+AU115-AV109-AV113-AV115</f>
        <v>0</v>
      </c>
      <c r="AV119" s="265" t="str">
        <f>IF(AU119&gt;0,"DR","CR")</f>
        <v>CR</v>
      </c>
      <c r="AZ119" s="450" t="s">
        <v>67</v>
      </c>
      <c r="BA119" s="440"/>
      <c r="BB119" s="440"/>
      <c r="BC119" s="440"/>
      <c r="BD119" s="437"/>
    </row>
    <row r="120" spans="2:58" x14ac:dyDescent="0.25">
      <c r="B120" s="230" t="s">
        <v>722</v>
      </c>
      <c r="C120" s="257"/>
      <c r="D120" s="233"/>
      <c r="E120" s="233"/>
      <c r="F120" s="233"/>
      <c r="G120" s="282"/>
      <c r="H120" s="300"/>
      <c r="I120" s="282"/>
      <c r="J120" s="380"/>
      <c r="K120" s="381"/>
      <c r="L120" s="292"/>
      <c r="M120" s="282"/>
      <c r="N120" s="300"/>
      <c r="O120" s="301"/>
      <c r="P120" s="292"/>
      <c r="Q120" s="301"/>
      <c r="R120" s="300"/>
      <c r="S120" s="301"/>
      <c r="T120" s="300"/>
      <c r="U120" s="301"/>
      <c r="V120" s="380"/>
      <c r="W120" s="381"/>
      <c r="X120" s="380"/>
      <c r="Y120" s="381"/>
      <c r="Z120" s="318"/>
      <c r="AA120" s="318"/>
      <c r="AB120" s="380"/>
      <c r="AC120" s="381"/>
      <c r="AD120" s="318"/>
      <c r="AE120" s="318"/>
      <c r="AF120" s="300"/>
      <c r="AG120" s="301"/>
      <c r="AH120" s="295"/>
      <c r="AS120" s="648">
        <f>BC11</f>
        <v>0.3</v>
      </c>
      <c r="AT120" s="265" t="s">
        <v>1556</v>
      </c>
      <c r="AU120" s="533">
        <f>IF(AV119="DR",AU119*BC11,0)</f>
        <v>0</v>
      </c>
      <c r="AV120" s="265">
        <f>IF(AV119="CR",-AU119*BC11,0)</f>
        <v>0</v>
      </c>
      <c r="AZ120" s="442" t="s">
        <v>1063</v>
      </c>
      <c r="BA120" s="440"/>
      <c r="BB120" s="440"/>
      <c r="BC120" s="447"/>
      <c r="BD120" s="437"/>
    </row>
    <row r="121" spans="2:58" x14ac:dyDescent="0.25">
      <c r="B121" s="260" t="s">
        <v>721</v>
      </c>
      <c r="C121" s="257"/>
      <c r="D121" s="233"/>
      <c r="E121" s="233"/>
      <c r="F121" s="233"/>
      <c r="G121" s="282"/>
      <c r="H121" s="300"/>
      <c r="I121" s="282"/>
      <c r="J121" s="380"/>
      <c r="K121" s="381"/>
      <c r="L121" s="292"/>
      <c r="M121" s="282"/>
      <c r="N121" s="300"/>
      <c r="O121" s="301"/>
      <c r="P121" s="292"/>
      <c r="Q121" s="301"/>
      <c r="R121" s="300"/>
      <c r="S121" s="301"/>
      <c r="T121" s="300"/>
      <c r="U121" s="301"/>
      <c r="V121" s="380"/>
      <c r="W121" s="381"/>
      <c r="X121" s="380"/>
      <c r="Y121" s="381"/>
      <c r="Z121" s="318"/>
      <c r="AA121" s="318"/>
      <c r="AB121" s="380"/>
      <c r="AC121" s="381"/>
      <c r="AD121" s="318"/>
      <c r="AE121" s="318"/>
      <c r="AF121" s="300"/>
      <c r="AG121" s="301"/>
      <c r="AH121" s="332">
        <f>AH123-AH122</f>
        <v>-11.100000000000001</v>
      </c>
      <c r="AS121" s="648">
        <f>BC11</f>
        <v>0.3</v>
      </c>
      <c r="AT121" s="265" t="s">
        <v>1555</v>
      </c>
      <c r="AU121" s="265">
        <f>IF(AV119="CR",-AU119*BC11,0)</f>
        <v>0</v>
      </c>
      <c r="AV121" s="265">
        <f>IF(AV119="DR",AU119*BC11,0)</f>
        <v>0</v>
      </c>
      <c r="AZ121" s="442" t="s">
        <v>1064</v>
      </c>
      <c r="BA121" s="440" t="str">
        <f>"("&amp;BC120&amp;" * "&amp;'FV adjustments (consol)'!F54&amp;")"</f>
        <v>( * 0)</v>
      </c>
      <c r="BB121" s="440"/>
      <c r="BC121" s="440">
        <f>BC120*'FV adjustments (consol)'!F54</f>
        <v>0</v>
      </c>
      <c r="BD121" s="437"/>
    </row>
    <row r="122" spans="2:58" ht="15.75" thickBot="1" x14ac:dyDescent="0.3">
      <c r="B122" s="260" t="s">
        <v>664</v>
      </c>
      <c r="C122" s="257"/>
      <c r="D122" s="233"/>
      <c r="E122" s="233"/>
      <c r="F122" s="233"/>
      <c r="G122" s="282"/>
      <c r="H122" s="302"/>
      <c r="I122" s="323"/>
      <c r="J122" s="382"/>
      <c r="K122" s="377"/>
      <c r="L122" s="293"/>
      <c r="M122" s="323"/>
      <c r="N122" s="302"/>
      <c r="O122" s="303"/>
      <c r="P122" s="293"/>
      <c r="Q122" s="303"/>
      <c r="R122" s="302"/>
      <c r="S122" s="303"/>
      <c r="T122" s="302"/>
      <c r="U122" s="303"/>
      <c r="V122" s="382"/>
      <c r="W122" s="377"/>
      <c r="X122" s="382"/>
      <c r="Y122" s="377"/>
      <c r="Z122" s="319"/>
      <c r="AA122" s="319"/>
      <c r="AB122" s="382"/>
      <c r="AC122" s="377"/>
      <c r="AD122" s="319"/>
      <c r="AE122" s="319"/>
      <c r="AF122" s="302"/>
      <c r="AG122" s="303"/>
      <c r="AH122" s="337">
        <f>H122-I122</f>
        <v>0</v>
      </c>
      <c r="AZ122" s="451"/>
      <c r="BA122" s="452"/>
      <c r="BB122" s="452"/>
      <c r="BC122" s="452"/>
      <c r="BD122" s="445"/>
    </row>
    <row r="123" spans="2:58" ht="16.5" thickBot="1" x14ac:dyDescent="0.3">
      <c r="B123" s="230"/>
      <c r="C123" s="257"/>
      <c r="D123" s="233"/>
      <c r="E123" s="233"/>
      <c r="F123" s="233"/>
      <c r="G123" s="282"/>
      <c r="H123" s="300"/>
      <c r="I123" s="282"/>
      <c r="J123" s="380"/>
      <c r="K123" s="381"/>
      <c r="L123" s="292"/>
      <c r="M123" s="282"/>
      <c r="N123" s="300"/>
      <c r="O123" s="301"/>
      <c r="P123" s="292"/>
      <c r="Q123" s="301"/>
      <c r="R123" s="300"/>
      <c r="S123" s="301"/>
      <c r="T123" s="300"/>
      <c r="U123" s="301"/>
      <c r="V123" s="380"/>
      <c r="W123" s="381"/>
      <c r="X123" s="380"/>
      <c r="Y123" s="381"/>
      <c r="Z123" s="318"/>
      <c r="AA123" s="318"/>
      <c r="AB123" s="380"/>
      <c r="AC123" s="381"/>
      <c r="AD123" s="318"/>
      <c r="AE123" s="318"/>
      <c r="AF123" s="300"/>
      <c r="AG123" s="301"/>
      <c r="AH123" s="311">
        <f>AH114</f>
        <v>-11.100000000000001</v>
      </c>
      <c r="AS123" s="274">
        <v>13</v>
      </c>
      <c r="AT123" s="265" t="str">
        <f>IF(AU123&lt;&gt;0,"DR Retained earnings","CR Retained earnings")</f>
        <v>DR Retained earnings</v>
      </c>
      <c r="AU123" s="273">
        <f>IF($BC$136&gt;0,$BC$136,0)</f>
        <v>61.769999999999996</v>
      </c>
      <c r="AV123" s="273">
        <f>IF($BC$136&lt;0,-$BC$136,0)</f>
        <v>0</v>
      </c>
      <c r="BF123" s="399" t="s">
        <v>1317</v>
      </c>
    </row>
    <row r="124" spans="2:58" ht="15.75" x14ac:dyDescent="0.25">
      <c r="B124" s="230"/>
      <c r="C124" s="257"/>
      <c r="D124" s="233"/>
      <c r="E124" s="233"/>
      <c r="F124" s="233"/>
      <c r="G124" s="282"/>
      <c r="H124" s="300"/>
      <c r="I124" s="282"/>
      <c r="J124" s="380"/>
      <c r="K124" s="381"/>
      <c r="L124" s="292"/>
      <c r="M124" s="282"/>
      <c r="N124" s="300"/>
      <c r="O124" s="301"/>
      <c r="P124" s="292"/>
      <c r="Q124" s="301"/>
      <c r="R124" s="300"/>
      <c r="S124" s="301"/>
      <c r="T124" s="300"/>
      <c r="U124" s="301"/>
      <c r="V124" s="380"/>
      <c r="W124" s="381"/>
      <c r="X124" s="380"/>
      <c r="Y124" s="381"/>
      <c r="Z124" s="318"/>
      <c r="AA124" s="318"/>
      <c r="AB124" s="380"/>
      <c r="AC124" s="381"/>
      <c r="AD124" s="318"/>
      <c r="AE124" s="318"/>
      <c r="AF124" s="300"/>
      <c r="AG124" s="301"/>
      <c r="AH124" s="338"/>
      <c r="AT124" s="265" t="str">
        <f>IF(AU124&lt;&gt;0,"DR SPL","CR SPL")</f>
        <v>CR SPL</v>
      </c>
      <c r="AU124" s="273">
        <f>IF($BC$136&lt;0,-$BC$136,0)</f>
        <v>0</v>
      </c>
      <c r="AV124" s="273">
        <f>IF($BC$136&gt;0,$BC$136,0)</f>
        <v>61.769999999999996</v>
      </c>
      <c r="AZ124" s="446" t="s">
        <v>698</v>
      </c>
      <c r="BA124" s="423"/>
      <c r="BB124" s="423"/>
      <c r="BC124" s="423"/>
      <c r="BD124" s="425"/>
    </row>
    <row r="125" spans="2:58" ht="15.75" x14ac:dyDescent="0.25">
      <c r="B125" s="230" t="s">
        <v>723</v>
      </c>
      <c r="C125" s="257" t="s">
        <v>724</v>
      </c>
      <c r="D125" s="233"/>
      <c r="E125" s="233"/>
      <c r="F125" s="233"/>
      <c r="G125" s="282"/>
      <c r="H125" s="300"/>
      <c r="I125" s="282"/>
      <c r="J125" s="380"/>
      <c r="K125" s="381"/>
      <c r="L125" s="381"/>
      <c r="M125" s="282"/>
      <c r="N125" s="300"/>
      <c r="O125" s="301"/>
      <c r="P125" s="292"/>
      <c r="Q125" s="301"/>
      <c r="R125" s="300"/>
      <c r="S125" s="301"/>
      <c r="T125" s="300"/>
      <c r="U125" s="301"/>
      <c r="V125" s="380"/>
      <c r="W125" s="381"/>
      <c r="X125" s="380"/>
      <c r="Y125" s="381"/>
      <c r="Z125" s="318"/>
      <c r="AA125" s="318"/>
      <c r="AB125" s="380"/>
      <c r="AC125" s="381"/>
      <c r="AD125" s="318"/>
      <c r="AE125" s="318"/>
      <c r="AF125" s="300"/>
      <c r="AG125" s="301"/>
      <c r="AH125" s="291" t="s">
        <v>725</v>
      </c>
      <c r="AZ125" s="442" t="s">
        <v>696</v>
      </c>
      <c r="BA125" s="440"/>
      <c r="BB125" s="440"/>
      <c r="BC125" s="449">
        <f>BC35</f>
        <v>0</v>
      </c>
      <c r="BD125" s="437"/>
    </row>
    <row r="126" spans="2:58" x14ac:dyDescent="0.25">
      <c r="B126" s="260" t="s">
        <v>726</v>
      </c>
      <c r="C126" s="257"/>
      <c r="D126" s="233"/>
      <c r="E126" s="233"/>
      <c r="F126" s="233"/>
      <c r="G126" s="282"/>
      <c r="H126" s="300"/>
      <c r="I126" s="282"/>
      <c r="J126" s="380"/>
      <c r="K126" s="381"/>
      <c r="L126" s="318"/>
      <c r="M126" s="282"/>
      <c r="N126" s="300"/>
      <c r="O126" s="301"/>
      <c r="P126" s="292"/>
      <c r="Q126" s="301"/>
      <c r="R126" s="300"/>
      <c r="S126" s="301"/>
      <c r="T126" s="300"/>
      <c r="U126" s="301"/>
      <c r="V126" s="380"/>
      <c r="W126" s="381"/>
      <c r="X126" s="380"/>
      <c r="Y126" s="381"/>
      <c r="Z126" s="318"/>
      <c r="AA126" s="318"/>
      <c r="AB126" s="380"/>
      <c r="AC126" s="381"/>
      <c r="AD126" s="318"/>
      <c r="AE126" s="318"/>
      <c r="AF126" s="300"/>
      <c r="AG126" s="301"/>
      <c r="AH126" s="339"/>
      <c r="AZ126" s="442" t="s">
        <v>697</v>
      </c>
      <c r="BA126" s="440"/>
      <c r="BB126" s="440"/>
      <c r="BC126" s="441">
        <f>BC52</f>
        <v>54</v>
      </c>
      <c r="BD126" s="437"/>
    </row>
    <row r="127" spans="2:58" x14ac:dyDescent="0.25">
      <c r="B127" s="260" t="s">
        <v>727</v>
      </c>
      <c r="C127" s="232" t="s">
        <v>728</v>
      </c>
      <c r="D127" s="233"/>
      <c r="E127" s="233"/>
      <c r="F127" s="233"/>
      <c r="G127" s="282"/>
      <c r="H127" s="306"/>
      <c r="I127" s="352"/>
      <c r="J127" s="388"/>
      <c r="K127" s="389"/>
      <c r="L127" s="376"/>
      <c r="M127" s="352"/>
      <c r="N127" s="306"/>
      <c r="O127" s="307"/>
      <c r="P127" s="331"/>
      <c r="Q127" s="307"/>
      <c r="R127" s="306"/>
      <c r="S127" s="307"/>
      <c r="T127" s="306"/>
      <c r="U127" s="307"/>
      <c r="V127" s="388"/>
      <c r="W127" s="389"/>
      <c r="X127" s="388"/>
      <c r="Y127" s="389"/>
      <c r="Z127" s="376"/>
      <c r="AA127" s="376"/>
      <c r="AB127" s="388"/>
      <c r="AC127" s="389"/>
      <c r="AD127" s="376"/>
      <c r="AE127" s="376"/>
      <c r="AF127" s="306"/>
      <c r="AG127" s="307"/>
      <c r="AH127" s="340"/>
      <c r="AZ127" s="442" t="s">
        <v>879</v>
      </c>
      <c r="BA127" s="440"/>
      <c r="BB127" s="440"/>
      <c r="BC127" s="449">
        <f>BC92</f>
        <v>0</v>
      </c>
      <c r="BD127" s="437"/>
    </row>
    <row r="128" spans="2:58" x14ac:dyDescent="0.25">
      <c r="AV128" s="272"/>
      <c r="AZ128" s="442" t="s">
        <v>880</v>
      </c>
      <c r="BA128" s="440"/>
      <c r="BB128" s="440"/>
      <c r="BC128" s="449">
        <f>-BC93</f>
        <v>0</v>
      </c>
      <c r="BD128" s="437"/>
    </row>
    <row r="129" spans="9:56" x14ac:dyDescent="0.25">
      <c r="AZ129" s="442" t="s">
        <v>881</v>
      </c>
      <c r="BA129" s="440"/>
      <c r="BB129" s="440"/>
      <c r="BC129" s="449">
        <f>-BC96</f>
        <v>0</v>
      </c>
      <c r="BD129" s="437"/>
    </row>
    <row r="130" spans="9:56" ht="15.75" x14ac:dyDescent="0.25">
      <c r="I130" s="538">
        <f>SUM(H12:I59,H67:I127)</f>
        <v>0</v>
      </c>
      <c r="J130" s="538"/>
      <c r="K130" s="538">
        <f>SUM(J12:K59,J67:K127)</f>
        <v>265</v>
      </c>
      <c r="L130" s="538"/>
      <c r="M130" s="538">
        <f>SUM(L12:M59,L67:M127)</f>
        <v>0</v>
      </c>
      <c r="N130" s="538"/>
      <c r="O130" s="538">
        <f>SUM(N12:O59,N67:O127)</f>
        <v>0</v>
      </c>
      <c r="P130" s="538"/>
      <c r="Q130" s="538">
        <f>SUM(P12:Q59,P67:Q127)</f>
        <v>0</v>
      </c>
      <c r="R130" s="538"/>
      <c r="S130" s="538">
        <f>SUM(R12:S59,R67:S127)</f>
        <v>-3.3299999999999996</v>
      </c>
      <c r="T130" s="538"/>
      <c r="U130" s="538">
        <f>SUM(T12:U59,T67:U127)</f>
        <v>-3.3299999999999996</v>
      </c>
      <c r="V130" s="538"/>
      <c r="W130" s="538">
        <f>SUM(V12:W59,V67:W127)</f>
        <v>5.773159728050814E-15</v>
      </c>
      <c r="X130" s="538"/>
      <c r="Y130" s="538">
        <f>SUM(X12:Y59,X67:Y127)</f>
        <v>0</v>
      </c>
      <c r="Z130" s="538"/>
      <c r="AA130" s="538">
        <f>SUM(Z12:AA59,Z67:AA127)</f>
        <v>0</v>
      </c>
      <c r="AB130" s="538"/>
      <c r="AC130" s="538">
        <f>SUM(AB12:AC59,AB67:AC127)</f>
        <v>0</v>
      </c>
      <c r="AD130" s="538"/>
      <c r="AE130" s="538">
        <f>SUM(AD12:AE59,AD67:AE127)</f>
        <v>0</v>
      </c>
      <c r="AF130" s="538"/>
      <c r="AG130" s="538">
        <f>SUM(AF12:AG59,AF67:AG127)</f>
        <v>61.769999999999996</v>
      </c>
      <c r="AZ130" s="442" t="s">
        <v>799</v>
      </c>
      <c r="BA130" s="440"/>
      <c r="BB130" s="440"/>
      <c r="BC130" s="441">
        <f>BC65</f>
        <v>0</v>
      </c>
      <c r="BD130" s="437"/>
    </row>
    <row r="131" spans="9:56" x14ac:dyDescent="0.25">
      <c r="AV131" s="272"/>
      <c r="AZ131" s="442" t="s">
        <v>770</v>
      </c>
      <c r="BA131" s="440"/>
      <c r="BB131" s="440"/>
      <c r="BC131" s="449">
        <f>AU69-AV70</f>
        <v>0</v>
      </c>
      <c r="BD131" s="437"/>
    </row>
    <row r="132" spans="9:56" x14ac:dyDescent="0.25">
      <c r="AZ132" s="442" t="s">
        <v>798</v>
      </c>
      <c r="BA132" s="440"/>
      <c r="BB132" s="440"/>
      <c r="BC132" s="449">
        <f>AU71</f>
        <v>11.1</v>
      </c>
      <c r="BD132" s="437"/>
    </row>
    <row r="133" spans="9:56" x14ac:dyDescent="0.25">
      <c r="AZ133" s="442" t="s">
        <v>771</v>
      </c>
      <c r="BA133" s="440"/>
      <c r="BB133" s="440"/>
      <c r="BC133" s="449">
        <f>-AV76</f>
        <v>-3.3299999999999996</v>
      </c>
      <c r="BD133" s="437"/>
    </row>
    <row r="134" spans="9:56" x14ac:dyDescent="0.25">
      <c r="AZ134" s="442" t="s">
        <v>851</v>
      </c>
      <c r="BA134" s="440"/>
      <c r="BB134" s="440"/>
      <c r="BC134" s="449">
        <f>-BC107</f>
        <v>0</v>
      </c>
      <c r="BD134" s="437"/>
    </row>
    <row r="135" spans="9:56" x14ac:dyDescent="0.25">
      <c r="AZ135" s="442" t="s">
        <v>1051</v>
      </c>
      <c r="BA135" s="440"/>
      <c r="BB135" s="440"/>
      <c r="BC135" s="449">
        <f>AU119+AU121-AV121</f>
        <v>0</v>
      </c>
      <c r="BD135" s="437"/>
    </row>
    <row r="136" spans="9:56" ht="16.5" thickBot="1" x14ac:dyDescent="0.3">
      <c r="AE136" s="537"/>
      <c r="AF136" s="538" t="s">
        <v>161</v>
      </c>
      <c r="AG136" s="538" t="s">
        <v>153</v>
      </c>
      <c r="AZ136" s="442"/>
      <c r="BA136" s="440"/>
      <c r="BB136" s="440"/>
      <c r="BC136" s="279">
        <f>SUM(BC125:BC135)</f>
        <v>61.769999999999996</v>
      </c>
      <c r="BD136" s="437"/>
    </row>
    <row r="137" spans="9:56" ht="31.5" thickTop="1" thickBot="1" x14ac:dyDescent="0.3">
      <c r="AE137" s="537" t="s">
        <v>89</v>
      </c>
      <c r="AF137" s="537">
        <f>SUM(AF67:AF127,AF12:AF59,AB12:AB59,AB67:AB127,Z67:Z127,Z12:Z59,AD12:AD59,AD67:AD127,X67:X127,X12:X59,V12:V59,V67:V127,T67:T127,T12:T59,R12:R59,R67:R127,P67:P127,P12:P59,N12:N59,N67:N127,L67:L127,L12:L59,J12:J59,J67:J127,H67:H127,H12:H59)</f>
        <v>2151.1000000000004</v>
      </c>
      <c r="AG137" s="537">
        <f>SUM(AG67:AG127,AG12:AG59,AC12:AC59,AC67:AC127,AA67:AA127,AA12:AA59,AE12:AE59,AE67:AE127,Y67:Y127,Y12:Y59,W12:W59,W67:W127,U67:U127,U12:U59,S12:S59,S67:S127,Q67:Q127,Q12:Q59,O12:O59,O67:O127,M67:M127,M12:M59,K12:K59,K67:K127,I67:I127,I12:I59)</f>
        <v>-1830.99</v>
      </c>
      <c r="AZ137" s="451"/>
      <c r="BA137" s="452"/>
      <c r="BB137" s="452"/>
      <c r="BC137" s="452"/>
      <c r="BD137" s="445"/>
    </row>
    <row r="138" spans="9:56" ht="30" x14ac:dyDescent="0.25">
      <c r="AE138" s="537" t="s">
        <v>1065</v>
      </c>
      <c r="AF138" s="537">
        <f>AU6</f>
        <v>2151.1</v>
      </c>
      <c r="AG138" s="537">
        <f>-AV6</f>
        <v>-2151.1</v>
      </c>
    </row>
    <row r="139" spans="9:56" x14ac:dyDescent="0.25">
      <c r="AE139" s="537"/>
      <c r="AF139" s="537">
        <f>AF137-AF138</f>
        <v>0</v>
      </c>
      <c r="AG139" s="537">
        <f>AG137-AG138</f>
        <v>320.1099999999999</v>
      </c>
      <c r="AI139" s="542" t="s">
        <v>1067</v>
      </c>
    </row>
  </sheetData>
  <mergeCells count="29">
    <mergeCell ref="Z7:AA7"/>
    <mergeCell ref="AF7:AG7"/>
    <mergeCell ref="R7:S7"/>
    <mergeCell ref="AB7:AC7"/>
    <mergeCell ref="AD7:AE7"/>
    <mergeCell ref="T7:U7"/>
    <mergeCell ref="V7:W7"/>
    <mergeCell ref="X7:Y7"/>
    <mergeCell ref="C6:C8"/>
    <mergeCell ref="H7:I7"/>
    <mergeCell ref="L7:M7"/>
    <mergeCell ref="N7:O7"/>
    <mergeCell ref="P7:Q7"/>
    <mergeCell ref="J7:K7"/>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s>
  <hyperlinks>
    <hyperlink ref="A1" location="Main!A1" display="Main" xr:uid="{3C68287C-46D4-44E5-AA63-111239181468}"/>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zoomScale="85" zoomScaleNormal="85" workbookViewId="0"/>
  </sheetViews>
  <sheetFormatPr defaultColWidth="8.7109375" defaultRowHeight="15" x14ac:dyDescent="0.2"/>
  <cols>
    <col min="1" max="1" width="2.140625" style="505" customWidth="1"/>
    <col min="2" max="2" width="8.7109375" style="505"/>
    <col min="3" max="3" width="15.85546875" style="505" customWidth="1"/>
    <col min="4" max="4" width="11.28515625" style="505" customWidth="1"/>
    <col min="5" max="5" width="17.5703125" style="505" customWidth="1"/>
    <col min="6" max="6" width="17.140625" style="505" customWidth="1"/>
    <col min="7" max="7" width="15" style="505" customWidth="1"/>
    <col min="8" max="8" width="13.42578125" style="505" customWidth="1"/>
    <col min="9" max="9" width="8.7109375" style="505"/>
    <col min="10" max="10" width="11.42578125" style="505" customWidth="1"/>
    <col min="11" max="12" width="12.5703125" style="505" bestFit="1" customWidth="1"/>
    <col min="13" max="13" width="17.42578125" style="505" customWidth="1"/>
    <col min="14" max="16384" width="8.7109375" style="505"/>
  </cols>
  <sheetData>
    <row r="1" spans="1:25" ht="14.1" customHeight="1" thickBot="1" x14ac:dyDescent="0.3">
      <c r="A1" s="161" t="s">
        <v>1984</v>
      </c>
    </row>
    <row r="2" spans="1:25" ht="15.75" x14ac:dyDescent="0.25">
      <c r="B2" s="500" t="s">
        <v>960</v>
      </c>
      <c r="C2" s="423"/>
      <c r="D2" s="423"/>
      <c r="E2" s="423"/>
      <c r="F2" s="423"/>
      <c r="G2" s="425"/>
      <c r="K2" s="514" t="s">
        <v>983</v>
      </c>
      <c r="S2" s="514" t="s">
        <v>1728</v>
      </c>
    </row>
    <row r="3" spans="1:25" x14ac:dyDescent="0.2">
      <c r="B3" s="463" t="s">
        <v>961</v>
      </c>
      <c r="C3" s="440"/>
      <c r="D3" s="440"/>
      <c r="E3" s="440"/>
      <c r="F3" s="440"/>
      <c r="G3" s="464">
        <v>6000</v>
      </c>
      <c r="K3" s="505" t="s">
        <v>984</v>
      </c>
      <c r="M3" s="512">
        <v>3900</v>
      </c>
      <c r="S3" s="505" t="s">
        <v>1726</v>
      </c>
      <c r="W3" s="512">
        <v>890</v>
      </c>
      <c r="Y3" s="506" t="s">
        <v>1730</v>
      </c>
    </row>
    <row r="4" spans="1:25" x14ac:dyDescent="0.2">
      <c r="B4" s="463" t="s">
        <v>962</v>
      </c>
      <c r="C4" s="440"/>
      <c r="D4" s="440"/>
      <c r="E4" s="440"/>
      <c r="F4" s="440"/>
      <c r="G4" s="464">
        <f>+M6</f>
        <v>3503.9644212843377</v>
      </c>
      <c r="K4" s="505" t="s">
        <v>224</v>
      </c>
      <c r="M4" s="539">
        <v>5.5E-2</v>
      </c>
      <c r="S4" s="505" t="s">
        <v>1727</v>
      </c>
      <c r="W4" s="512">
        <v>978</v>
      </c>
    </row>
    <row r="5" spans="1:25" x14ac:dyDescent="0.2">
      <c r="B5" s="463" t="s">
        <v>963</v>
      </c>
      <c r="C5" s="440"/>
      <c r="D5" s="525" t="s">
        <v>999</v>
      </c>
      <c r="E5" s="525" t="s">
        <v>984</v>
      </c>
      <c r="F5" s="525" t="s">
        <v>1000</v>
      </c>
      <c r="G5" s="465"/>
      <c r="K5" s="505" t="s">
        <v>471</v>
      </c>
      <c r="M5" s="512">
        <v>2</v>
      </c>
      <c r="S5" s="505" t="s">
        <v>1728</v>
      </c>
      <c r="W5" s="505">
        <f>W4-W3</f>
        <v>88</v>
      </c>
    </row>
    <row r="6" spans="1:25" x14ac:dyDescent="0.2">
      <c r="B6" s="463"/>
      <c r="C6" s="440"/>
      <c r="D6" s="421"/>
      <c r="E6" s="421"/>
      <c r="F6" s="421"/>
      <c r="G6" s="465">
        <f>F6*D6</f>
        <v>0</v>
      </c>
      <c r="K6" s="505" t="s">
        <v>212</v>
      </c>
      <c r="M6" s="527">
        <f>(M3)/(1+M4)^M5</f>
        <v>3503.9644212843377</v>
      </c>
      <c r="N6" s="505" t="str">
        <f>"=("&amp;M3&amp;")/(1+"&amp;M4&amp;")^"&amp;M5</f>
        <v>=(3900)/(1+0.055)^2</v>
      </c>
    </row>
    <row r="7" spans="1:25" x14ac:dyDescent="0.2">
      <c r="B7" s="463" t="s">
        <v>966</v>
      </c>
      <c r="C7" s="440"/>
      <c r="D7" s="421"/>
      <c r="E7" s="440"/>
      <c r="F7" s="440"/>
      <c r="G7" s="465">
        <f>D7*F6</f>
        <v>0</v>
      </c>
      <c r="H7" s="506" t="s">
        <v>825</v>
      </c>
    </row>
    <row r="8" spans="1:25" x14ac:dyDescent="0.2">
      <c r="B8" s="463" t="s">
        <v>964</v>
      </c>
      <c r="C8" s="440"/>
      <c r="D8" s="440"/>
      <c r="E8" s="440"/>
      <c r="F8" s="440"/>
      <c r="G8" s="464">
        <v>560</v>
      </c>
    </row>
    <row r="9" spans="1:25" x14ac:dyDescent="0.2">
      <c r="B9" s="463" t="s">
        <v>965</v>
      </c>
      <c r="C9" s="501"/>
      <c r="D9" s="501"/>
      <c r="E9" s="440"/>
      <c r="F9" s="440"/>
      <c r="G9" s="464">
        <f>+W4</f>
        <v>978</v>
      </c>
      <c r="K9" s="506" t="s">
        <v>1772</v>
      </c>
    </row>
    <row r="10" spans="1:25" ht="16.5" thickBot="1" x14ac:dyDescent="0.25">
      <c r="B10" s="451"/>
      <c r="C10" s="502"/>
      <c r="D10" s="502"/>
      <c r="E10" s="452"/>
      <c r="F10" s="452"/>
      <c r="G10" s="528">
        <f>SUM(G3:G9)</f>
        <v>11041.964421284338</v>
      </c>
    </row>
    <row r="11" spans="1:25" x14ac:dyDescent="0.2">
      <c r="K11" s="505" t="s">
        <v>1775</v>
      </c>
      <c r="M11" s="505">
        <f>M4*M3</f>
        <v>214.5</v>
      </c>
      <c r="N11" s="506" t="str">
        <f>"= "&amp;M4*100&amp;"% * "&amp;M3</f>
        <v>= 5.5% * 3900</v>
      </c>
    </row>
    <row r="12" spans="1:25" x14ac:dyDescent="0.2">
      <c r="B12" s="503" t="s">
        <v>355</v>
      </c>
      <c r="C12" s="507"/>
      <c r="D12" s="507"/>
      <c r="E12" s="508">
        <f>G10</f>
        <v>11041.964421284338</v>
      </c>
      <c r="F12" s="507"/>
    </row>
    <row r="13" spans="1:25" x14ac:dyDescent="0.2">
      <c r="B13" s="503" t="s">
        <v>967</v>
      </c>
      <c r="C13" s="507"/>
      <c r="D13" s="507"/>
      <c r="E13" s="507"/>
      <c r="F13" s="508">
        <f>G3</f>
        <v>6000</v>
      </c>
      <c r="K13" s="505" t="s">
        <v>970</v>
      </c>
      <c r="N13" s="505">
        <f>M11</f>
        <v>214.5</v>
      </c>
    </row>
    <row r="14" spans="1:25" x14ac:dyDescent="0.2">
      <c r="B14" s="503" t="s">
        <v>969</v>
      </c>
      <c r="C14" s="507"/>
      <c r="D14" s="507"/>
      <c r="E14" s="507"/>
      <c r="F14" s="518">
        <f>D6*E6</f>
        <v>0</v>
      </c>
      <c r="K14" s="505" t="s">
        <v>1776</v>
      </c>
      <c r="M14" s="505">
        <f>M11</f>
        <v>214.5</v>
      </c>
    </row>
    <row r="15" spans="1:25" x14ac:dyDescent="0.2">
      <c r="A15" s="507"/>
      <c r="B15" s="503" t="s">
        <v>968</v>
      </c>
      <c r="C15" s="507"/>
      <c r="D15" s="507"/>
      <c r="E15" s="507"/>
      <c r="F15" s="508">
        <f>G6-F14</f>
        <v>0</v>
      </c>
    </row>
    <row r="16" spans="1:25" x14ac:dyDescent="0.2">
      <c r="A16" s="507"/>
      <c r="B16" s="503" t="s">
        <v>970</v>
      </c>
      <c r="C16" s="507"/>
      <c r="D16" s="507"/>
      <c r="E16" s="507"/>
      <c r="F16" s="508">
        <f>G4</f>
        <v>3503.9644212843377</v>
      </c>
    </row>
    <row r="17" spans="1:14" x14ac:dyDescent="0.2">
      <c r="A17" s="507"/>
      <c r="B17" s="503" t="s">
        <v>1001</v>
      </c>
      <c r="C17" s="507"/>
      <c r="D17" s="507"/>
      <c r="E17" s="507"/>
      <c r="F17" s="508">
        <f>G7</f>
        <v>0</v>
      </c>
    </row>
    <row r="18" spans="1:14" x14ac:dyDescent="0.2">
      <c r="A18" s="507"/>
      <c r="B18" s="503" t="str">
        <f>IF(W5&gt;0,"CR SPL - gain on disposal","DR SPL - Loss on disposal")</f>
        <v>CR SPL - gain on disposal</v>
      </c>
      <c r="C18" s="507"/>
      <c r="D18" s="507"/>
      <c r="E18" s="508">
        <f>IF(W5&lt;0,-W5,0)</f>
        <v>0</v>
      </c>
      <c r="F18" s="508">
        <f>IF(W5&gt;0,W5,0)</f>
        <v>88</v>
      </c>
      <c r="K18" s="505" t="s">
        <v>1140</v>
      </c>
      <c r="M18" s="505">
        <v>14</v>
      </c>
    </row>
    <row r="19" spans="1:14" x14ac:dyDescent="0.2">
      <c r="A19" s="507"/>
      <c r="B19" s="503" t="s">
        <v>1773</v>
      </c>
      <c r="C19" s="507"/>
      <c r="D19" s="507"/>
      <c r="E19" s="507"/>
      <c r="F19" s="508">
        <f>G8</f>
        <v>560</v>
      </c>
      <c r="K19" s="505" t="s">
        <v>986</v>
      </c>
      <c r="N19" s="505">
        <v>14</v>
      </c>
    </row>
    <row r="20" spans="1:14" x14ac:dyDescent="0.2">
      <c r="A20" s="507"/>
      <c r="B20" s="503" t="s">
        <v>1729</v>
      </c>
      <c r="C20" s="507"/>
      <c r="D20" s="507"/>
      <c r="E20" s="507"/>
      <c r="F20" s="508">
        <f>W3</f>
        <v>890</v>
      </c>
    </row>
    <row r="21" spans="1:14" x14ac:dyDescent="0.2">
      <c r="A21" s="507"/>
      <c r="B21" s="507"/>
      <c r="C21" s="507"/>
      <c r="D21" s="507"/>
      <c r="E21" s="507"/>
      <c r="F21" s="507"/>
      <c r="K21" s="505" t="s">
        <v>593</v>
      </c>
      <c r="N21" s="505">
        <f>560-535</f>
        <v>25</v>
      </c>
    </row>
    <row r="22" spans="1:14" ht="15.75" x14ac:dyDescent="0.2">
      <c r="A22" s="507"/>
      <c r="B22" s="504" t="s">
        <v>971</v>
      </c>
      <c r="C22" s="507"/>
      <c r="D22" s="507"/>
      <c r="E22" s="507"/>
      <c r="F22" s="507"/>
      <c r="I22" s="716"/>
      <c r="K22" s="505" t="s">
        <v>1856</v>
      </c>
      <c r="N22" s="505">
        <v>25</v>
      </c>
    </row>
    <row r="23" spans="1:14" x14ac:dyDescent="0.2">
      <c r="A23" s="507"/>
      <c r="B23" s="503" t="s">
        <v>972</v>
      </c>
      <c r="C23" s="507"/>
      <c r="D23" s="507"/>
      <c r="E23" s="512"/>
      <c r="F23" s="512"/>
    </row>
    <row r="24" spans="1:14" x14ac:dyDescent="0.2">
      <c r="A24" s="507"/>
      <c r="B24" s="503" t="s">
        <v>967</v>
      </c>
      <c r="C24" s="507"/>
      <c r="D24" s="507"/>
      <c r="E24" s="512"/>
      <c r="F24" s="512"/>
      <c r="K24" s="505" t="s">
        <v>1857</v>
      </c>
      <c r="N24" s="505">
        <v>65</v>
      </c>
    </row>
    <row r="25" spans="1:14" x14ac:dyDescent="0.2">
      <c r="A25" s="507"/>
      <c r="B25" s="503"/>
      <c r="C25" s="507"/>
      <c r="D25" s="507"/>
      <c r="E25" s="507"/>
      <c r="F25" s="507"/>
      <c r="K25" s="505" t="s">
        <v>1858</v>
      </c>
      <c r="N25" s="505">
        <v>65</v>
      </c>
    </row>
    <row r="26" spans="1:14" x14ac:dyDescent="0.2">
      <c r="A26" s="507"/>
      <c r="B26" s="503" t="s">
        <v>985</v>
      </c>
      <c r="C26" s="507"/>
      <c r="D26" s="507"/>
      <c r="E26" s="512"/>
      <c r="F26" s="512"/>
    </row>
    <row r="27" spans="1:14" x14ac:dyDescent="0.2">
      <c r="A27" s="507"/>
      <c r="B27" s="503" t="s">
        <v>986</v>
      </c>
      <c r="C27" s="507"/>
      <c r="D27" s="507"/>
      <c r="E27" s="512"/>
      <c r="F27" s="512"/>
    </row>
    <row r="28" spans="1:14" x14ac:dyDescent="0.2">
      <c r="A28" s="507"/>
      <c r="B28" s="503"/>
      <c r="C28" s="507"/>
      <c r="D28" s="507"/>
      <c r="E28" s="507"/>
      <c r="F28" s="507"/>
      <c r="G28" s="507"/>
      <c r="H28" s="507"/>
      <c r="I28" s="507"/>
      <c r="J28" s="507"/>
      <c r="K28" s="507"/>
    </row>
    <row r="29" spans="1:14" x14ac:dyDescent="0.2">
      <c r="A29" s="507"/>
      <c r="B29" s="503" t="s">
        <v>987</v>
      </c>
      <c r="C29" s="507"/>
      <c r="D29" s="507"/>
      <c r="E29" s="512"/>
      <c r="F29" s="512"/>
    </row>
    <row r="30" spans="1:14" x14ac:dyDescent="0.2">
      <c r="A30" s="507"/>
      <c r="B30" s="503" t="s">
        <v>967</v>
      </c>
      <c r="C30" s="507"/>
      <c r="D30" s="507"/>
      <c r="E30" s="512"/>
      <c r="F30" s="512"/>
    </row>
    <row r="31" spans="1:14" x14ac:dyDescent="0.2">
      <c r="A31" s="507"/>
      <c r="B31" s="503"/>
      <c r="C31" s="507"/>
      <c r="D31" s="507"/>
      <c r="E31" s="507"/>
      <c r="F31" s="507"/>
    </row>
    <row r="32" spans="1:14" ht="15.95" customHeight="1" x14ac:dyDescent="0.2">
      <c r="A32" s="507"/>
      <c r="B32" s="862" t="s">
        <v>1548</v>
      </c>
      <c r="C32" s="862"/>
      <c r="D32" s="862"/>
      <c r="E32" s="862"/>
      <c r="F32" s="862"/>
      <c r="G32" s="862"/>
      <c r="H32" s="862"/>
      <c r="I32" s="862"/>
      <c r="J32" s="862"/>
      <c r="K32" s="862"/>
    </row>
    <row r="33" spans="1:15" x14ac:dyDescent="0.2">
      <c r="A33" s="507"/>
      <c r="B33" s="862"/>
      <c r="C33" s="862"/>
      <c r="D33" s="862"/>
      <c r="E33" s="862"/>
      <c r="F33" s="862"/>
      <c r="G33" s="862"/>
      <c r="H33" s="862"/>
      <c r="I33" s="862"/>
      <c r="J33" s="862"/>
      <c r="K33" s="862"/>
    </row>
    <row r="34" spans="1:15" ht="15.6" customHeight="1" x14ac:dyDescent="0.2">
      <c r="A34" s="507"/>
      <c r="B34" s="862"/>
      <c r="C34" s="862"/>
      <c r="D34" s="862"/>
      <c r="E34" s="862"/>
      <c r="F34" s="862"/>
      <c r="G34" s="862"/>
      <c r="H34" s="862"/>
      <c r="I34" s="862"/>
      <c r="J34" s="862"/>
      <c r="K34" s="862"/>
    </row>
    <row r="35" spans="1:15" x14ac:dyDescent="0.2">
      <c r="A35" s="507"/>
      <c r="B35" s="862"/>
      <c r="C35" s="862"/>
      <c r="D35" s="862"/>
      <c r="E35" s="862"/>
      <c r="F35" s="862"/>
      <c r="G35" s="862"/>
      <c r="H35" s="862"/>
      <c r="I35" s="862"/>
      <c r="J35" s="862"/>
      <c r="K35" s="862"/>
      <c r="O35" s="506" t="s">
        <v>978</v>
      </c>
    </row>
    <row r="36" spans="1:15" x14ac:dyDescent="0.2">
      <c r="A36" s="507"/>
      <c r="B36" s="862"/>
      <c r="C36" s="862"/>
      <c r="D36" s="862"/>
      <c r="E36" s="862"/>
      <c r="F36" s="862"/>
      <c r="G36" s="862"/>
      <c r="H36" s="862"/>
      <c r="I36" s="862"/>
      <c r="J36" s="862"/>
      <c r="K36" s="862"/>
    </row>
    <row r="37" spans="1:15" x14ac:dyDescent="0.2">
      <c r="A37" s="507"/>
      <c r="B37" s="862"/>
      <c r="C37" s="862"/>
      <c r="D37" s="862"/>
      <c r="E37" s="862"/>
      <c r="F37" s="862"/>
      <c r="G37" s="862"/>
      <c r="H37" s="862"/>
      <c r="I37" s="862"/>
      <c r="J37" s="862"/>
      <c r="K37" s="862"/>
      <c r="O37" s="506" t="s">
        <v>998</v>
      </c>
    </row>
    <row r="38" spans="1:15" ht="15.75" x14ac:dyDescent="0.25">
      <c r="A38" s="507"/>
      <c r="B38" s="510" t="s">
        <v>988</v>
      </c>
      <c r="C38" s="507"/>
      <c r="D38" s="507"/>
      <c r="E38" s="507"/>
      <c r="F38" s="532" t="s">
        <v>114</v>
      </c>
    </row>
    <row r="39" spans="1:15" x14ac:dyDescent="0.2">
      <c r="A39" s="507"/>
      <c r="B39" s="647" t="s">
        <v>1859</v>
      </c>
      <c r="C39" s="507"/>
      <c r="D39" s="507"/>
      <c r="E39" s="507"/>
      <c r="F39" s="507"/>
      <c r="O39" s="506" t="s">
        <v>1006</v>
      </c>
    </row>
    <row r="40" spans="1:15" ht="15.75" x14ac:dyDescent="0.2">
      <c r="B40" s="504" t="s">
        <v>36</v>
      </c>
    </row>
    <row r="41" spans="1:15" x14ac:dyDescent="0.2">
      <c r="A41" s="507"/>
      <c r="B41" s="503" t="s">
        <v>989</v>
      </c>
      <c r="C41" s="507"/>
      <c r="D41" s="507"/>
      <c r="E41" s="712"/>
      <c r="O41" s="505" t="s">
        <v>1011</v>
      </c>
    </row>
    <row r="42" spans="1:15" x14ac:dyDescent="0.2">
      <c r="B42" s="503" t="s">
        <v>217</v>
      </c>
      <c r="E42" s="509"/>
      <c r="H42" s="523" t="str">
        <f>IF(F44&gt;0,"DR PPE","CR PPE")</f>
        <v>CR PPE</v>
      </c>
      <c r="I42" s="523"/>
      <c r="J42" s="523"/>
      <c r="K42" s="524">
        <f>F44</f>
        <v>0</v>
      </c>
      <c r="L42" s="523"/>
    </row>
    <row r="43" spans="1:15" x14ac:dyDescent="0.2">
      <c r="B43" s="503" t="s">
        <v>277</v>
      </c>
      <c r="E43" s="509"/>
      <c r="H43" s="523" t="str">
        <f>IF(E41="Yes","CR Revaluation surplus"," ")</f>
        <v xml:space="preserve"> </v>
      </c>
      <c r="I43" s="523"/>
      <c r="J43" s="523"/>
      <c r="K43" s="523"/>
      <c r="L43" s="524">
        <f>IF(E41="Yes",F44,0)</f>
        <v>0</v>
      </c>
    </row>
    <row r="44" spans="1:15" x14ac:dyDescent="0.2">
      <c r="F44" s="511">
        <f>E43-E42</f>
        <v>0</v>
      </c>
      <c r="H44" s="523"/>
      <c r="I44" s="523"/>
      <c r="J44" s="523"/>
      <c r="K44" s="523"/>
      <c r="L44" s="523"/>
      <c r="O44" s="505" t="s">
        <v>1012</v>
      </c>
    </row>
    <row r="45" spans="1:15" x14ac:dyDescent="0.2">
      <c r="F45" s="511"/>
      <c r="H45" s="523"/>
      <c r="I45" s="523"/>
      <c r="J45" s="523"/>
      <c r="K45" s="523"/>
      <c r="L45" s="523"/>
    </row>
    <row r="46" spans="1:15" ht="15.75" x14ac:dyDescent="0.2">
      <c r="B46" s="504" t="s">
        <v>1052</v>
      </c>
      <c r="H46" s="523"/>
      <c r="I46" s="523"/>
      <c r="J46" s="523"/>
      <c r="K46" s="523"/>
      <c r="L46" s="523"/>
      <c r="O46" s="505" t="s">
        <v>1013</v>
      </c>
    </row>
    <row r="47" spans="1:15" x14ac:dyDescent="0.2">
      <c r="B47" s="503" t="s">
        <v>989</v>
      </c>
      <c r="E47" s="512"/>
      <c r="H47" s="523"/>
      <c r="I47" s="523"/>
      <c r="J47" s="523"/>
      <c r="K47" s="523"/>
      <c r="L47" s="523"/>
    </row>
    <row r="48" spans="1:15" x14ac:dyDescent="0.2">
      <c r="B48" s="503" t="s">
        <v>217</v>
      </c>
      <c r="E48" s="509"/>
      <c r="H48" s="523" t="s">
        <v>1066</v>
      </c>
      <c r="I48" s="523"/>
      <c r="J48" s="523"/>
      <c r="K48" s="524">
        <f>F50</f>
        <v>0</v>
      </c>
      <c r="L48" s="523"/>
    </row>
    <row r="49" spans="2:21" x14ac:dyDescent="0.2">
      <c r="B49" s="503" t="s">
        <v>277</v>
      </c>
      <c r="E49" s="509"/>
      <c r="H49" s="523" t="str">
        <f>IF(E47="Yes","CR Revaluation surplus"," ")</f>
        <v xml:space="preserve"> </v>
      </c>
      <c r="I49" s="523"/>
      <c r="J49" s="523"/>
      <c r="K49" s="523"/>
      <c r="L49" s="524">
        <f>IF(E47="Yes",F50,0)</f>
        <v>0</v>
      </c>
    </row>
    <row r="50" spans="2:21" ht="15.75" x14ac:dyDescent="0.2">
      <c r="B50" s="504"/>
      <c r="F50" s="511">
        <f>E49-E48</f>
        <v>0</v>
      </c>
      <c r="H50" s="523"/>
      <c r="I50" s="523"/>
      <c r="J50" s="523"/>
      <c r="K50" s="523"/>
      <c r="L50" s="523"/>
      <c r="O50" s="505" t="s">
        <v>1008</v>
      </c>
      <c r="T50" s="526"/>
    </row>
    <row r="51" spans="2:21" ht="15.75" x14ac:dyDescent="0.2">
      <c r="B51" s="504" t="s">
        <v>56</v>
      </c>
      <c r="H51" s="523"/>
      <c r="I51" s="523"/>
      <c r="J51" s="523"/>
      <c r="K51" s="523"/>
      <c r="L51" s="523"/>
    </row>
    <row r="52" spans="2:21" x14ac:dyDescent="0.2">
      <c r="B52" s="503" t="s">
        <v>217</v>
      </c>
      <c r="E52" s="512"/>
      <c r="H52" s="523" t="s">
        <v>973</v>
      </c>
      <c r="I52" s="523"/>
      <c r="J52" s="523"/>
      <c r="K52" s="523">
        <f>F54</f>
        <v>0</v>
      </c>
      <c r="L52" s="523"/>
      <c r="O52" s="505" t="s">
        <v>306</v>
      </c>
      <c r="T52" s="505">
        <f>$T$50*$K$52</f>
        <v>0</v>
      </c>
    </row>
    <row r="53" spans="2:21" x14ac:dyDescent="0.2">
      <c r="B53" s="503" t="s">
        <v>277</v>
      </c>
      <c r="E53" s="512"/>
      <c r="H53" s="523"/>
      <c r="I53" s="523"/>
      <c r="J53" s="523"/>
      <c r="K53" s="523"/>
      <c r="L53" s="523"/>
      <c r="O53" s="505" t="s">
        <v>304</v>
      </c>
      <c r="U53" s="505">
        <f>$T$50*$K$52</f>
        <v>0</v>
      </c>
    </row>
    <row r="54" spans="2:21" x14ac:dyDescent="0.2">
      <c r="F54" s="505">
        <f>E53-E52</f>
        <v>0</v>
      </c>
      <c r="H54" s="523"/>
      <c r="I54" s="523"/>
      <c r="J54" s="523"/>
      <c r="K54" s="523"/>
      <c r="L54" s="523"/>
    </row>
    <row r="55" spans="2:21" x14ac:dyDescent="0.2">
      <c r="B55" s="506" t="s">
        <v>1550</v>
      </c>
      <c r="H55" s="523"/>
      <c r="I55" s="523"/>
      <c r="J55" s="523"/>
      <c r="K55" s="523"/>
      <c r="L55" s="523"/>
      <c r="O55" s="505" t="s">
        <v>1009</v>
      </c>
      <c r="T55" s="526"/>
    </row>
    <row r="56" spans="2:21" ht="15.75" x14ac:dyDescent="0.25">
      <c r="B56" s="514" t="s">
        <v>1007</v>
      </c>
      <c r="H56" s="523"/>
      <c r="I56" s="523"/>
      <c r="J56" s="523"/>
      <c r="K56" s="523"/>
      <c r="L56" s="523"/>
      <c r="O56" s="505" t="s">
        <v>1010</v>
      </c>
      <c r="T56" s="529"/>
    </row>
    <row r="57" spans="2:21" x14ac:dyDescent="0.2">
      <c r="B57" s="505" t="s">
        <v>217</v>
      </c>
      <c r="E57" s="512"/>
      <c r="H57" s="523" t="str">
        <f>IF(F59&gt;0,"DR bond liability","CR bond liability")</f>
        <v>CR bond liability</v>
      </c>
      <c r="I57" s="523"/>
      <c r="J57" s="523"/>
      <c r="K57" s="523"/>
      <c r="L57" s="523">
        <f>IF(F59&gt;0,F59,-F59)</f>
        <v>0</v>
      </c>
    </row>
    <row r="58" spans="2:21" x14ac:dyDescent="0.2">
      <c r="B58" s="505" t="s">
        <v>277</v>
      </c>
      <c r="E58" s="512"/>
      <c r="H58" s="523"/>
      <c r="I58" s="523"/>
      <c r="J58" s="523"/>
      <c r="K58" s="523"/>
      <c r="L58" s="523"/>
      <c r="O58" s="505" t="s">
        <v>593</v>
      </c>
      <c r="T58" s="505">
        <f>E57*T55-E58*T56</f>
        <v>0</v>
      </c>
    </row>
    <row r="59" spans="2:21" x14ac:dyDescent="0.2">
      <c r="F59" s="505">
        <f>-(E58-E57)</f>
        <v>0</v>
      </c>
      <c r="H59" s="523"/>
      <c r="I59" s="523"/>
      <c r="J59" s="523"/>
      <c r="K59" s="523"/>
      <c r="L59" s="523"/>
      <c r="O59" s="505" t="s">
        <v>1015</v>
      </c>
      <c r="U59" s="505">
        <f>E57*T55-E58*T56</f>
        <v>0</v>
      </c>
    </row>
    <row r="60" spans="2:21" ht="15.75" x14ac:dyDescent="0.25">
      <c r="B60" s="514" t="s">
        <v>379</v>
      </c>
      <c r="H60" s="523"/>
      <c r="I60" s="523"/>
      <c r="J60" s="523"/>
      <c r="K60" s="523"/>
      <c r="L60" s="523"/>
    </row>
    <row r="61" spans="2:21" x14ac:dyDescent="0.2">
      <c r="B61" s="505" t="s">
        <v>217</v>
      </c>
      <c r="E61" s="512"/>
      <c r="H61" s="523" t="s">
        <v>990</v>
      </c>
      <c r="I61" s="523"/>
      <c r="J61" s="523"/>
      <c r="K61" s="523">
        <f>F63</f>
        <v>0</v>
      </c>
      <c r="L61" s="523"/>
    </row>
    <row r="62" spans="2:21" x14ac:dyDescent="0.2">
      <c r="B62" s="505" t="s">
        <v>277</v>
      </c>
      <c r="E62" s="512"/>
      <c r="H62" s="523"/>
      <c r="I62" s="523"/>
      <c r="J62" s="523"/>
      <c r="K62" s="523"/>
      <c r="L62" s="523"/>
      <c r="O62" s="505" t="s">
        <v>1014</v>
      </c>
      <c r="T62" s="505">
        <f>-U59+T44+T52</f>
        <v>0</v>
      </c>
    </row>
    <row r="63" spans="2:21" x14ac:dyDescent="0.2">
      <c r="F63" s="505">
        <f>E62-E61</f>
        <v>0</v>
      </c>
      <c r="H63" s="523"/>
      <c r="I63" s="523"/>
      <c r="J63" s="523"/>
      <c r="K63" s="523"/>
      <c r="L63" s="523"/>
    </row>
    <row r="64" spans="2:21" x14ac:dyDescent="0.2">
      <c r="B64" s="506" t="s">
        <v>1549</v>
      </c>
      <c r="H64" s="523"/>
      <c r="I64" s="523"/>
      <c r="J64" s="523"/>
      <c r="K64" s="523"/>
      <c r="L64" s="523"/>
      <c r="O64" s="505" t="s">
        <v>1016</v>
      </c>
      <c r="T64" s="512"/>
    </row>
    <row r="65" spans="2:21" ht="15.75" x14ac:dyDescent="0.2">
      <c r="B65" s="504" t="s">
        <v>974</v>
      </c>
      <c r="H65" s="523"/>
      <c r="I65" s="523"/>
      <c r="J65" s="523"/>
      <c r="K65" s="523"/>
      <c r="L65" s="523"/>
    </row>
    <row r="66" spans="2:21" x14ac:dyDescent="0.2">
      <c r="B66" s="503" t="s">
        <v>975</v>
      </c>
      <c r="F66" s="513"/>
      <c r="H66" s="523" t="s">
        <v>976</v>
      </c>
      <c r="I66" s="523"/>
      <c r="J66" s="523"/>
      <c r="K66" s="524">
        <f>F66+F69</f>
        <v>0</v>
      </c>
      <c r="L66" s="523"/>
    </row>
    <row r="67" spans="2:21" x14ac:dyDescent="0.2">
      <c r="O67" s="505" t="s">
        <v>1017</v>
      </c>
      <c r="T67" s="505">
        <f>T64</f>
        <v>0</v>
      </c>
    </row>
    <row r="68" spans="2:21" x14ac:dyDescent="0.2">
      <c r="B68" s="520" t="s">
        <v>977</v>
      </c>
      <c r="O68" s="505" t="s">
        <v>1018</v>
      </c>
      <c r="U68" s="505">
        <f>T64</f>
        <v>0</v>
      </c>
    </row>
    <row r="69" spans="2:21" x14ac:dyDescent="0.2">
      <c r="B69" s="505" t="s">
        <v>979</v>
      </c>
      <c r="F69" s="509"/>
      <c r="K69" s="511"/>
    </row>
    <row r="71" spans="2:21" ht="15.75" x14ac:dyDescent="0.25">
      <c r="B71" s="514" t="s">
        <v>653</v>
      </c>
    </row>
    <row r="72" spans="2:21" x14ac:dyDescent="0.2">
      <c r="E72" s="512"/>
      <c r="H72" s="505" t="s">
        <v>370</v>
      </c>
      <c r="K72" s="505">
        <f>F74</f>
        <v>0</v>
      </c>
    </row>
    <row r="73" spans="2:21" x14ac:dyDescent="0.2">
      <c r="E73" s="512"/>
    </row>
    <row r="74" spans="2:21" x14ac:dyDescent="0.2">
      <c r="F74" s="505">
        <f>E73-E72</f>
        <v>0</v>
      </c>
      <c r="O74" s="506" t="s">
        <v>1774</v>
      </c>
    </row>
    <row r="75" spans="2:21" x14ac:dyDescent="0.2">
      <c r="F75" s="518"/>
      <c r="K75" s="511"/>
    </row>
    <row r="76" spans="2:21" ht="15.75" x14ac:dyDescent="0.25">
      <c r="B76" s="514" t="s">
        <v>991</v>
      </c>
      <c r="F76" s="518"/>
      <c r="K76" s="511"/>
    </row>
    <row r="77" spans="2:21" x14ac:dyDescent="0.2">
      <c r="B77" s="505" t="s">
        <v>992</v>
      </c>
      <c r="F77" s="509"/>
      <c r="H77" s="505" t="s">
        <v>993</v>
      </c>
      <c r="L77" s="511">
        <f>-F77</f>
        <v>0</v>
      </c>
    </row>
    <row r="78" spans="2:21" x14ac:dyDescent="0.2">
      <c r="B78" s="505" t="s">
        <v>994</v>
      </c>
      <c r="F78" s="517">
        <f>SUM(F38:F77)</f>
        <v>0</v>
      </c>
    </row>
    <row r="79" spans="2:21" x14ac:dyDescent="0.2">
      <c r="F79" s="515"/>
    </row>
    <row r="80" spans="2:21" x14ac:dyDescent="0.2">
      <c r="B80" s="505" t="s">
        <v>980</v>
      </c>
      <c r="F80" s="509"/>
    </row>
    <row r="81" spans="2:13" ht="16.5" thickBot="1" x14ac:dyDescent="0.3">
      <c r="B81" s="514" t="s">
        <v>981</v>
      </c>
      <c r="C81" s="514"/>
      <c r="D81" s="514"/>
      <c r="E81" s="514"/>
      <c r="F81" s="521">
        <f>SUM(F78:F80)</f>
        <v>0</v>
      </c>
      <c r="H81" s="514" t="s">
        <v>753</v>
      </c>
      <c r="K81" s="363">
        <f>SUM(K42:K80)</f>
        <v>0</v>
      </c>
      <c r="L81" s="363">
        <f>SUM(L42:L80)</f>
        <v>0</v>
      </c>
      <c r="M81" s="363">
        <f>F78-K81+L81</f>
        <v>0</v>
      </c>
    </row>
    <row r="82" spans="2:13" ht="15.75" thickTop="1" x14ac:dyDescent="0.2"/>
    <row r="84" spans="2:13" x14ac:dyDescent="0.2">
      <c r="B84" s="519" t="s">
        <v>1005</v>
      </c>
    </row>
    <row r="86" spans="2:13" ht="15.75" x14ac:dyDescent="0.25">
      <c r="B86" s="514" t="s">
        <v>997</v>
      </c>
      <c r="F86" s="522">
        <f>F78-(SUM(F88:F89))</f>
        <v>0</v>
      </c>
    </row>
    <row r="87" spans="2:13" ht="15.75" x14ac:dyDescent="0.25">
      <c r="B87" s="514" t="s">
        <v>996</v>
      </c>
    </row>
    <row r="88" spans="2:13" x14ac:dyDescent="0.2">
      <c r="B88" s="505" t="s">
        <v>730</v>
      </c>
      <c r="F88" s="512">
        <f>SUMIF(H42:H80,"CR revaluation surplus",L42:L80)</f>
        <v>0</v>
      </c>
    </row>
    <row r="89" spans="2:13" x14ac:dyDescent="0.2">
      <c r="B89" s="505" t="s">
        <v>497</v>
      </c>
      <c r="F89" s="512">
        <f>SUMIF(H42:H80,"CR retained earnings",L42:L80)</f>
        <v>0</v>
      </c>
    </row>
    <row r="91" spans="2:13" x14ac:dyDescent="0.2">
      <c r="B91" s="506" t="s">
        <v>1551</v>
      </c>
    </row>
    <row r="93" spans="2:13" x14ac:dyDescent="0.2">
      <c r="B93" s="505" t="s">
        <v>1004</v>
      </c>
      <c r="C93" s="526"/>
    </row>
    <row r="95" spans="2:13" x14ac:dyDescent="0.2">
      <c r="B95" s="505" t="s">
        <v>857</v>
      </c>
      <c r="F95" s="511">
        <f>G10</f>
        <v>11041.964421284338</v>
      </c>
    </row>
    <row r="96" spans="2:13" x14ac:dyDescent="0.2">
      <c r="B96" s="505" t="s">
        <v>1003</v>
      </c>
      <c r="F96" s="511">
        <f>F99*C93</f>
        <v>0</v>
      </c>
    </row>
    <row r="97" spans="2:6" x14ac:dyDescent="0.2">
      <c r="F97" s="511">
        <f>F95+F96</f>
        <v>11041.964421284338</v>
      </c>
    </row>
    <row r="98" spans="2:6" x14ac:dyDescent="0.2">
      <c r="F98" s="511"/>
    </row>
    <row r="99" spans="2:6" x14ac:dyDescent="0.2">
      <c r="B99" s="505" t="s">
        <v>1002</v>
      </c>
      <c r="F99" s="511">
        <f>F81</f>
        <v>0</v>
      </c>
    </row>
    <row r="100" spans="2:6" ht="15.75" thickBot="1" x14ac:dyDescent="0.25">
      <c r="B100" s="505" t="s">
        <v>220</v>
      </c>
      <c r="F100" s="516">
        <f>F97-F99</f>
        <v>11041.964421284338</v>
      </c>
    </row>
    <row r="101" spans="2:6" ht="15.75" thickTop="1" x14ac:dyDescent="0.2"/>
  </sheetData>
  <mergeCells count="1">
    <mergeCell ref="B32:K37"/>
  </mergeCells>
  <hyperlinks>
    <hyperlink ref="A1" location="Main!A1" display="Main" xr:uid="{1F14A576-2725-4D10-B209-0B5EFFD16574}"/>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zoomScale="85" zoomScaleNormal="85" workbookViewId="0"/>
  </sheetViews>
  <sheetFormatPr defaultRowHeight="15" x14ac:dyDescent="0.25"/>
  <cols>
    <col min="1" max="1" width="8.7109375" style="226"/>
    <col min="2" max="2" width="73.5703125" style="226" customWidth="1"/>
    <col min="3" max="3" width="93.140625" style="226" hidden="1" customWidth="1"/>
    <col min="4" max="4" width="17.28515625" style="243" customWidth="1"/>
    <col min="5" max="5" width="14.42578125" style="243" customWidth="1"/>
    <col min="6" max="10" width="13.42578125" style="243" customWidth="1"/>
    <col min="11" max="11" width="12.140625" style="243" customWidth="1"/>
    <col min="12" max="12" width="13.42578125" style="243" customWidth="1"/>
    <col min="13" max="13" width="10.42578125" style="243" customWidth="1"/>
    <col min="14" max="14" width="10.85546875" style="243" customWidth="1"/>
    <col min="15" max="15" width="15" style="243" customWidth="1"/>
    <col min="16" max="16" width="11.5703125" style="243" customWidth="1"/>
    <col min="17" max="17" width="15" style="243" hidden="1" customWidth="1"/>
    <col min="18" max="18" width="11.5703125" style="243" hidden="1" customWidth="1"/>
    <col min="19" max="19" width="14.140625" style="243" hidden="1" customWidth="1"/>
    <col min="20" max="20" width="14.85546875" style="243" hidden="1" customWidth="1"/>
    <col min="21" max="24" width="11.5703125" style="243" hidden="1" customWidth="1"/>
    <col min="25" max="25" width="10.42578125" style="243" hidden="1" customWidth="1"/>
    <col min="26" max="26" width="10" style="243" hidden="1" customWidth="1"/>
    <col min="27" max="27" width="17.28515625" style="243"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1:42" ht="15.75" thickBot="1" x14ac:dyDescent="0.3">
      <c r="A1" s="161" t="s">
        <v>1984</v>
      </c>
    </row>
    <row r="2" spans="1:42" ht="15.75" thickBot="1" x14ac:dyDescent="0.3">
      <c r="AJ2" s="431" t="s">
        <v>687</v>
      </c>
      <c r="AK2" s="432"/>
      <c r="AL2" s="433" t="s">
        <v>858</v>
      </c>
      <c r="AM2" s="434">
        <v>0.3</v>
      </c>
      <c r="AN2" s="425"/>
    </row>
    <row r="3" spans="1:42" ht="15.75" thickBot="1" x14ac:dyDescent="0.3">
      <c r="AC3" s="483">
        <v>1</v>
      </c>
      <c r="AD3" t="s">
        <v>355</v>
      </c>
      <c r="AE3">
        <f>IF(AM12&lt;0,-AM12," ")</f>
        <v>799</v>
      </c>
      <c r="AJ3" s="435"/>
      <c r="AK3" s="436"/>
      <c r="AL3" s="476" t="s">
        <v>141</v>
      </c>
      <c r="AM3" s="140" t="s">
        <v>141</v>
      </c>
      <c r="AN3" s="437"/>
    </row>
    <row r="4" spans="1:42" x14ac:dyDescent="0.25">
      <c r="AD4" s="3" t="s">
        <v>1068</v>
      </c>
      <c r="AF4">
        <f>IF(AM12&lt;0,-AM12," ")</f>
        <v>799</v>
      </c>
      <c r="AJ4" s="435" t="s">
        <v>857</v>
      </c>
      <c r="AK4" s="436"/>
      <c r="AL4" s="436"/>
      <c r="AM4" s="438">
        <v>14000</v>
      </c>
      <c r="AN4" s="437"/>
    </row>
    <row r="5" spans="1:42" x14ac:dyDescent="0.25">
      <c r="AJ5" s="435"/>
      <c r="AK5" s="436"/>
      <c r="AL5" s="439"/>
      <c r="AM5" s="439"/>
      <c r="AN5" s="437"/>
    </row>
    <row r="6" spans="1:42" ht="15.75" x14ac:dyDescent="0.25">
      <c r="B6" s="224" t="s">
        <v>636</v>
      </c>
      <c r="C6" s="853" t="s">
        <v>637</v>
      </c>
      <c r="D6" s="225"/>
      <c r="E6" s="297"/>
      <c r="F6" s="396"/>
      <c r="G6" s="396"/>
      <c r="H6" s="396"/>
      <c r="I6" s="396"/>
      <c r="J6" s="396"/>
      <c r="K6" s="396"/>
      <c r="L6" s="297"/>
      <c r="M6" s="297"/>
      <c r="N6" s="297"/>
      <c r="O6" s="297"/>
      <c r="P6" s="297"/>
      <c r="Q6" s="297"/>
      <c r="R6" s="297"/>
      <c r="S6" s="297"/>
      <c r="T6" s="297"/>
      <c r="U6" s="297"/>
      <c r="V6" s="297"/>
      <c r="W6" s="297"/>
      <c r="X6" s="297"/>
      <c r="Y6" s="297"/>
      <c r="Z6" s="297"/>
      <c r="AA6" s="225"/>
      <c r="AJ6" s="435" t="s">
        <v>678</v>
      </c>
      <c r="AK6" s="436"/>
      <c r="AL6" s="68">
        <v>18000</v>
      </c>
      <c r="AM6" s="83"/>
      <c r="AN6" s="437"/>
    </row>
    <row r="7" spans="1:42" ht="15.75" x14ac:dyDescent="0.25">
      <c r="B7" s="227" t="s">
        <v>638</v>
      </c>
      <c r="C7" s="858"/>
      <c r="D7" s="225"/>
      <c r="E7" s="850">
        <v>1</v>
      </c>
      <c r="F7" s="856"/>
      <c r="G7" s="850">
        <v>2</v>
      </c>
      <c r="H7" s="851"/>
      <c r="I7" s="850">
        <v>3</v>
      </c>
      <c r="J7" s="856"/>
      <c r="K7" s="850">
        <v>4</v>
      </c>
      <c r="L7" s="851"/>
      <c r="M7" s="856">
        <v>5</v>
      </c>
      <c r="N7" s="851"/>
      <c r="O7" s="850">
        <v>6</v>
      </c>
      <c r="P7" s="851"/>
      <c r="Q7" s="850">
        <v>6</v>
      </c>
      <c r="R7" s="851"/>
      <c r="S7" s="850">
        <v>7</v>
      </c>
      <c r="T7" s="851"/>
      <c r="U7" s="850">
        <v>8</v>
      </c>
      <c r="V7" s="851"/>
      <c r="W7" s="850">
        <v>9</v>
      </c>
      <c r="X7" s="851"/>
      <c r="Y7" s="850">
        <v>10</v>
      </c>
      <c r="Z7" s="851"/>
      <c r="AA7" s="308"/>
      <c r="AJ7" s="435" t="s">
        <v>660</v>
      </c>
      <c r="AK7" s="440"/>
      <c r="AL7" s="68"/>
      <c r="AM7" s="440"/>
      <c r="AN7" s="437"/>
    </row>
    <row r="8" spans="1:42" ht="16.5" thickBot="1" x14ac:dyDescent="0.3">
      <c r="B8" s="228" t="s">
        <v>852</v>
      </c>
      <c r="C8" s="859"/>
      <c r="D8" s="229" t="s">
        <v>865</v>
      </c>
      <c r="E8" s="298" t="s">
        <v>642</v>
      </c>
      <c r="F8" s="281" t="s">
        <v>643</v>
      </c>
      <c r="G8" s="298" t="s">
        <v>642</v>
      </c>
      <c r="H8" s="299" t="s">
        <v>643</v>
      </c>
      <c r="I8" s="298" t="s">
        <v>642</v>
      </c>
      <c r="J8" s="281" t="s">
        <v>643</v>
      </c>
      <c r="K8" s="298" t="s">
        <v>642</v>
      </c>
      <c r="L8" s="299" t="s">
        <v>643</v>
      </c>
      <c r="M8" s="291" t="s">
        <v>642</v>
      </c>
      <c r="N8" s="299" t="s">
        <v>643</v>
      </c>
      <c r="O8" s="298" t="s">
        <v>642</v>
      </c>
      <c r="P8" s="299" t="s">
        <v>643</v>
      </c>
      <c r="Q8" s="298" t="s">
        <v>642</v>
      </c>
      <c r="R8" s="299" t="s">
        <v>643</v>
      </c>
      <c r="S8" s="298" t="s">
        <v>642</v>
      </c>
      <c r="T8" s="299" t="s">
        <v>643</v>
      </c>
      <c r="U8" s="298" t="s">
        <v>642</v>
      </c>
      <c r="V8" s="299" t="s">
        <v>643</v>
      </c>
      <c r="W8" s="298" t="s">
        <v>642</v>
      </c>
      <c r="X8" s="299" t="s">
        <v>643</v>
      </c>
      <c r="Y8" s="298" t="s">
        <v>642</v>
      </c>
      <c r="Z8" s="299" t="s">
        <v>643</v>
      </c>
      <c r="AA8" s="291" t="s">
        <v>644</v>
      </c>
      <c r="AJ8" s="435" t="s">
        <v>19</v>
      </c>
      <c r="AK8" s="436"/>
      <c r="AL8" s="68">
        <v>27230</v>
      </c>
      <c r="AM8" s="441"/>
      <c r="AN8" s="437"/>
    </row>
    <row r="9" spans="1:42" ht="15.75" x14ac:dyDescent="0.25">
      <c r="B9" s="230"/>
      <c r="C9" s="231" t="s">
        <v>645</v>
      </c>
      <c r="D9" s="229" t="s">
        <v>141</v>
      </c>
      <c r="E9" s="298" t="s">
        <v>141</v>
      </c>
      <c r="F9" s="281" t="s">
        <v>141</v>
      </c>
      <c r="G9" s="298" t="s">
        <v>141</v>
      </c>
      <c r="H9" s="299" t="s">
        <v>141</v>
      </c>
      <c r="I9" s="298" t="s">
        <v>141</v>
      </c>
      <c r="J9" s="281" t="s">
        <v>141</v>
      </c>
      <c r="K9" s="298" t="s">
        <v>141</v>
      </c>
      <c r="L9" s="299" t="s">
        <v>141</v>
      </c>
      <c r="M9" s="291" t="s">
        <v>141</v>
      </c>
      <c r="N9" s="229" t="s">
        <v>141</v>
      </c>
      <c r="O9" s="229" t="s">
        <v>141</v>
      </c>
      <c r="P9" s="229" t="s">
        <v>141</v>
      </c>
      <c r="Q9" s="229" t="s">
        <v>141</v>
      </c>
      <c r="R9" s="229" t="s">
        <v>141</v>
      </c>
      <c r="S9" s="229" t="s">
        <v>141</v>
      </c>
      <c r="T9" s="229" t="s">
        <v>141</v>
      </c>
      <c r="U9" s="229" t="s">
        <v>141</v>
      </c>
      <c r="V9" s="229" t="s">
        <v>141</v>
      </c>
      <c r="W9" s="229" t="s">
        <v>141</v>
      </c>
      <c r="X9" s="229" t="s">
        <v>141</v>
      </c>
      <c r="Y9" s="229" t="s">
        <v>141</v>
      </c>
      <c r="Z9" s="229" t="s">
        <v>141</v>
      </c>
      <c r="AA9" s="291" t="s">
        <v>10</v>
      </c>
      <c r="AJ9" s="435" t="s">
        <v>730</v>
      </c>
      <c r="AK9" s="440"/>
      <c r="AL9" s="68">
        <v>4100</v>
      </c>
      <c r="AM9" s="83"/>
      <c r="AN9" s="437"/>
    </row>
    <row r="10" spans="1:42" ht="15.75" x14ac:dyDescent="0.25">
      <c r="B10" s="227" t="s">
        <v>646</v>
      </c>
      <c r="C10" s="232"/>
      <c r="D10" s="233"/>
      <c r="E10" s="300"/>
      <c r="F10" s="282"/>
      <c r="G10" s="380"/>
      <c r="H10" s="381"/>
      <c r="I10" s="380"/>
      <c r="J10" s="318"/>
      <c r="K10" s="300"/>
      <c r="L10" s="301"/>
      <c r="M10" s="292"/>
      <c r="N10" s="301"/>
      <c r="O10" s="300"/>
      <c r="P10" s="301"/>
      <c r="Q10" s="300"/>
      <c r="R10" s="301"/>
      <c r="S10" s="380"/>
      <c r="T10" s="381"/>
      <c r="U10" s="380"/>
      <c r="V10" s="381"/>
      <c r="W10" s="318"/>
      <c r="X10" s="318"/>
      <c r="Y10" s="300"/>
      <c r="Z10" s="301"/>
      <c r="AA10" s="292"/>
      <c r="AJ10" s="435"/>
      <c r="AK10" s="436"/>
      <c r="AL10" s="471">
        <f>SUM(AL6:AL9)</f>
        <v>49330</v>
      </c>
      <c r="AM10" s="436"/>
      <c r="AN10" s="472"/>
      <c r="AP10" t="s">
        <v>1069</v>
      </c>
    </row>
    <row r="11" spans="1:42" ht="15.75" x14ac:dyDescent="0.25">
      <c r="B11" s="227" t="s">
        <v>73</v>
      </c>
      <c r="C11" s="232"/>
      <c r="D11" s="233"/>
      <c r="E11" s="300"/>
      <c r="F11" s="282"/>
      <c r="G11" s="380"/>
      <c r="H11" s="381"/>
      <c r="I11" s="380"/>
      <c r="J11" s="318"/>
      <c r="K11" s="300"/>
      <c r="L11" s="301"/>
      <c r="M11" s="292"/>
      <c r="N11" s="301"/>
      <c r="O11" s="300"/>
      <c r="P11" s="301"/>
      <c r="Q11" s="300"/>
      <c r="R11" s="301"/>
      <c r="S11" s="380"/>
      <c r="T11" s="381"/>
      <c r="U11" s="380"/>
      <c r="V11" s="381"/>
      <c r="W11" s="318"/>
      <c r="X11" s="318"/>
      <c r="Y11" s="300"/>
      <c r="Z11" s="301"/>
      <c r="AA11" s="292"/>
      <c r="AJ11" s="435" t="s">
        <v>859</v>
      </c>
      <c r="AK11" s="436"/>
      <c r="AL11" s="436"/>
      <c r="AM11" s="473">
        <f>AL10*AM2</f>
        <v>14799</v>
      </c>
      <c r="AN11" s="472"/>
    </row>
    <row r="12" spans="1:42" ht="15.75" thickBot="1" x14ac:dyDescent="0.3">
      <c r="B12" s="230" t="s">
        <v>647</v>
      </c>
      <c r="C12" s="232"/>
      <c r="D12" s="234">
        <v>4500</v>
      </c>
      <c r="E12" s="302"/>
      <c r="F12" s="323"/>
      <c r="G12" s="382"/>
      <c r="H12" s="377"/>
      <c r="I12" s="382"/>
      <c r="J12" s="319"/>
      <c r="K12" s="302"/>
      <c r="L12" s="303"/>
      <c r="M12" s="293"/>
      <c r="N12" s="303"/>
      <c r="O12" s="302"/>
      <c r="P12" s="303"/>
      <c r="Q12" s="302"/>
      <c r="R12" s="303"/>
      <c r="S12" s="382"/>
      <c r="T12" s="377"/>
      <c r="U12" s="382"/>
      <c r="V12" s="377"/>
      <c r="W12" s="319"/>
      <c r="X12" s="319"/>
      <c r="Y12" s="302"/>
      <c r="Z12" s="303"/>
      <c r="AA12" s="309">
        <f>SUM(D12:Z12)</f>
        <v>4500</v>
      </c>
      <c r="AJ12" s="443" t="s">
        <v>220</v>
      </c>
      <c r="AK12" s="444"/>
      <c r="AL12" s="474"/>
      <c r="AM12" s="475">
        <f>AM4-AM11</f>
        <v>-799</v>
      </c>
      <c r="AN12" s="445"/>
      <c r="AP12" t="s">
        <v>877</v>
      </c>
    </row>
    <row r="13" spans="1:42" x14ac:dyDescent="0.25">
      <c r="B13" s="230"/>
      <c r="C13" s="232"/>
      <c r="D13" s="233"/>
      <c r="E13" s="302"/>
      <c r="F13" s="323"/>
      <c r="G13" s="382"/>
      <c r="H13" s="377"/>
      <c r="I13" s="382"/>
      <c r="J13" s="319"/>
      <c r="K13" s="302"/>
      <c r="L13" s="303"/>
      <c r="M13" s="293"/>
      <c r="N13" s="303"/>
      <c r="O13" s="302"/>
      <c r="P13" s="303"/>
      <c r="Q13" s="302"/>
      <c r="R13" s="303"/>
      <c r="S13" s="382"/>
      <c r="T13" s="377"/>
      <c r="U13" s="382"/>
      <c r="V13" s="377"/>
      <c r="W13" s="319"/>
      <c r="X13" s="319"/>
      <c r="Y13" s="302"/>
      <c r="Z13" s="303"/>
      <c r="AA13" s="292"/>
    </row>
    <row r="14" spans="1:42" ht="15.75" thickBot="1" x14ac:dyDescent="0.3">
      <c r="B14" s="230" t="s">
        <v>220</v>
      </c>
      <c r="C14" s="232"/>
      <c r="D14" s="234"/>
      <c r="E14" s="302"/>
      <c r="F14" s="323"/>
      <c r="G14" s="382"/>
      <c r="H14" s="377"/>
      <c r="I14" s="382"/>
      <c r="J14" s="319"/>
      <c r="K14" s="302"/>
      <c r="L14" s="303"/>
      <c r="M14" s="293"/>
      <c r="N14" s="303"/>
      <c r="O14" s="302"/>
      <c r="P14" s="303"/>
      <c r="Q14" s="302"/>
      <c r="R14" s="303"/>
      <c r="S14" s="382"/>
      <c r="T14" s="377"/>
      <c r="U14" s="382"/>
      <c r="V14" s="377"/>
      <c r="W14" s="319"/>
      <c r="X14" s="319"/>
      <c r="Y14" s="302"/>
      <c r="Z14" s="303"/>
      <c r="AA14" s="309">
        <f>SUM(D14:Z14)</f>
        <v>0</v>
      </c>
    </row>
    <row r="15" spans="1:42" ht="17.25" customHeight="1" thickBot="1" x14ac:dyDescent="0.3">
      <c r="B15" s="230"/>
      <c r="C15" s="232"/>
      <c r="D15" s="233"/>
      <c r="E15" s="302"/>
      <c r="F15" s="323"/>
      <c r="G15" s="382"/>
      <c r="H15" s="377"/>
      <c r="I15" s="382"/>
      <c r="J15" s="319"/>
      <c r="K15" s="302"/>
      <c r="L15" s="303"/>
      <c r="M15" s="293"/>
      <c r="N15" s="303"/>
      <c r="O15" s="302"/>
      <c r="P15" s="303"/>
      <c r="Q15" s="302"/>
      <c r="R15" s="303"/>
      <c r="S15" s="382"/>
      <c r="T15" s="377"/>
      <c r="U15" s="382"/>
      <c r="V15" s="377"/>
      <c r="W15" s="319"/>
      <c r="X15" s="319"/>
      <c r="Y15" s="302"/>
      <c r="Z15" s="303"/>
      <c r="AA15" s="292"/>
      <c r="AC15" s="486">
        <v>2</v>
      </c>
      <c r="AD15" t="s">
        <v>355</v>
      </c>
      <c r="AE15" s="12">
        <f>AM21</f>
        <v>-107.39999999999999</v>
      </c>
      <c r="AJ15" s="446" t="s">
        <v>874</v>
      </c>
      <c r="AK15" s="423"/>
      <c r="AL15" s="453"/>
      <c r="AM15" s="453"/>
      <c r="AN15" s="425"/>
    </row>
    <row r="16" spans="1:42" ht="24" customHeight="1" x14ac:dyDescent="0.25">
      <c r="B16" s="230" t="s">
        <v>648</v>
      </c>
      <c r="C16" s="232" t="s">
        <v>649</v>
      </c>
      <c r="D16" s="234"/>
      <c r="E16" s="302"/>
      <c r="F16" s="323"/>
      <c r="G16" s="382"/>
      <c r="H16" s="377"/>
      <c r="I16" s="382"/>
      <c r="J16" s="319"/>
      <c r="K16" s="302"/>
      <c r="L16" s="303"/>
      <c r="M16" s="293"/>
      <c r="N16" s="303"/>
      <c r="O16" s="302"/>
      <c r="P16" s="303"/>
      <c r="Q16" s="302"/>
      <c r="R16" s="303"/>
      <c r="S16" s="382"/>
      <c r="T16" s="377"/>
      <c r="U16" s="382"/>
      <c r="V16" s="377"/>
      <c r="W16" s="319"/>
      <c r="X16" s="319"/>
      <c r="Y16" s="302"/>
      <c r="Z16" s="303"/>
      <c r="AA16" s="309">
        <f>SUM(D16:Z16)</f>
        <v>0</v>
      </c>
      <c r="AD16" t="s">
        <v>864</v>
      </c>
      <c r="AF16" s="12">
        <f>AM21</f>
        <v>-107.39999999999999</v>
      </c>
      <c r="AJ16" s="442" t="str">
        <f>"Retained earnings "&amp;B8</f>
        <v>Retained earnings as at 30 September 2018</v>
      </c>
      <c r="AK16" s="440"/>
      <c r="AL16" s="441"/>
      <c r="AM16" s="448">
        <v>32960</v>
      </c>
      <c r="AN16" s="437"/>
    </row>
    <row r="17" spans="2:40" ht="16.5" customHeight="1" x14ac:dyDescent="0.25">
      <c r="B17" s="230" t="s">
        <v>679</v>
      </c>
      <c r="C17" s="232"/>
      <c r="D17" s="234"/>
      <c r="E17" s="302"/>
      <c r="F17" s="323"/>
      <c r="G17" s="382"/>
      <c r="H17" s="377"/>
      <c r="I17" s="382"/>
      <c r="J17" s="319"/>
      <c r="K17" s="302"/>
      <c r="L17" s="303"/>
      <c r="M17" s="293"/>
      <c r="N17" s="303"/>
      <c r="O17" s="302"/>
      <c r="P17" s="303"/>
      <c r="Q17" s="302"/>
      <c r="R17" s="303"/>
      <c r="S17" s="382"/>
      <c r="T17" s="377"/>
      <c r="U17" s="382"/>
      <c r="V17" s="377"/>
      <c r="W17" s="319"/>
      <c r="X17" s="319"/>
      <c r="Y17" s="302"/>
      <c r="Z17" s="303"/>
      <c r="AA17" s="309">
        <f>SUM(D17:Z17)</f>
        <v>0</v>
      </c>
      <c r="AJ17" s="442" t="s">
        <v>733</v>
      </c>
      <c r="AK17" s="440"/>
      <c r="AL17" s="440"/>
      <c r="AM17" s="448">
        <v>14128</v>
      </c>
      <c r="AN17" s="437"/>
    </row>
    <row r="18" spans="2:40" ht="21.95" customHeight="1" x14ac:dyDescent="0.25">
      <c r="B18" s="230" t="s">
        <v>650</v>
      </c>
      <c r="C18" s="232" t="s">
        <v>651</v>
      </c>
      <c r="D18" s="234">
        <v>100</v>
      </c>
      <c r="E18" s="302">
        <f>SUMIF($AD$3:$AD$12,"DR Investment",$AE$3:$AE$12)</f>
        <v>799</v>
      </c>
      <c r="F18" s="303">
        <f>-SUMIF($AD$4:$AD$14,"CR Investment",$AF$4:$AF$14)</f>
        <v>0</v>
      </c>
      <c r="G18" s="302">
        <f>SUMIF($AD$15:$AD$19,"DR Investment",$AE$15:$AE$19)</f>
        <v>462.6</v>
      </c>
      <c r="H18" s="303">
        <f>-SUMIF($AD$15:$AD$19,"CR Investment",$AF$15:$AF$19)</f>
        <v>0</v>
      </c>
      <c r="I18" s="302">
        <f>SUMIF($AD$28:$AD$29,"DR Investment",$AE$28:$AE$29)</f>
        <v>4238.3999999999996</v>
      </c>
      <c r="J18" s="323">
        <f>-SUMIF($AD$28:$AD$29,"CR Investment",$AF$28:$AF$29)</f>
        <v>0</v>
      </c>
      <c r="K18" s="302">
        <f>SUMIF($AD$33:$AD$34,"DR Investment",$AE$33:$AE$34)</f>
        <v>0</v>
      </c>
      <c r="L18" s="303">
        <f>-SUMIF($AD$33:$AD$34,"CR Investment",$AF$33:$AF$34)</f>
        <v>0</v>
      </c>
      <c r="M18" s="293">
        <f>SUMIF($AD$41:$AD$47,"DR Investment",$AE$41:$AE$47)</f>
        <v>0</v>
      </c>
      <c r="N18" s="303">
        <f>-SUMIF($AD$40:$AD$47,"CR Investment",$AF$40:$AF$47)</f>
        <v>0</v>
      </c>
      <c r="O18" s="302"/>
      <c r="P18" s="303"/>
      <c r="Q18" s="302"/>
      <c r="R18" s="303"/>
      <c r="S18" s="382"/>
      <c r="T18" s="377"/>
      <c r="U18" s="382"/>
      <c r="V18" s="377"/>
      <c r="W18" s="319"/>
      <c r="X18" s="319"/>
      <c r="Y18" s="302"/>
      <c r="Z18" s="303"/>
      <c r="AA18" s="309">
        <f>SUM(D18:Z18)</f>
        <v>5600</v>
      </c>
      <c r="AD18" t="s">
        <v>355</v>
      </c>
      <c r="AE18">
        <f>AM24</f>
        <v>570</v>
      </c>
      <c r="AJ18" s="442" t="s">
        <v>878</v>
      </c>
      <c r="AK18" s="440"/>
      <c r="AL18" s="440"/>
      <c r="AM18" s="448">
        <v>8040</v>
      </c>
      <c r="AN18" s="437"/>
    </row>
    <row r="19" spans="2:40" ht="12.95" customHeight="1" x14ac:dyDescent="0.25">
      <c r="B19" s="230" t="s">
        <v>652</v>
      </c>
      <c r="C19" s="232" t="s">
        <v>649</v>
      </c>
      <c r="D19" s="235"/>
      <c r="E19" s="302"/>
      <c r="F19" s="323"/>
      <c r="G19" s="382"/>
      <c r="H19" s="377"/>
      <c r="I19" s="382"/>
      <c r="J19" s="319"/>
      <c r="K19" s="302"/>
      <c r="L19" s="303"/>
      <c r="M19" s="293"/>
      <c r="N19" s="303"/>
      <c r="O19" s="302"/>
      <c r="P19" s="303"/>
      <c r="Q19" s="302"/>
      <c r="R19" s="303"/>
      <c r="S19" s="382"/>
      <c r="T19" s="377"/>
      <c r="U19" s="382"/>
      <c r="V19" s="377"/>
      <c r="W19" s="319"/>
      <c r="X19" s="319"/>
      <c r="Y19" s="302"/>
      <c r="Z19" s="303"/>
      <c r="AA19" s="309">
        <f>SUM(D19:Z19)</f>
        <v>0</v>
      </c>
      <c r="AD19" t="s">
        <v>864</v>
      </c>
      <c r="AF19">
        <f>AM24</f>
        <v>570</v>
      </c>
      <c r="AJ19" s="442" t="s">
        <v>688</v>
      </c>
      <c r="AK19" s="440"/>
      <c r="AL19" s="441"/>
      <c r="AM19" s="456">
        <f>AL8</f>
        <v>27230</v>
      </c>
      <c r="AN19" s="437"/>
    </row>
    <row r="20" spans="2:40" ht="20.45" customHeight="1" x14ac:dyDescent="0.25">
      <c r="B20" s="230"/>
      <c r="C20" s="232"/>
      <c r="D20" s="236">
        <f>SUM(D12:D19)</f>
        <v>4600</v>
      </c>
      <c r="E20" s="300"/>
      <c r="F20" s="282"/>
      <c r="G20" s="383"/>
      <c r="H20" s="384"/>
      <c r="I20" s="383"/>
      <c r="J20" s="320"/>
      <c r="K20" s="315"/>
      <c r="L20" s="316"/>
      <c r="M20" s="294"/>
      <c r="N20" s="316"/>
      <c r="O20" s="315"/>
      <c r="P20" s="316"/>
      <c r="Q20" s="315"/>
      <c r="R20" s="316"/>
      <c r="S20" s="383"/>
      <c r="T20" s="384"/>
      <c r="U20" s="383"/>
      <c r="V20" s="384"/>
      <c r="W20" s="320"/>
      <c r="X20" s="320"/>
      <c r="Y20" s="315"/>
      <c r="Z20" s="316"/>
      <c r="AA20" s="310">
        <f>SUM(AA12:AA19)</f>
        <v>10100</v>
      </c>
      <c r="AJ20" s="442" t="s">
        <v>689</v>
      </c>
      <c r="AK20" s="440"/>
      <c r="AL20" s="441"/>
      <c r="AM20" s="441">
        <f>AM16-AM19-AM17+AM18</f>
        <v>-358</v>
      </c>
      <c r="AN20" s="437"/>
    </row>
    <row r="21" spans="2:40" ht="13.5" customHeight="1" thickBot="1" x14ac:dyDescent="0.3">
      <c r="B21" s="227" t="s">
        <v>76</v>
      </c>
      <c r="C21" s="232"/>
      <c r="D21" s="237"/>
      <c r="E21" s="304"/>
      <c r="F21" s="286"/>
      <c r="G21" s="385"/>
      <c r="H21" s="386"/>
      <c r="I21" s="385"/>
      <c r="J21" s="321"/>
      <c r="K21" s="304"/>
      <c r="L21" s="305"/>
      <c r="M21" s="295"/>
      <c r="N21" s="305"/>
      <c r="O21" s="304"/>
      <c r="P21" s="305"/>
      <c r="Q21" s="304"/>
      <c r="R21" s="305"/>
      <c r="S21" s="385"/>
      <c r="T21" s="386"/>
      <c r="U21" s="385"/>
      <c r="V21" s="386"/>
      <c r="W21" s="321"/>
      <c r="X21" s="321"/>
      <c r="Y21" s="304"/>
      <c r="Z21" s="305"/>
      <c r="AA21" s="295"/>
      <c r="AJ21" s="442" t="str">
        <f>"Group share of historical profit (*"&amp;$AM$2&amp;")"</f>
        <v>Group share of historical profit (*0.3)</v>
      </c>
      <c r="AK21" s="440"/>
      <c r="AL21" s="440"/>
      <c r="AM21" s="279">
        <f>AM20*AM2</f>
        <v>-107.39999999999999</v>
      </c>
      <c r="AN21" s="437"/>
    </row>
    <row r="22" spans="2:40" ht="34.5" customHeight="1" thickTop="1" x14ac:dyDescent="0.25">
      <c r="B22" s="230" t="s">
        <v>56</v>
      </c>
      <c r="C22" s="232"/>
      <c r="D22" s="234">
        <v>510</v>
      </c>
      <c r="E22" s="302"/>
      <c r="F22" s="323"/>
      <c r="G22" s="382"/>
      <c r="H22" s="377"/>
      <c r="I22" s="382"/>
      <c r="J22" s="319"/>
      <c r="K22" s="302"/>
      <c r="L22" s="303"/>
      <c r="M22" s="293">
        <f>SUMIF($AD$41:$AD$47,"DR Inventories",$AE$41:$AE$47)</f>
        <v>0</v>
      </c>
      <c r="N22" s="303">
        <f>-SUMIF($AD$40:$AD$47,"CR Inventories",$AF$40:$AF$47)</f>
        <v>-54</v>
      </c>
      <c r="O22" s="302"/>
      <c r="P22" s="303"/>
      <c r="Q22" s="302"/>
      <c r="R22" s="303"/>
      <c r="S22" s="302"/>
      <c r="T22" s="303"/>
      <c r="U22" s="382"/>
      <c r="V22" s="377"/>
      <c r="W22" s="319"/>
      <c r="X22" s="319"/>
      <c r="Y22" s="302"/>
      <c r="Z22" s="303"/>
      <c r="AA22" s="309">
        <f>SUM(D22:Z22)</f>
        <v>456</v>
      </c>
      <c r="AJ22" s="442"/>
      <c r="AK22" s="440"/>
      <c r="AL22" s="440"/>
      <c r="AM22" s="440"/>
      <c r="AN22" s="437"/>
    </row>
    <row r="23" spans="2:40" ht="33.6" customHeight="1" x14ac:dyDescent="0.25">
      <c r="B23" s="230" t="s">
        <v>653</v>
      </c>
      <c r="C23" s="232"/>
      <c r="D23" s="234">
        <v>490</v>
      </c>
      <c r="E23" s="302"/>
      <c r="F23" s="323"/>
      <c r="G23" s="382"/>
      <c r="H23" s="377"/>
      <c r="I23" s="382"/>
      <c r="J23" s="319"/>
      <c r="K23" s="302"/>
      <c r="L23" s="303"/>
      <c r="M23" s="293"/>
      <c r="N23" s="303"/>
      <c r="O23" s="302"/>
      <c r="P23" s="303"/>
      <c r="Q23" s="302"/>
      <c r="R23" s="303"/>
      <c r="S23" s="382"/>
      <c r="T23" s="377"/>
      <c r="U23" s="382"/>
      <c r="V23" s="377"/>
      <c r="W23" s="319"/>
      <c r="X23" s="319"/>
      <c r="Y23" s="302"/>
      <c r="Z23" s="303"/>
      <c r="AA23" s="309">
        <f>SUM(D23:Z23)</f>
        <v>490</v>
      </c>
      <c r="AJ23" s="442" t="s">
        <v>850</v>
      </c>
      <c r="AK23" s="440"/>
      <c r="AL23" s="440"/>
      <c r="AM23" s="421">
        <v>1900</v>
      </c>
      <c r="AN23" s="437"/>
    </row>
    <row r="24" spans="2:40" ht="21" customHeight="1" thickBot="1" x14ac:dyDescent="0.3">
      <c r="B24" s="230" t="s">
        <v>654</v>
      </c>
      <c r="C24" s="232" t="s">
        <v>649</v>
      </c>
      <c r="D24" s="234"/>
      <c r="E24" s="302"/>
      <c r="F24" s="323"/>
      <c r="G24" s="382"/>
      <c r="H24" s="377"/>
      <c r="I24" s="382"/>
      <c r="J24" s="319"/>
      <c r="K24" s="302"/>
      <c r="L24" s="303"/>
      <c r="M24" s="293"/>
      <c r="N24" s="303"/>
      <c r="O24" s="302"/>
      <c r="P24" s="303"/>
      <c r="Q24" s="302"/>
      <c r="R24" s="303"/>
      <c r="S24" s="382"/>
      <c r="T24" s="377"/>
      <c r="U24" s="382"/>
      <c r="V24" s="377"/>
      <c r="W24" s="319"/>
      <c r="X24" s="319"/>
      <c r="Y24" s="302"/>
      <c r="Z24" s="303"/>
      <c r="AA24" s="309">
        <f>SUM(D24:Z24)</f>
        <v>0</v>
      </c>
      <c r="AJ24" s="442" t="str">
        <f>"Group share (*"&amp;$AM$2&amp;")"</f>
        <v>Group share (*0.3)</v>
      </c>
      <c r="AK24" s="440"/>
      <c r="AL24" s="440"/>
      <c r="AM24" s="278">
        <f>AM23*AM2</f>
        <v>570</v>
      </c>
      <c r="AN24" s="437"/>
    </row>
    <row r="25" spans="2:40" ht="16.5" thickTop="1" thickBot="1" x14ac:dyDescent="0.3">
      <c r="B25" s="230" t="s">
        <v>92</v>
      </c>
      <c r="C25" s="232"/>
      <c r="D25" s="234">
        <v>120</v>
      </c>
      <c r="E25" s="302"/>
      <c r="F25" s="323"/>
      <c r="G25" s="382"/>
      <c r="H25" s="377"/>
      <c r="I25" s="382"/>
      <c r="J25" s="319"/>
      <c r="K25" s="302"/>
      <c r="L25" s="303"/>
      <c r="M25" s="293"/>
      <c r="N25" s="303"/>
      <c r="O25" s="302"/>
      <c r="P25" s="303"/>
      <c r="Q25" s="302"/>
      <c r="R25" s="303"/>
      <c r="S25" s="382"/>
      <c r="T25" s="377"/>
      <c r="U25" s="382"/>
      <c r="V25" s="377"/>
      <c r="W25" s="319"/>
      <c r="X25" s="319"/>
      <c r="Y25" s="302"/>
      <c r="Z25" s="303"/>
      <c r="AA25" s="309">
        <f>SUM(D25:Z25)</f>
        <v>120</v>
      </c>
      <c r="AJ25" s="451"/>
      <c r="AK25" s="452"/>
      <c r="AL25" s="452"/>
      <c r="AM25" s="452"/>
      <c r="AN25" s="445"/>
    </row>
    <row r="26" spans="2:40" x14ac:dyDescent="0.25">
      <c r="B26" s="230"/>
      <c r="C26" s="232"/>
      <c r="D26" s="236">
        <f>SUM(D22:D25)</f>
        <v>1120</v>
      </c>
      <c r="E26" s="300"/>
      <c r="F26" s="282"/>
      <c r="G26" s="380"/>
      <c r="H26" s="381"/>
      <c r="I26" s="380"/>
      <c r="J26" s="318"/>
      <c r="K26" s="300"/>
      <c r="L26" s="301"/>
      <c r="M26" s="294"/>
      <c r="N26" s="316"/>
      <c r="O26" s="315"/>
      <c r="P26" s="316"/>
      <c r="Q26" s="315"/>
      <c r="R26" s="316"/>
      <c r="S26" s="383"/>
      <c r="T26" s="384"/>
      <c r="U26" s="383"/>
      <c r="V26" s="384"/>
      <c r="W26" s="320"/>
      <c r="X26" s="320"/>
      <c r="Y26" s="315"/>
      <c r="Z26" s="316"/>
      <c r="AA26" s="310">
        <f>SUM(AA22:AA25)</f>
        <v>1066</v>
      </c>
      <c r="AJ26" s="479"/>
      <c r="AK26" s="479"/>
      <c r="AL26" s="479"/>
      <c r="AM26" s="479"/>
      <c r="AN26" s="479"/>
    </row>
    <row r="27" spans="2:40" ht="29.1" customHeight="1" thickBot="1" x14ac:dyDescent="0.3">
      <c r="B27" s="227" t="s">
        <v>655</v>
      </c>
      <c r="C27" s="232"/>
      <c r="D27" s="238">
        <f>SUM(D20,D26)</f>
        <v>5720</v>
      </c>
      <c r="E27" s="300"/>
      <c r="F27" s="282"/>
      <c r="G27" s="380"/>
      <c r="H27" s="381"/>
      <c r="I27" s="380"/>
      <c r="J27" s="318"/>
      <c r="K27" s="300"/>
      <c r="L27" s="301"/>
      <c r="M27" s="294"/>
      <c r="N27" s="316"/>
      <c r="O27" s="315"/>
      <c r="P27" s="316"/>
      <c r="Q27" s="315"/>
      <c r="R27" s="316"/>
      <c r="S27" s="383"/>
      <c r="T27" s="384"/>
      <c r="U27" s="383"/>
      <c r="V27" s="384"/>
      <c r="W27" s="320"/>
      <c r="X27" s="320"/>
      <c r="Y27" s="315"/>
      <c r="Z27" s="316"/>
      <c r="AA27" s="311">
        <f>SUM(AA20,AA26)</f>
        <v>11166</v>
      </c>
      <c r="AJ27" s="181"/>
      <c r="AK27" s="181"/>
      <c r="AL27" s="181"/>
      <c r="AM27" s="181"/>
      <c r="AN27" s="181"/>
    </row>
    <row r="28" spans="2:40" ht="21.6" customHeight="1" thickBot="1" x14ac:dyDescent="0.3">
      <c r="B28" s="230"/>
      <c r="C28" s="232"/>
      <c r="D28" s="237"/>
      <c r="E28" s="304"/>
      <c r="F28" s="286"/>
      <c r="G28" s="385"/>
      <c r="H28" s="386"/>
      <c r="I28" s="385"/>
      <c r="J28" s="321"/>
      <c r="K28" s="304"/>
      <c r="L28" s="305"/>
      <c r="M28" s="295"/>
      <c r="N28" s="305"/>
      <c r="O28" s="304"/>
      <c r="P28" s="305"/>
      <c r="Q28" s="304"/>
      <c r="R28" s="305"/>
      <c r="S28" s="385"/>
      <c r="T28" s="386"/>
      <c r="U28" s="385"/>
      <c r="V28" s="386"/>
      <c r="W28" s="321"/>
      <c r="X28" s="321"/>
      <c r="Y28" s="304"/>
      <c r="Z28" s="305"/>
      <c r="AA28" s="295"/>
      <c r="AC28" s="483">
        <v>3</v>
      </c>
      <c r="AD28" t="s">
        <v>355</v>
      </c>
      <c r="AE28" s="12">
        <f>AM30</f>
        <v>4238.3999999999996</v>
      </c>
      <c r="AJ28" s="446" t="s">
        <v>692</v>
      </c>
      <c r="AK28" s="423"/>
      <c r="AL28" s="423"/>
      <c r="AM28" s="423"/>
      <c r="AN28" s="425"/>
    </row>
    <row r="29" spans="2:40" ht="24" customHeight="1" x14ac:dyDescent="0.25">
      <c r="B29" s="227" t="s">
        <v>656</v>
      </c>
      <c r="C29" s="232"/>
      <c r="D29" s="233"/>
      <c r="E29" s="300"/>
      <c r="F29" s="282"/>
      <c r="G29" s="380"/>
      <c r="H29" s="381"/>
      <c r="I29" s="380"/>
      <c r="J29" s="318"/>
      <c r="K29" s="300"/>
      <c r="L29" s="301"/>
      <c r="M29" s="292"/>
      <c r="N29" s="301"/>
      <c r="O29" s="300"/>
      <c r="P29" s="301"/>
      <c r="Q29" s="300"/>
      <c r="R29" s="301"/>
      <c r="S29" s="380"/>
      <c r="T29" s="381"/>
      <c r="U29" s="380"/>
      <c r="V29" s="381"/>
      <c r="W29" s="318"/>
      <c r="X29" s="318"/>
      <c r="Y29" s="300"/>
      <c r="Z29" s="301"/>
      <c r="AA29" s="292"/>
      <c r="AD29" t="s">
        <v>862</v>
      </c>
      <c r="AF29" s="12">
        <f>AM30</f>
        <v>4238.3999999999996</v>
      </c>
      <c r="AJ29" s="442" t="s">
        <v>694</v>
      </c>
      <c r="AK29" s="440"/>
      <c r="AL29" s="440"/>
      <c r="AM29" s="448">
        <f>AM17</f>
        <v>14128</v>
      </c>
      <c r="AN29" s="437"/>
    </row>
    <row r="30" spans="2:40" ht="16.5" thickBot="1" x14ac:dyDescent="0.3">
      <c r="B30" s="227" t="s">
        <v>657</v>
      </c>
      <c r="C30" s="232"/>
      <c r="D30" s="233"/>
      <c r="E30" s="300"/>
      <c r="F30" s="282"/>
      <c r="G30" s="380"/>
      <c r="H30" s="381"/>
      <c r="I30" s="380"/>
      <c r="J30" s="318"/>
      <c r="K30" s="300"/>
      <c r="L30" s="301"/>
      <c r="M30" s="292"/>
      <c r="N30" s="301"/>
      <c r="O30" s="300"/>
      <c r="P30" s="301"/>
      <c r="Q30" s="300"/>
      <c r="R30" s="301"/>
      <c r="S30" s="380"/>
      <c r="T30" s="381"/>
      <c r="U30" s="380"/>
      <c r="V30" s="381"/>
      <c r="W30" s="318"/>
      <c r="X30" s="318"/>
      <c r="Y30" s="300"/>
      <c r="Z30" s="301"/>
      <c r="AA30" s="292"/>
      <c r="AJ30" s="442" t="s">
        <v>860</v>
      </c>
      <c r="AK30" s="440"/>
      <c r="AL30" s="440"/>
      <c r="AM30" s="279">
        <f>AM29*AM2</f>
        <v>4238.3999999999996</v>
      </c>
      <c r="AN30" s="437"/>
    </row>
    <row r="31" spans="2:40" ht="16.5" thickTop="1" thickBot="1" x14ac:dyDescent="0.3">
      <c r="B31" s="230" t="s">
        <v>658</v>
      </c>
      <c r="C31" s="232"/>
      <c r="D31" s="234">
        <v>1000</v>
      </c>
      <c r="E31" s="302"/>
      <c r="F31" s="323"/>
      <c r="G31" s="382"/>
      <c r="H31" s="377"/>
      <c r="I31" s="382"/>
      <c r="J31" s="319"/>
      <c r="K31" s="302"/>
      <c r="L31" s="303"/>
      <c r="M31" s="293"/>
      <c r="N31" s="303"/>
      <c r="O31" s="302"/>
      <c r="P31" s="303"/>
      <c r="Q31" s="302"/>
      <c r="R31" s="303"/>
      <c r="S31" s="382"/>
      <c r="T31" s="377"/>
      <c r="U31" s="382"/>
      <c r="V31" s="377"/>
      <c r="W31" s="319"/>
      <c r="X31" s="319"/>
      <c r="Y31" s="302"/>
      <c r="Z31" s="303"/>
      <c r="AA31" s="309">
        <f>D31-SUM(E31:Z31)</f>
        <v>1000</v>
      </c>
      <c r="AJ31" s="451"/>
      <c r="AK31" s="452"/>
      <c r="AL31" s="452"/>
      <c r="AM31" s="452"/>
      <c r="AN31" s="445"/>
    </row>
    <row r="32" spans="2:40" ht="15.75" thickBot="1" x14ac:dyDescent="0.3">
      <c r="B32" s="230" t="s">
        <v>659</v>
      </c>
      <c r="C32" s="232"/>
      <c r="D32" s="234"/>
      <c r="E32" s="302"/>
      <c r="F32" s="323"/>
      <c r="G32" s="382"/>
      <c r="H32" s="377"/>
      <c r="I32" s="382"/>
      <c r="J32" s="319"/>
      <c r="K32" s="302"/>
      <c r="L32" s="303"/>
      <c r="M32" s="293"/>
      <c r="N32" s="303"/>
      <c r="O32" s="302"/>
      <c r="P32" s="303"/>
      <c r="Q32" s="302"/>
      <c r="R32" s="303"/>
      <c r="S32" s="382"/>
      <c r="T32" s="377"/>
      <c r="U32" s="382"/>
      <c r="V32" s="377"/>
      <c r="W32" s="319"/>
      <c r="X32" s="319"/>
      <c r="Y32" s="302"/>
      <c r="Z32" s="303"/>
      <c r="AA32" s="309">
        <f>D32-SUM(E32:Z32)</f>
        <v>0</v>
      </c>
    </row>
    <row r="33" spans="2:40" ht="16.5" thickBot="1" x14ac:dyDescent="0.3">
      <c r="B33" s="230" t="s">
        <v>660</v>
      </c>
      <c r="C33" s="232"/>
      <c r="D33" s="234">
        <v>800</v>
      </c>
      <c r="E33" s="302"/>
      <c r="F33" s="323"/>
      <c r="G33" s="382"/>
      <c r="H33" s="377"/>
      <c r="I33" s="382"/>
      <c r="J33" s="319"/>
      <c r="K33" s="302"/>
      <c r="L33" s="303"/>
      <c r="M33" s="293"/>
      <c r="N33" s="303"/>
      <c r="O33" s="302"/>
      <c r="P33" s="303"/>
      <c r="Q33" s="302"/>
      <c r="R33" s="303"/>
      <c r="S33" s="382"/>
      <c r="T33" s="377"/>
      <c r="U33" s="382"/>
      <c r="V33" s="377"/>
      <c r="W33" s="319"/>
      <c r="X33" s="319"/>
      <c r="Y33" s="302"/>
      <c r="Z33" s="303"/>
      <c r="AA33" s="309">
        <f>D33-SUM(E33:Z33)</f>
        <v>800</v>
      </c>
      <c r="AC33" s="483">
        <v>4</v>
      </c>
      <c r="AD33" s="181" t="s">
        <v>867</v>
      </c>
      <c r="AE33" s="12">
        <f>AM36</f>
        <v>0</v>
      </c>
      <c r="AJ33" s="446" t="s">
        <v>751</v>
      </c>
      <c r="AK33" s="423"/>
      <c r="AL33" s="423"/>
      <c r="AM33" s="423"/>
      <c r="AN33" s="425"/>
    </row>
    <row r="34" spans="2:40" ht="15.95" customHeight="1" x14ac:dyDescent="0.25">
      <c r="B34" s="230" t="s">
        <v>661</v>
      </c>
      <c r="C34" s="232"/>
      <c r="D34" s="234"/>
      <c r="E34" s="302"/>
      <c r="F34" s="323"/>
      <c r="G34" s="302"/>
      <c r="H34" s="303"/>
      <c r="I34" s="302"/>
      <c r="J34" s="323"/>
      <c r="K34" s="302"/>
      <c r="L34" s="303"/>
      <c r="M34" s="293"/>
      <c r="N34" s="303"/>
      <c r="O34" s="302"/>
      <c r="P34" s="303"/>
      <c r="Q34" s="302"/>
      <c r="R34" s="303"/>
      <c r="S34" s="382"/>
      <c r="T34" s="377"/>
      <c r="U34" s="382"/>
      <c r="V34" s="377"/>
      <c r="W34" s="319"/>
      <c r="X34" s="319"/>
      <c r="Y34" s="302"/>
      <c r="Z34" s="303"/>
      <c r="AA34" s="309">
        <f>D34-SUM(E34:Z34)</f>
        <v>0</v>
      </c>
      <c r="AD34" t="s">
        <v>866</v>
      </c>
      <c r="AF34" s="12">
        <f>AM36</f>
        <v>0</v>
      </c>
      <c r="AJ34" s="442" t="s">
        <v>861</v>
      </c>
      <c r="AK34" s="440"/>
      <c r="AL34" s="440"/>
      <c r="AM34" s="448"/>
      <c r="AN34" s="437"/>
    </row>
    <row r="35" spans="2:40" x14ac:dyDescent="0.25">
      <c r="B35" s="230" t="s">
        <v>497</v>
      </c>
      <c r="C35" s="232"/>
      <c r="D35" s="234">
        <v>1840</v>
      </c>
      <c r="E35" s="302">
        <f>SUMIF($AD$3:$AD$12,"DR Retained earnings",$AE$3:$AE$12)</f>
        <v>0</v>
      </c>
      <c r="F35" s="303">
        <f>-SUMIF($AD$4:$AD$14,"CR Retained earnings",$AF$4:$AF$14)</f>
        <v>0</v>
      </c>
      <c r="G35" s="302">
        <f>SUMIF($AD$15:$AD$19,"DR Retained Earnings",$AE$15:$AE$19)</f>
        <v>0</v>
      </c>
      <c r="H35" s="303">
        <f>-SUMIF($AD$15:$AD$19,"CR Retained Earnings",$AF$15:$AF$19)</f>
        <v>-462.6</v>
      </c>
      <c r="I35" s="302"/>
      <c r="J35" s="323"/>
      <c r="K35" s="302"/>
      <c r="L35" s="303"/>
      <c r="M35" s="293"/>
      <c r="N35" s="303"/>
      <c r="O35" s="302">
        <f>SUMIF($AD$53:$AD$54,"DR Retained Earnings",$AE$53:$AE$54)</f>
        <v>0</v>
      </c>
      <c r="P35" s="303">
        <f>-SUMIF($AD$53:$AD$54,"CR Retained Earnings",$AF$53:$AF$54)</f>
        <v>-4184.3999999999996</v>
      </c>
      <c r="Q35" s="302"/>
      <c r="R35" s="302"/>
      <c r="S35" s="382"/>
      <c r="T35" s="377"/>
      <c r="U35" s="382"/>
      <c r="V35" s="377"/>
      <c r="W35" s="319"/>
      <c r="X35" s="319"/>
      <c r="Y35" s="302"/>
      <c r="Z35" s="303"/>
      <c r="AA35" s="309">
        <f>D35-SUM(E35:Z35)</f>
        <v>6487</v>
      </c>
      <c r="AJ35" s="442"/>
      <c r="AK35" s="440"/>
      <c r="AL35" s="440"/>
      <c r="AM35" s="440"/>
      <c r="AN35" s="437"/>
    </row>
    <row r="36" spans="2:40" x14ac:dyDescent="0.25">
      <c r="B36" s="230"/>
      <c r="C36" s="232"/>
      <c r="D36" s="233"/>
      <c r="E36" s="300"/>
      <c r="F36" s="282"/>
      <c r="G36" s="380"/>
      <c r="H36" s="381"/>
      <c r="I36" s="380"/>
      <c r="J36" s="318"/>
      <c r="K36" s="300"/>
      <c r="L36" s="301"/>
      <c r="M36" s="292"/>
      <c r="N36" s="301"/>
      <c r="O36" s="300"/>
      <c r="P36" s="301"/>
      <c r="Q36" s="300"/>
      <c r="R36" s="301"/>
      <c r="S36" s="380"/>
      <c r="T36" s="381"/>
      <c r="U36" s="380"/>
      <c r="V36" s="381"/>
      <c r="W36" s="318"/>
      <c r="X36" s="318"/>
      <c r="Y36" s="300"/>
      <c r="Z36" s="301"/>
      <c r="AA36" s="292"/>
      <c r="AJ36" s="442" t="s">
        <v>755</v>
      </c>
      <c r="AK36" s="440"/>
      <c r="AL36" s="440"/>
      <c r="AM36" s="441">
        <f>AM34*AM2</f>
        <v>0</v>
      </c>
      <c r="AN36" s="437"/>
    </row>
    <row r="37" spans="2:40" ht="15.75" thickBot="1" x14ac:dyDescent="0.3">
      <c r="B37" s="230"/>
      <c r="C37" s="232"/>
      <c r="D37" s="233"/>
      <c r="E37" s="300"/>
      <c r="F37" s="282"/>
      <c r="G37" s="380"/>
      <c r="H37" s="381"/>
      <c r="I37" s="380"/>
      <c r="J37" s="318"/>
      <c r="K37" s="300"/>
      <c r="L37" s="301"/>
      <c r="M37" s="292"/>
      <c r="N37" s="301"/>
      <c r="O37" s="300"/>
      <c r="P37" s="301"/>
      <c r="Q37" s="300"/>
      <c r="R37" s="301"/>
      <c r="S37" s="380"/>
      <c r="T37" s="381"/>
      <c r="U37" s="380"/>
      <c r="V37" s="381"/>
      <c r="W37" s="318"/>
      <c r="X37" s="318"/>
      <c r="Y37" s="300"/>
      <c r="Z37" s="301"/>
      <c r="AA37" s="292"/>
      <c r="AJ37" s="451"/>
      <c r="AK37" s="452"/>
      <c r="AL37" s="452"/>
      <c r="AM37" s="452"/>
      <c r="AN37" s="445"/>
    </row>
    <row r="38" spans="2:40" x14ac:dyDescent="0.25">
      <c r="B38" s="230" t="s">
        <v>662</v>
      </c>
      <c r="C38" s="232" t="s">
        <v>663</v>
      </c>
      <c r="D38" s="234"/>
      <c r="E38" s="302"/>
      <c r="F38" s="323"/>
      <c r="G38" s="382"/>
      <c r="H38" s="377"/>
      <c r="I38" s="382"/>
      <c r="J38" s="319"/>
      <c r="K38" s="302"/>
      <c r="L38" s="303"/>
      <c r="M38" s="293"/>
      <c r="N38" s="303"/>
      <c r="O38" s="302"/>
      <c r="P38" s="303"/>
      <c r="Q38" s="302"/>
      <c r="R38" s="303"/>
      <c r="S38" s="382"/>
      <c r="T38" s="377"/>
      <c r="U38" s="382"/>
      <c r="V38" s="377"/>
      <c r="W38" s="319"/>
      <c r="X38" s="319"/>
      <c r="Y38" s="302"/>
      <c r="Z38" s="303"/>
      <c r="AA38" s="309">
        <f>D38-SUM(E38:Z38)</f>
        <v>0</v>
      </c>
      <c r="AD38" s="181"/>
      <c r="AE38" s="181"/>
      <c r="AF38" s="181"/>
      <c r="AG38" s="181"/>
      <c r="AH38" s="181"/>
      <c r="AI38" s="181"/>
    </row>
    <row r="39" spans="2:40" ht="15.75" thickBot="1" x14ac:dyDescent="0.3">
      <c r="B39" s="230"/>
      <c r="C39" s="232"/>
      <c r="D39" s="239">
        <f>SUM(D31:D38)</f>
        <v>3640</v>
      </c>
      <c r="E39" s="300"/>
      <c r="F39" s="282"/>
      <c r="G39" s="385"/>
      <c r="H39" s="386"/>
      <c r="I39" s="385"/>
      <c r="J39" s="321"/>
      <c r="K39" s="304"/>
      <c r="L39" s="305"/>
      <c r="M39" s="295"/>
      <c r="N39" s="305"/>
      <c r="O39" s="304"/>
      <c r="P39" s="305"/>
      <c r="Q39" s="304"/>
      <c r="R39" s="305"/>
      <c r="S39" s="385"/>
      <c r="T39" s="386"/>
      <c r="U39" s="385"/>
      <c r="V39" s="386"/>
      <c r="W39" s="321"/>
      <c r="X39" s="321"/>
      <c r="Y39" s="304"/>
      <c r="Z39" s="305"/>
      <c r="AA39" s="312">
        <f>SUM(AA31:AA38)</f>
        <v>8287</v>
      </c>
      <c r="AC39" s="265"/>
      <c r="AD39" s="479"/>
      <c r="AE39" s="479"/>
      <c r="AF39" s="479"/>
      <c r="AG39" s="479"/>
      <c r="AH39" s="479"/>
      <c r="AI39" s="479"/>
    </row>
    <row r="40" spans="2:40" ht="16.5" thickBot="1" x14ac:dyDescent="0.3">
      <c r="B40" s="227" t="s">
        <v>664</v>
      </c>
      <c r="C40" s="232" t="s">
        <v>665</v>
      </c>
      <c r="D40" s="240"/>
      <c r="E40" s="302"/>
      <c r="F40" s="303"/>
      <c r="G40" s="302"/>
      <c r="H40" s="303"/>
      <c r="I40" s="302"/>
      <c r="J40" s="323"/>
      <c r="K40" s="317"/>
      <c r="L40" s="482"/>
      <c r="M40" s="293"/>
      <c r="N40" s="303"/>
      <c r="O40" s="302"/>
      <c r="P40" s="303"/>
      <c r="Q40" s="302"/>
      <c r="R40" s="303"/>
      <c r="S40" s="302"/>
      <c r="T40" s="303"/>
      <c r="U40" s="302"/>
      <c r="V40" s="303"/>
      <c r="W40" s="319"/>
      <c r="X40" s="319"/>
      <c r="Y40" s="302"/>
      <c r="Z40" s="303"/>
      <c r="AA40" s="309">
        <f>D40-SUM(E40:Z40)</f>
        <v>0</v>
      </c>
      <c r="AC40" s="274">
        <v>5</v>
      </c>
      <c r="AD40" s="480" t="s">
        <v>872</v>
      </c>
      <c r="AE40" s="420"/>
      <c r="AF40" s="479"/>
      <c r="AG40" s="479"/>
      <c r="AH40" s="479"/>
      <c r="AI40" s="479"/>
      <c r="AJ40" s="446" t="s">
        <v>760</v>
      </c>
      <c r="AK40" s="423"/>
      <c r="AL40" s="423"/>
      <c r="AM40" s="423"/>
      <c r="AN40" s="425"/>
    </row>
    <row r="41" spans="2:40" ht="15.75" x14ac:dyDescent="0.25">
      <c r="B41" s="227"/>
      <c r="C41" s="232"/>
      <c r="D41" s="233"/>
      <c r="E41" s="300"/>
      <c r="F41" s="282"/>
      <c r="G41" s="380"/>
      <c r="H41" s="381"/>
      <c r="I41" s="380"/>
      <c r="J41" s="318"/>
      <c r="K41" s="300"/>
      <c r="L41" s="301"/>
      <c r="M41" s="292"/>
      <c r="N41" s="301"/>
      <c r="O41" s="300"/>
      <c r="P41" s="301"/>
      <c r="Q41" s="300"/>
      <c r="R41" s="301"/>
      <c r="S41" s="380"/>
      <c r="T41" s="381"/>
      <c r="U41" s="380"/>
      <c r="V41" s="381"/>
      <c r="W41" s="318"/>
      <c r="X41" s="318"/>
      <c r="Y41" s="300"/>
      <c r="Z41" s="301"/>
      <c r="AA41" s="292"/>
      <c r="AC41" s="479"/>
      <c r="AD41" s="479" t="s">
        <v>305</v>
      </c>
      <c r="AE41" s="481">
        <f>IF(AJ41="Group -&gt; JV/Associate",AM50,0)</f>
        <v>0</v>
      </c>
      <c r="AF41" s="481"/>
      <c r="AG41" s="479"/>
      <c r="AH41" s="479"/>
      <c r="AI41" s="479"/>
      <c r="AJ41" s="478" t="s">
        <v>870</v>
      </c>
      <c r="AK41" s="440"/>
      <c r="AL41" s="440"/>
      <c r="AM41" s="440"/>
      <c r="AN41" s="437"/>
    </row>
    <row r="42" spans="2:40" ht="15.75" x14ac:dyDescent="0.25">
      <c r="B42" s="227"/>
      <c r="C42" s="232"/>
      <c r="D42" s="233"/>
      <c r="E42" s="300"/>
      <c r="F42" s="282"/>
      <c r="G42" s="380"/>
      <c r="H42" s="381"/>
      <c r="I42" s="380"/>
      <c r="J42" s="318"/>
      <c r="K42" s="300"/>
      <c r="L42" s="301"/>
      <c r="M42" s="292"/>
      <c r="N42" s="301"/>
      <c r="O42" s="300"/>
      <c r="P42" s="301"/>
      <c r="Q42" s="300"/>
      <c r="R42" s="301"/>
      <c r="S42" s="380"/>
      <c r="T42" s="381"/>
      <c r="U42" s="380"/>
      <c r="V42" s="381"/>
      <c r="W42" s="318"/>
      <c r="X42" s="318"/>
      <c r="Y42" s="300"/>
      <c r="Z42" s="301"/>
      <c r="AA42" s="292"/>
      <c r="AC42" s="479"/>
      <c r="AD42" s="479" t="s">
        <v>866</v>
      </c>
      <c r="AE42" s="481"/>
      <c r="AF42" s="481">
        <f>IF(AJ41="Group -&gt; JV/Associate",AM50,0)</f>
        <v>0</v>
      </c>
      <c r="AG42" s="479"/>
      <c r="AH42" s="479"/>
      <c r="AI42" s="479"/>
      <c r="AJ42" s="442" t="s">
        <v>763</v>
      </c>
      <c r="AK42" s="440"/>
      <c r="AL42" s="440"/>
      <c r="AM42" s="448">
        <v>3240</v>
      </c>
      <c r="AN42" s="437"/>
    </row>
    <row r="43" spans="2:40" ht="15.75" x14ac:dyDescent="0.25">
      <c r="B43" s="227" t="s">
        <v>666</v>
      </c>
      <c r="C43" s="232"/>
      <c r="D43" s="236">
        <f>D39+D40</f>
        <v>3640</v>
      </c>
      <c r="E43" s="300"/>
      <c r="F43" s="282"/>
      <c r="G43" s="383"/>
      <c r="H43" s="384"/>
      <c r="I43" s="383"/>
      <c r="J43" s="320"/>
      <c r="K43" s="315"/>
      <c r="L43" s="316"/>
      <c r="M43" s="294"/>
      <c r="N43" s="316"/>
      <c r="O43" s="315"/>
      <c r="P43" s="316"/>
      <c r="Q43" s="315"/>
      <c r="R43" s="316"/>
      <c r="S43" s="383"/>
      <c r="T43" s="384"/>
      <c r="U43" s="383"/>
      <c r="V43" s="384"/>
      <c r="W43" s="320"/>
      <c r="X43" s="320"/>
      <c r="Y43" s="315"/>
      <c r="Z43" s="316"/>
      <c r="AA43" s="310">
        <f>AA39+AA40</f>
        <v>8287</v>
      </c>
      <c r="AC43" s="479"/>
      <c r="AD43" s="479"/>
      <c r="AE43" s="479"/>
      <c r="AF43" s="481"/>
      <c r="AG43" s="479"/>
      <c r="AH43" s="479"/>
      <c r="AI43" s="479"/>
      <c r="AJ43" s="442" t="s">
        <v>764</v>
      </c>
      <c r="AK43" s="436"/>
      <c r="AL43" s="436"/>
      <c r="AM43" s="448">
        <f>+AM42*0.666666666666667</f>
        <v>2160</v>
      </c>
      <c r="AN43" s="437"/>
    </row>
    <row r="44" spans="2:40" x14ac:dyDescent="0.25">
      <c r="B44" s="230"/>
      <c r="C44" s="232"/>
      <c r="D44" s="233"/>
      <c r="E44" s="300"/>
      <c r="F44" s="282"/>
      <c r="G44" s="380"/>
      <c r="H44" s="381"/>
      <c r="I44" s="380"/>
      <c r="J44" s="318"/>
      <c r="K44" s="300"/>
      <c r="L44" s="301"/>
      <c r="M44" s="292"/>
      <c r="N44" s="301"/>
      <c r="O44" s="300"/>
      <c r="P44" s="301"/>
      <c r="Q44" s="300"/>
      <c r="R44" s="301"/>
      <c r="S44" s="380"/>
      <c r="T44" s="381"/>
      <c r="U44" s="380"/>
      <c r="V44" s="381"/>
      <c r="W44" s="318"/>
      <c r="X44" s="318"/>
      <c r="Y44" s="300"/>
      <c r="Z44" s="301"/>
      <c r="AA44" s="292"/>
      <c r="AC44" s="479"/>
      <c r="AD44" s="479"/>
      <c r="AE44" s="479"/>
      <c r="AF44" s="479"/>
      <c r="AG44" s="479"/>
      <c r="AH44" s="479"/>
      <c r="AI44" s="479"/>
      <c r="AJ44" s="442" t="s">
        <v>765</v>
      </c>
      <c r="AK44" s="440"/>
      <c r="AL44" s="440"/>
      <c r="AM44" s="361">
        <f>AM42-AM43</f>
        <v>1080</v>
      </c>
      <c r="AN44" s="437"/>
    </row>
    <row r="45" spans="2:40" ht="15.75" x14ac:dyDescent="0.25">
      <c r="B45" s="227" t="s">
        <v>82</v>
      </c>
      <c r="C45" s="232"/>
      <c r="D45" s="233"/>
      <c r="E45" s="300"/>
      <c r="F45" s="282"/>
      <c r="G45" s="380"/>
      <c r="H45" s="381"/>
      <c r="I45" s="380"/>
      <c r="J45" s="318"/>
      <c r="K45" s="300"/>
      <c r="L45" s="301"/>
      <c r="M45" s="292"/>
      <c r="N45" s="301"/>
      <c r="O45" s="300"/>
      <c r="P45" s="301"/>
      <c r="Q45" s="300"/>
      <c r="R45" s="301"/>
      <c r="S45" s="380"/>
      <c r="T45" s="381"/>
      <c r="U45" s="380"/>
      <c r="V45" s="381"/>
      <c r="W45" s="318"/>
      <c r="X45" s="318"/>
      <c r="Y45" s="300"/>
      <c r="Z45" s="301"/>
      <c r="AA45" s="292"/>
      <c r="AC45" s="479"/>
      <c r="AD45" s="480" t="s">
        <v>873</v>
      </c>
      <c r="AE45" s="479"/>
      <c r="AF45" s="479"/>
      <c r="AG45" s="479"/>
      <c r="AH45" s="479"/>
      <c r="AI45" s="479"/>
      <c r="AJ45" s="435"/>
      <c r="AK45" s="436"/>
      <c r="AL45" s="436"/>
      <c r="AM45" s="436"/>
      <c r="AN45" s="437"/>
    </row>
    <row r="46" spans="2:40" ht="30" x14ac:dyDescent="0.25">
      <c r="B46" s="230" t="s">
        <v>667</v>
      </c>
      <c r="C46" s="232" t="s">
        <v>649</v>
      </c>
      <c r="D46" s="234"/>
      <c r="E46" s="302"/>
      <c r="F46" s="323"/>
      <c r="G46" s="382"/>
      <c r="H46" s="377"/>
      <c r="I46" s="382"/>
      <c r="J46" s="319"/>
      <c r="K46" s="302"/>
      <c r="L46" s="303"/>
      <c r="M46" s="293"/>
      <c r="N46" s="303"/>
      <c r="O46" s="302"/>
      <c r="P46" s="303"/>
      <c r="Q46" s="302"/>
      <c r="R46" s="303"/>
      <c r="S46" s="382"/>
      <c r="T46" s="377"/>
      <c r="U46" s="382"/>
      <c r="V46" s="377"/>
      <c r="W46" s="319"/>
      <c r="X46" s="319"/>
      <c r="Y46" s="302"/>
      <c r="Z46" s="303"/>
      <c r="AA46" s="309">
        <f>D46-SUM(E46:Z46)</f>
        <v>0</v>
      </c>
      <c r="AC46" s="479"/>
      <c r="AD46" s="479" t="s">
        <v>876</v>
      </c>
      <c r="AE46" s="481">
        <f>IF(AJ41="JV/Associate -&gt; Group",AM50,0)</f>
        <v>54</v>
      </c>
      <c r="AF46" s="481"/>
      <c r="AG46" s="479"/>
      <c r="AH46" s="479"/>
      <c r="AI46" s="479"/>
      <c r="AJ46" s="442" t="s">
        <v>766</v>
      </c>
      <c r="AK46" s="436"/>
      <c r="AL46" s="436"/>
      <c r="AM46" s="102">
        <f>0.833333333333333*AM44</f>
        <v>900</v>
      </c>
      <c r="AN46" s="437"/>
    </row>
    <row r="47" spans="2:40" ht="15.75" thickBot="1" x14ac:dyDescent="0.3">
      <c r="B47" s="230" t="s">
        <v>668</v>
      </c>
      <c r="C47" s="232" t="s">
        <v>669</v>
      </c>
      <c r="D47" s="234"/>
      <c r="E47" s="302"/>
      <c r="F47" s="323"/>
      <c r="G47" s="382"/>
      <c r="H47" s="377"/>
      <c r="I47" s="382"/>
      <c r="J47" s="319"/>
      <c r="K47" s="302"/>
      <c r="L47" s="303"/>
      <c r="M47" s="293"/>
      <c r="N47" s="303"/>
      <c r="O47" s="302"/>
      <c r="P47" s="303"/>
      <c r="Q47" s="302"/>
      <c r="R47" s="303"/>
      <c r="S47" s="382"/>
      <c r="T47" s="377"/>
      <c r="U47" s="382"/>
      <c r="V47" s="377"/>
      <c r="W47" s="319"/>
      <c r="X47" s="319"/>
      <c r="Y47" s="302"/>
      <c r="Z47" s="303"/>
      <c r="AA47" s="309">
        <f>D47-SUM(E47:Z47)</f>
        <v>0</v>
      </c>
      <c r="AC47" s="479"/>
      <c r="AD47" s="479" t="s">
        <v>304</v>
      </c>
      <c r="AE47" s="481"/>
      <c r="AF47" s="481">
        <f>IF(AJ41="JV/Associate -&gt; Group",AM50,0)</f>
        <v>54</v>
      </c>
      <c r="AG47" s="479"/>
      <c r="AH47" s="479"/>
      <c r="AI47" s="479"/>
      <c r="AJ47" s="442" t="s">
        <v>868</v>
      </c>
      <c r="AK47" s="436"/>
      <c r="AL47" s="436"/>
      <c r="AM47" s="364">
        <f>AM44-AM46</f>
        <v>180</v>
      </c>
      <c r="AN47" s="437"/>
    </row>
    <row r="48" spans="2:40" ht="15.75" thickTop="1" x14ac:dyDescent="0.25">
      <c r="B48" s="230" t="s">
        <v>670</v>
      </c>
      <c r="C48" s="232" t="s">
        <v>649</v>
      </c>
      <c r="D48" s="234"/>
      <c r="E48" s="302"/>
      <c r="F48" s="323"/>
      <c r="G48" s="382"/>
      <c r="H48" s="377"/>
      <c r="I48" s="382"/>
      <c r="J48" s="319"/>
      <c r="K48" s="302"/>
      <c r="L48" s="303"/>
      <c r="M48" s="293"/>
      <c r="N48" s="303"/>
      <c r="O48" s="302"/>
      <c r="P48" s="303"/>
      <c r="Q48" s="302"/>
      <c r="R48" s="303"/>
      <c r="S48" s="382"/>
      <c r="T48" s="377"/>
      <c r="U48" s="382"/>
      <c r="V48" s="377"/>
      <c r="W48" s="319"/>
      <c r="X48" s="319"/>
      <c r="Y48" s="302"/>
      <c r="Z48" s="303"/>
      <c r="AA48" s="309">
        <f>D48-SUM(E48:Z48)</f>
        <v>0</v>
      </c>
      <c r="AC48" s="479"/>
      <c r="AD48" s="479"/>
      <c r="AE48" s="479"/>
      <c r="AF48" s="479"/>
      <c r="AG48" s="479"/>
      <c r="AH48" s="479"/>
      <c r="AI48" s="479"/>
      <c r="AJ48" s="435"/>
      <c r="AK48" s="436"/>
      <c r="AL48" s="436"/>
      <c r="AM48" s="436"/>
      <c r="AN48" s="437"/>
    </row>
    <row r="49" spans="2:40" ht="15.75" x14ac:dyDescent="0.25">
      <c r="B49" s="227" t="s">
        <v>671</v>
      </c>
      <c r="C49" s="232"/>
      <c r="D49" s="236">
        <f>SUM(D46:D48)</f>
        <v>0</v>
      </c>
      <c r="E49" s="300"/>
      <c r="F49" s="282"/>
      <c r="G49" s="383"/>
      <c r="H49" s="384"/>
      <c r="I49" s="383"/>
      <c r="J49" s="320"/>
      <c r="K49" s="315"/>
      <c r="L49" s="316"/>
      <c r="M49" s="294"/>
      <c r="N49" s="316"/>
      <c r="O49" s="315"/>
      <c r="P49" s="316"/>
      <c r="Q49" s="315"/>
      <c r="R49" s="316"/>
      <c r="S49" s="383"/>
      <c r="T49" s="384"/>
      <c r="U49" s="383"/>
      <c r="V49" s="384"/>
      <c r="W49" s="320"/>
      <c r="X49" s="320"/>
      <c r="Y49" s="315"/>
      <c r="Z49" s="316"/>
      <c r="AA49" s="310">
        <f>SUM(AA46:AA48)</f>
        <v>0</v>
      </c>
      <c r="AC49" s="479"/>
      <c r="AD49" s="479"/>
      <c r="AE49" s="479"/>
      <c r="AF49" s="479"/>
      <c r="AG49" s="479"/>
      <c r="AH49" s="479"/>
      <c r="AI49" s="479"/>
      <c r="AJ49" s="442"/>
      <c r="AK49" s="440"/>
      <c r="AL49" s="440"/>
      <c r="AM49" s="440"/>
      <c r="AN49" s="437"/>
    </row>
    <row r="50" spans="2:40" ht="15.75" thickBot="1" x14ac:dyDescent="0.3">
      <c r="B50" s="230"/>
      <c r="C50" s="232"/>
      <c r="D50" s="233"/>
      <c r="E50" s="300"/>
      <c r="F50" s="282"/>
      <c r="G50" s="380"/>
      <c r="H50" s="381"/>
      <c r="I50" s="380"/>
      <c r="J50" s="318"/>
      <c r="K50" s="300"/>
      <c r="L50" s="301"/>
      <c r="M50" s="292"/>
      <c r="N50" s="301"/>
      <c r="O50" s="300"/>
      <c r="P50" s="301"/>
      <c r="Q50" s="300"/>
      <c r="R50" s="301"/>
      <c r="S50" s="380"/>
      <c r="T50" s="381"/>
      <c r="U50" s="380"/>
      <c r="V50" s="381"/>
      <c r="W50" s="318"/>
      <c r="X50" s="318"/>
      <c r="Y50" s="300"/>
      <c r="Z50" s="301"/>
      <c r="AA50" s="292"/>
      <c r="AC50" s="181"/>
      <c r="AD50" s="181"/>
      <c r="AE50" s="181"/>
      <c r="AF50" s="181"/>
      <c r="AG50" s="181"/>
      <c r="AH50" s="181"/>
      <c r="AI50" s="181"/>
      <c r="AJ50" s="451" t="s">
        <v>869</v>
      </c>
      <c r="AK50" s="452"/>
      <c r="AL50" s="452"/>
      <c r="AM50" s="459">
        <f>AM47*AM2</f>
        <v>54</v>
      </c>
      <c r="AN50" s="445"/>
    </row>
    <row r="51" spans="2:40" ht="15.75" x14ac:dyDescent="0.25">
      <c r="B51" s="227" t="s">
        <v>84</v>
      </c>
      <c r="C51" s="232"/>
      <c r="D51" s="233"/>
      <c r="E51" s="300"/>
      <c r="F51" s="282"/>
      <c r="G51" s="380"/>
      <c r="H51" s="381"/>
      <c r="I51" s="380"/>
      <c r="J51" s="318"/>
      <c r="K51" s="300"/>
      <c r="L51" s="301"/>
      <c r="M51" s="292"/>
      <c r="N51" s="301"/>
      <c r="O51" s="300"/>
      <c r="P51" s="301"/>
      <c r="Q51" s="300"/>
      <c r="R51" s="301"/>
      <c r="S51" s="380"/>
      <c r="T51" s="381"/>
      <c r="U51" s="380"/>
      <c r="V51" s="381"/>
      <c r="W51" s="318"/>
      <c r="X51" s="318"/>
      <c r="Y51" s="300"/>
      <c r="Z51" s="301"/>
      <c r="AA51" s="292"/>
      <c r="AC51" s="181"/>
      <c r="AD51" s="181"/>
      <c r="AE51" s="181"/>
      <c r="AF51" s="181"/>
      <c r="AG51" s="181"/>
      <c r="AH51" s="181"/>
      <c r="AI51" s="181"/>
    </row>
    <row r="52" spans="2:40" ht="15.75" thickBot="1" x14ac:dyDescent="0.3">
      <c r="B52" s="230" t="s">
        <v>86</v>
      </c>
      <c r="C52" s="232"/>
      <c r="D52" s="242"/>
      <c r="E52" s="302"/>
      <c r="F52" s="323"/>
      <c r="G52" s="382"/>
      <c r="H52" s="377"/>
      <c r="I52" s="382"/>
      <c r="J52" s="319"/>
      <c r="K52" s="302"/>
      <c r="L52" s="303"/>
      <c r="M52" s="293"/>
      <c r="N52" s="303"/>
      <c r="O52" s="302"/>
      <c r="P52" s="303"/>
      <c r="Q52" s="302"/>
      <c r="R52" s="303"/>
      <c r="S52" s="382"/>
      <c r="T52" s="377"/>
      <c r="U52" s="382"/>
      <c r="V52" s="377"/>
      <c r="W52" s="319"/>
      <c r="X52" s="319"/>
      <c r="Y52" s="302"/>
      <c r="Z52" s="303"/>
      <c r="AA52" s="309">
        <f>D52-SUM(E52:Z52)</f>
        <v>0</v>
      </c>
      <c r="AC52" s="181"/>
      <c r="AH52" s="181"/>
      <c r="AI52" s="181"/>
    </row>
    <row r="53" spans="2:40" ht="16.5" thickBot="1" x14ac:dyDescent="0.3">
      <c r="B53" s="230" t="s">
        <v>672</v>
      </c>
      <c r="C53" s="232" t="s">
        <v>649</v>
      </c>
      <c r="D53" s="242"/>
      <c r="E53" s="302"/>
      <c r="F53" s="323"/>
      <c r="G53" s="382"/>
      <c r="H53" s="377"/>
      <c r="I53" s="382"/>
      <c r="J53" s="319"/>
      <c r="K53" s="302"/>
      <c r="L53" s="303"/>
      <c r="M53" s="293"/>
      <c r="N53" s="303"/>
      <c r="O53" s="302"/>
      <c r="P53" s="303"/>
      <c r="Q53" s="302"/>
      <c r="R53" s="303"/>
      <c r="S53" s="382"/>
      <c r="T53" s="377"/>
      <c r="U53" s="382"/>
      <c r="V53" s="377"/>
      <c r="W53" s="319"/>
      <c r="X53" s="319"/>
      <c r="Y53" s="302"/>
      <c r="Z53" s="303"/>
      <c r="AA53" s="309">
        <f>D53-SUM(E53:Z53)</f>
        <v>0</v>
      </c>
      <c r="AC53" s="483">
        <v>6</v>
      </c>
      <c r="AD53" s="3" t="s">
        <v>475</v>
      </c>
      <c r="AE53" s="21">
        <f>AM57</f>
        <v>4184.3999999999996</v>
      </c>
      <c r="AF53" s="181"/>
      <c r="AG53" s="181"/>
      <c r="AJ53" s="446" t="s">
        <v>698</v>
      </c>
      <c r="AK53" s="423"/>
      <c r="AL53" s="423"/>
      <c r="AM53" s="423"/>
      <c r="AN53" s="425"/>
    </row>
    <row r="54" spans="2:40" x14ac:dyDescent="0.25">
      <c r="B54" s="230" t="s">
        <v>673</v>
      </c>
      <c r="C54" s="232" t="s">
        <v>649</v>
      </c>
      <c r="D54" s="242"/>
      <c r="E54" s="302"/>
      <c r="F54" s="323"/>
      <c r="G54" s="382"/>
      <c r="H54" s="377"/>
      <c r="I54" s="382"/>
      <c r="J54" s="319"/>
      <c r="K54" s="302"/>
      <c r="L54" s="303"/>
      <c r="M54" s="293"/>
      <c r="N54" s="303"/>
      <c r="O54" s="302"/>
      <c r="P54" s="303"/>
      <c r="Q54" s="302"/>
      <c r="R54" s="303"/>
      <c r="S54" s="382"/>
      <c r="T54" s="377"/>
      <c r="U54" s="382"/>
      <c r="V54" s="377"/>
      <c r="W54" s="319"/>
      <c r="X54" s="319"/>
      <c r="Y54" s="302"/>
      <c r="Z54" s="303"/>
      <c r="AA54" s="309">
        <f>D54-SUM(E54:Z54)</f>
        <v>0</v>
      </c>
      <c r="AD54" s="3" t="s">
        <v>864</v>
      </c>
      <c r="AF54" s="12">
        <f>AM57</f>
        <v>4184.3999999999996</v>
      </c>
      <c r="AJ54" s="442" t="s">
        <v>863</v>
      </c>
      <c r="AK54" s="440"/>
      <c r="AL54" s="440"/>
      <c r="AM54" s="441">
        <f>AM30</f>
        <v>4238.3999999999996</v>
      </c>
      <c r="AN54" s="437"/>
    </row>
    <row r="55" spans="2:40" x14ac:dyDescent="0.25">
      <c r="B55" s="230" t="s">
        <v>87</v>
      </c>
      <c r="C55" s="232"/>
      <c r="D55" s="242"/>
      <c r="E55" s="302"/>
      <c r="F55" s="323"/>
      <c r="G55" s="382"/>
      <c r="H55" s="377"/>
      <c r="I55" s="382"/>
      <c r="J55" s="319"/>
      <c r="K55" s="302"/>
      <c r="L55" s="303"/>
      <c r="M55" s="293"/>
      <c r="N55" s="303"/>
      <c r="O55" s="302"/>
      <c r="P55" s="303"/>
      <c r="Q55" s="302"/>
      <c r="R55" s="303"/>
      <c r="S55" s="382"/>
      <c r="T55" s="377"/>
      <c r="U55" s="382"/>
      <c r="V55" s="377"/>
      <c r="W55" s="319"/>
      <c r="X55" s="319"/>
      <c r="Y55" s="302"/>
      <c r="Z55" s="303"/>
      <c r="AA55" s="309">
        <f>D55-SUM(E55:Z55)</f>
        <v>0</v>
      </c>
      <c r="AJ55" s="442" t="s">
        <v>799</v>
      </c>
      <c r="AK55" s="440"/>
      <c r="AL55" s="440"/>
      <c r="AM55" s="441">
        <f>-AM36</f>
        <v>0</v>
      </c>
      <c r="AN55" s="437"/>
    </row>
    <row r="56" spans="2:40" x14ac:dyDescent="0.25">
      <c r="B56" s="230" t="s">
        <v>674</v>
      </c>
      <c r="C56" s="232" t="s">
        <v>649</v>
      </c>
      <c r="D56" s="242"/>
      <c r="E56" s="302"/>
      <c r="F56" s="323"/>
      <c r="G56" s="382"/>
      <c r="H56" s="377"/>
      <c r="I56" s="382"/>
      <c r="J56" s="319"/>
      <c r="K56" s="302"/>
      <c r="L56" s="303"/>
      <c r="M56" s="293"/>
      <c r="N56" s="303"/>
      <c r="O56" s="302"/>
      <c r="P56" s="303"/>
      <c r="Q56" s="302"/>
      <c r="R56" s="303"/>
      <c r="S56" s="382"/>
      <c r="T56" s="377"/>
      <c r="U56" s="382"/>
      <c r="V56" s="377"/>
      <c r="W56" s="319"/>
      <c r="X56" s="319"/>
      <c r="Y56" s="302"/>
      <c r="Z56" s="303"/>
      <c r="AA56" s="309">
        <f>D56-SUM(E56:Z56)</f>
        <v>0</v>
      </c>
      <c r="AJ56" s="442" t="s">
        <v>798</v>
      </c>
      <c r="AK56" s="440"/>
      <c r="AL56" s="440"/>
      <c r="AM56" s="449">
        <f>-AM50</f>
        <v>-54</v>
      </c>
      <c r="AN56" s="437"/>
    </row>
    <row r="57" spans="2:40" ht="16.5" thickBot="1" x14ac:dyDescent="0.3">
      <c r="B57" s="227" t="s">
        <v>675</v>
      </c>
      <c r="C57" s="232"/>
      <c r="D57" s="236">
        <f>SUM(D52:D56)</f>
        <v>0</v>
      </c>
      <c r="E57" s="300"/>
      <c r="F57" s="282"/>
      <c r="G57" s="380"/>
      <c r="H57" s="381"/>
      <c r="I57" s="380"/>
      <c r="J57" s="318"/>
      <c r="K57" s="300"/>
      <c r="L57" s="301"/>
      <c r="M57" s="292"/>
      <c r="N57" s="301"/>
      <c r="O57" s="300"/>
      <c r="P57" s="301"/>
      <c r="Q57" s="300"/>
      <c r="R57" s="301"/>
      <c r="S57" s="380"/>
      <c r="T57" s="381"/>
      <c r="U57" s="380"/>
      <c r="V57" s="381"/>
      <c r="W57" s="318"/>
      <c r="X57" s="318"/>
      <c r="Y57" s="300"/>
      <c r="Z57" s="301"/>
      <c r="AA57" s="310">
        <f>SUM(AA52:AA56)</f>
        <v>0</v>
      </c>
      <c r="AJ57" s="442"/>
      <c r="AK57" s="440"/>
      <c r="AL57" s="440"/>
      <c r="AM57" s="279">
        <f>SUM(AM54:AM56)</f>
        <v>4184.3999999999996</v>
      </c>
      <c r="AN57" s="437"/>
    </row>
    <row r="58" spans="2:40" ht="17.25" thickTop="1" thickBot="1" x14ac:dyDescent="0.3">
      <c r="B58" s="227" t="s">
        <v>676</v>
      </c>
      <c r="C58" s="232"/>
      <c r="D58" s="236">
        <f>SUM(D49,D57)</f>
        <v>0</v>
      </c>
      <c r="E58" s="300"/>
      <c r="F58" s="282"/>
      <c r="G58" s="380"/>
      <c r="H58" s="381"/>
      <c r="I58" s="380"/>
      <c r="J58" s="318"/>
      <c r="K58" s="300"/>
      <c r="L58" s="301"/>
      <c r="M58" s="292"/>
      <c r="N58" s="301"/>
      <c r="O58" s="300"/>
      <c r="P58" s="301"/>
      <c r="Q58" s="300"/>
      <c r="R58" s="301"/>
      <c r="S58" s="380"/>
      <c r="T58" s="381"/>
      <c r="U58" s="380"/>
      <c r="V58" s="381"/>
      <c r="W58" s="318"/>
      <c r="X58" s="318"/>
      <c r="Y58" s="300"/>
      <c r="Z58" s="301"/>
      <c r="AA58" s="310">
        <f>SUM(AA49,AA57)</f>
        <v>0</v>
      </c>
      <c r="AJ58" s="451"/>
      <c r="AK58" s="452"/>
      <c r="AL58" s="452"/>
      <c r="AM58" s="452"/>
      <c r="AN58" s="445"/>
    </row>
    <row r="59" spans="2:40" ht="16.5" thickBot="1" x14ac:dyDescent="0.3">
      <c r="B59" s="227" t="s">
        <v>677</v>
      </c>
      <c r="C59" s="232"/>
      <c r="D59" s="238">
        <f>SUM(D43,D58)</f>
        <v>3640</v>
      </c>
      <c r="E59" s="306"/>
      <c r="F59" s="352"/>
      <c r="G59" s="388"/>
      <c r="H59" s="389"/>
      <c r="I59" s="388"/>
      <c r="J59" s="376"/>
      <c r="K59" s="306"/>
      <c r="L59" s="307"/>
      <c r="M59" s="331"/>
      <c r="N59" s="307"/>
      <c r="O59" s="306"/>
      <c r="P59" s="307"/>
      <c r="Q59" s="306"/>
      <c r="R59" s="307"/>
      <c r="S59" s="388"/>
      <c r="T59" s="389"/>
      <c r="U59" s="388"/>
      <c r="V59" s="389"/>
      <c r="W59" s="376"/>
      <c r="X59" s="376"/>
      <c r="Y59" s="306"/>
      <c r="Z59" s="307"/>
      <c r="AA59" s="311">
        <f>SUM(AA43,AA58)</f>
        <v>8287</v>
      </c>
    </row>
    <row r="60" spans="2:40" x14ac:dyDescent="0.25">
      <c r="E60" s="391"/>
      <c r="F60" s="395"/>
      <c r="G60" s="391"/>
      <c r="H60" s="392"/>
      <c r="I60" s="391"/>
      <c r="J60" s="395"/>
      <c r="K60" s="391"/>
      <c r="L60" s="392"/>
    </row>
    <row r="61" spans="2:40" x14ac:dyDescent="0.25">
      <c r="E61" s="391"/>
      <c r="F61" s="395"/>
      <c r="G61" s="391"/>
      <c r="H61" s="392"/>
      <c r="I61" s="391"/>
      <c r="J61" s="395"/>
      <c r="K61" s="391"/>
      <c r="L61" s="392"/>
    </row>
    <row r="62" spans="2:40" x14ac:dyDescent="0.25">
      <c r="E62" s="391"/>
      <c r="F62" s="395"/>
      <c r="G62" s="391"/>
      <c r="H62" s="392"/>
      <c r="I62" s="391"/>
      <c r="J62" s="395"/>
      <c r="K62" s="391"/>
      <c r="L62" s="392"/>
    </row>
    <row r="63" spans="2:40" ht="15.75" x14ac:dyDescent="0.25">
      <c r="B63" s="224" t="s">
        <v>636</v>
      </c>
      <c r="C63" s="853" t="s">
        <v>637</v>
      </c>
      <c r="D63" s="229"/>
      <c r="E63" s="393"/>
      <c r="F63" s="396"/>
      <c r="G63" s="393"/>
      <c r="H63" s="396"/>
      <c r="I63" s="393"/>
      <c r="J63" s="396"/>
      <c r="K63" s="393"/>
      <c r="L63" s="394"/>
      <c r="M63" s="390"/>
      <c r="N63" s="297"/>
      <c r="O63" s="297"/>
      <c r="P63" s="297"/>
      <c r="Q63" s="297"/>
      <c r="R63" s="297"/>
      <c r="S63" s="297"/>
      <c r="T63" s="297"/>
      <c r="U63" s="297"/>
      <c r="V63" s="297"/>
      <c r="W63" s="297"/>
      <c r="X63" s="297"/>
      <c r="Y63" s="297"/>
      <c r="Z63" s="297"/>
      <c r="AA63" s="225"/>
    </row>
    <row r="64" spans="2:40" ht="15.75" x14ac:dyDescent="0.25">
      <c r="B64" s="227" t="s">
        <v>13</v>
      </c>
      <c r="C64" s="854"/>
      <c r="D64" s="225"/>
      <c r="E64" s="850">
        <v>1</v>
      </c>
      <c r="F64" s="856"/>
      <c r="G64" s="850">
        <v>2</v>
      </c>
      <c r="H64" s="851"/>
      <c r="I64" s="850">
        <v>3</v>
      </c>
      <c r="J64" s="856"/>
      <c r="K64" s="850">
        <v>4</v>
      </c>
      <c r="L64" s="851"/>
      <c r="M64" s="856">
        <v>5</v>
      </c>
      <c r="N64" s="851"/>
      <c r="O64" s="850">
        <v>6</v>
      </c>
      <c r="P64" s="851"/>
      <c r="Q64" s="850">
        <v>7</v>
      </c>
      <c r="R64" s="851"/>
      <c r="S64" s="850">
        <v>8</v>
      </c>
      <c r="T64" s="851"/>
      <c r="U64" s="861">
        <v>9</v>
      </c>
      <c r="V64" s="861"/>
      <c r="W64" s="856">
        <v>10</v>
      </c>
      <c r="X64" s="851"/>
      <c r="Y64" s="850">
        <v>11</v>
      </c>
      <c r="Z64" s="851"/>
      <c r="AA64" s="308"/>
    </row>
    <row r="65" spans="2:27" ht="16.5" thickBot="1" x14ac:dyDescent="0.3">
      <c r="B65" s="228" t="s">
        <v>699</v>
      </c>
      <c r="C65" s="855"/>
      <c r="D65" s="229" t="s">
        <v>639</v>
      </c>
      <c r="E65" s="298" t="s">
        <v>700</v>
      </c>
      <c r="F65" s="281" t="s">
        <v>701</v>
      </c>
      <c r="G65" s="378"/>
      <c r="H65" s="379"/>
      <c r="I65" s="378"/>
      <c r="J65" s="477"/>
      <c r="K65" s="298" t="s">
        <v>700</v>
      </c>
      <c r="L65" s="299" t="s">
        <v>701</v>
      </c>
      <c r="M65" s="291" t="s">
        <v>700</v>
      </c>
      <c r="N65" s="299" t="s">
        <v>701</v>
      </c>
      <c r="O65" s="298" t="s">
        <v>700</v>
      </c>
      <c r="P65" s="299" t="s">
        <v>701</v>
      </c>
      <c r="Q65" s="298" t="s">
        <v>700</v>
      </c>
      <c r="R65" s="299" t="s">
        <v>701</v>
      </c>
      <c r="S65" s="298" t="s">
        <v>700</v>
      </c>
      <c r="T65" s="299" t="s">
        <v>701</v>
      </c>
      <c r="U65" s="469" t="s">
        <v>700</v>
      </c>
      <c r="V65" s="470" t="s">
        <v>701</v>
      </c>
      <c r="W65" s="291" t="s">
        <v>700</v>
      </c>
      <c r="X65" s="299" t="s">
        <v>701</v>
      </c>
      <c r="Y65" s="298" t="s">
        <v>700</v>
      </c>
      <c r="Z65" s="299" t="s">
        <v>701</v>
      </c>
      <c r="AA65" s="291" t="s">
        <v>644</v>
      </c>
    </row>
    <row r="66" spans="2:27" ht="15.75" x14ac:dyDescent="0.25">
      <c r="B66" s="230"/>
      <c r="C66" s="231" t="s">
        <v>645</v>
      </c>
      <c r="D66" s="229" t="s">
        <v>10</v>
      </c>
      <c r="E66" s="298" t="s">
        <v>10</v>
      </c>
      <c r="F66" s="281" t="s">
        <v>10</v>
      </c>
      <c r="G66" s="378"/>
      <c r="H66" s="379"/>
      <c r="I66" s="378"/>
      <c r="J66" s="477"/>
      <c r="K66" s="298" t="s">
        <v>10</v>
      </c>
      <c r="L66" s="299" t="s">
        <v>10</v>
      </c>
      <c r="M66" s="291" t="s">
        <v>10</v>
      </c>
      <c r="N66" s="299" t="s">
        <v>10</v>
      </c>
      <c r="O66" s="298" t="s">
        <v>10</v>
      </c>
      <c r="P66" s="299" t="s">
        <v>10</v>
      </c>
      <c r="Q66" s="298" t="s">
        <v>10</v>
      </c>
      <c r="R66" s="299" t="s">
        <v>10</v>
      </c>
      <c r="S66" s="298" t="s">
        <v>10</v>
      </c>
      <c r="T66" s="299" t="s">
        <v>10</v>
      </c>
      <c r="U66" s="298" t="s">
        <v>10</v>
      </c>
      <c r="V66" s="299" t="s">
        <v>10</v>
      </c>
      <c r="W66" s="291" t="s">
        <v>10</v>
      </c>
      <c r="X66" s="299" t="s">
        <v>10</v>
      </c>
      <c r="Y66" s="298" t="s">
        <v>10</v>
      </c>
      <c r="Z66" s="299" t="s">
        <v>10</v>
      </c>
      <c r="AA66" s="291" t="s">
        <v>10</v>
      </c>
    </row>
    <row r="67" spans="2:27" ht="15.75" x14ac:dyDescent="0.25">
      <c r="B67" s="227" t="s">
        <v>58</v>
      </c>
      <c r="C67" s="232"/>
      <c r="D67" s="234">
        <v>207657</v>
      </c>
      <c r="E67" s="302"/>
      <c r="F67" s="323"/>
      <c r="G67" s="382"/>
      <c r="H67" s="377"/>
      <c r="I67" s="382"/>
      <c r="J67" s="319"/>
      <c r="K67" s="302"/>
      <c r="L67" s="303"/>
      <c r="M67" s="293"/>
      <c r="N67" s="303"/>
      <c r="O67" s="302"/>
      <c r="P67" s="303"/>
      <c r="Q67" s="302"/>
      <c r="R67" s="303"/>
      <c r="S67" s="302"/>
      <c r="T67" s="303"/>
      <c r="U67" s="382"/>
      <c r="V67" s="377"/>
      <c r="W67" s="319"/>
      <c r="X67" s="319"/>
      <c r="Y67" s="302"/>
      <c r="Z67" s="303"/>
      <c r="AA67" s="309">
        <f>D67-SUM(E67:Z67)</f>
        <v>207657</v>
      </c>
    </row>
    <row r="68" spans="2:27" ht="15.75" x14ac:dyDescent="0.25">
      <c r="B68" s="227"/>
      <c r="C68" s="232"/>
      <c r="D68" s="246"/>
      <c r="E68" s="302"/>
      <c r="F68" s="323"/>
      <c r="G68" s="382"/>
      <c r="H68" s="377"/>
      <c r="I68" s="382"/>
      <c r="J68" s="319"/>
      <c r="K68" s="302"/>
      <c r="L68" s="303"/>
      <c r="M68" s="293"/>
      <c r="N68" s="303"/>
      <c r="O68" s="302"/>
      <c r="P68" s="303"/>
      <c r="Q68" s="302"/>
      <c r="R68" s="303"/>
      <c r="S68" s="382"/>
      <c r="T68" s="377"/>
      <c r="U68" s="382"/>
      <c r="V68" s="377"/>
      <c r="W68" s="319"/>
      <c r="X68" s="319"/>
      <c r="Y68" s="302"/>
      <c r="Z68" s="303"/>
      <c r="AA68" s="292"/>
    </row>
    <row r="69" spans="2:27" ht="15.75" x14ac:dyDescent="0.25">
      <c r="B69" s="227"/>
      <c r="C69" s="232"/>
      <c r="D69" s="246"/>
      <c r="E69" s="302"/>
      <c r="F69" s="323"/>
      <c r="G69" s="382"/>
      <c r="H69" s="377"/>
      <c r="I69" s="382"/>
      <c r="J69" s="319"/>
      <c r="K69" s="302"/>
      <c r="L69" s="303"/>
      <c r="M69" s="293"/>
      <c r="N69" s="303"/>
      <c r="O69" s="302"/>
      <c r="P69" s="303"/>
      <c r="Q69" s="302"/>
      <c r="R69" s="303"/>
      <c r="S69" s="382"/>
      <c r="T69" s="377"/>
      <c r="U69" s="382"/>
      <c r="V69" s="377"/>
      <c r="W69" s="319"/>
      <c r="X69" s="319"/>
      <c r="Y69" s="302"/>
      <c r="Z69" s="303"/>
      <c r="AA69" s="292"/>
    </row>
    <row r="70" spans="2:27" x14ac:dyDescent="0.25">
      <c r="B70" s="230" t="s">
        <v>67</v>
      </c>
      <c r="C70" s="232"/>
      <c r="D70" s="235">
        <v>136249</v>
      </c>
      <c r="E70" s="302"/>
      <c r="F70" s="323"/>
      <c r="G70" s="382"/>
      <c r="H70" s="377"/>
      <c r="I70" s="382"/>
      <c r="J70" s="319"/>
      <c r="K70" s="302"/>
      <c r="L70" s="303"/>
      <c r="M70" s="293">
        <f>SUMIF($AD$41:$AD$47,"DR SPL - Cost of sales",$AE$41:$AE$47)</f>
        <v>0</v>
      </c>
      <c r="N70" s="303">
        <f>-SUMIF($AD$40:$AD$47,"CR SPL - Cost of sales",$AF$40:$AF$47)</f>
        <v>0</v>
      </c>
      <c r="O70" s="302"/>
      <c r="P70" s="303"/>
      <c r="Q70" s="302"/>
      <c r="R70" s="303"/>
      <c r="S70" s="302"/>
      <c r="T70" s="303"/>
      <c r="U70" s="382"/>
      <c r="V70" s="377"/>
      <c r="W70" s="319"/>
      <c r="X70" s="319"/>
      <c r="Y70" s="302"/>
      <c r="Z70" s="303"/>
      <c r="AA70" s="309">
        <f>D70+SUM(E70:Z70)</f>
        <v>136249</v>
      </c>
    </row>
    <row r="71" spans="2:27" x14ac:dyDescent="0.25">
      <c r="B71" s="230"/>
      <c r="C71" s="232"/>
      <c r="D71" s="233"/>
      <c r="E71" s="302"/>
      <c r="F71" s="323"/>
      <c r="G71" s="382"/>
      <c r="H71" s="377"/>
      <c r="I71" s="382"/>
      <c r="J71" s="319"/>
      <c r="K71" s="302"/>
      <c r="L71" s="303"/>
      <c r="M71" s="293"/>
      <c r="N71" s="303"/>
      <c r="O71" s="302"/>
      <c r="P71" s="303"/>
      <c r="Q71" s="302"/>
      <c r="R71" s="303"/>
      <c r="S71" s="382"/>
      <c r="T71" s="377"/>
      <c r="U71" s="382"/>
      <c r="V71" s="377"/>
      <c r="W71" s="319"/>
      <c r="X71" s="319"/>
      <c r="Y71" s="302"/>
      <c r="Z71" s="303"/>
      <c r="AA71" s="292"/>
    </row>
    <row r="72" spans="2:27" x14ac:dyDescent="0.25">
      <c r="B72" s="230"/>
      <c r="C72" s="232"/>
      <c r="D72" s="246"/>
      <c r="E72" s="302"/>
      <c r="F72" s="323"/>
      <c r="G72" s="382"/>
      <c r="H72" s="377"/>
      <c r="I72" s="382"/>
      <c r="J72" s="319"/>
      <c r="K72" s="302"/>
      <c r="L72" s="303"/>
      <c r="M72" s="293"/>
      <c r="N72" s="303"/>
      <c r="O72" s="302"/>
      <c r="P72" s="303"/>
      <c r="Q72" s="302"/>
      <c r="R72" s="303"/>
      <c r="S72" s="382"/>
      <c r="T72" s="377"/>
      <c r="U72" s="382"/>
      <c r="V72" s="377"/>
      <c r="W72" s="319"/>
      <c r="X72" s="319"/>
      <c r="Y72" s="302"/>
      <c r="Z72" s="303"/>
      <c r="AA72" s="330"/>
    </row>
    <row r="73" spans="2:27" x14ac:dyDescent="0.25">
      <c r="B73" s="230" t="s">
        <v>702</v>
      </c>
      <c r="C73" s="232"/>
      <c r="D73" s="239">
        <f>D67-D70</f>
        <v>71408</v>
      </c>
      <c r="E73" s="300"/>
      <c r="F73" s="282"/>
      <c r="G73" s="380"/>
      <c r="H73" s="381"/>
      <c r="I73" s="380"/>
      <c r="J73" s="318"/>
      <c r="K73" s="300"/>
      <c r="L73" s="301"/>
      <c r="M73" s="292"/>
      <c r="N73" s="301"/>
      <c r="O73" s="300"/>
      <c r="P73" s="301"/>
      <c r="Q73" s="300"/>
      <c r="R73" s="301"/>
      <c r="S73" s="380"/>
      <c r="T73" s="381"/>
      <c r="U73" s="380"/>
      <c r="V73" s="381"/>
      <c r="W73" s="318"/>
      <c r="X73" s="318"/>
      <c r="Y73" s="300"/>
      <c r="Z73" s="301"/>
      <c r="AA73" s="312">
        <f>AA67-AA70</f>
        <v>71408</v>
      </c>
    </row>
    <row r="74" spans="2:27" x14ac:dyDescent="0.25">
      <c r="B74" s="230" t="s">
        <v>95</v>
      </c>
      <c r="C74" s="232"/>
      <c r="D74" s="235"/>
      <c r="E74" s="302">
        <f>SUMIF($AD$3:$AD$12,"DR SPL - Gain from bargain purchase",$AE$3:$AE$12)</f>
        <v>0</v>
      </c>
      <c r="F74" s="303">
        <f>-SUMIF($AD$3:$AD$12,"CR SPL - Gain from bargain purchase",$AF$3:$AF$12)</f>
        <v>0</v>
      </c>
      <c r="G74" s="382"/>
      <c r="H74" s="377"/>
      <c r="I74" s="382"/>
      <c r="J74" s="319"/>
      <c r="K74" s="302"/>
      <c r="L74" s="303"/>
      <c r="M74" s="293"/>
      <c r="N74" s="303"/>
      <c r="O74" s="302"/>
      <c r="P74" s="303"/>
      <c r="Q74" s="302"/>
      <c r="R74" s="303"/>
      <c r="S74" s="382"/>
      <c r="T74" s="377"/>
      <c r="U74" s="382"/>
      <c r="V74" s="377"/>
      <c r="W74" s="319"/>
      <c r="X74" s="319"/>
      <c r="Y74" s="302"/>
      <c r="Z74" s="303"/>
      <c r="AA74" s="309">
        <f>D74-SUM(E74:Z74)</f>
        <v>0</v>
      </c>
    </row>
    <row r="75" spans="2:27" x14ac:dyDescent="0.25">
      <c r="B75" s="230"/>
      <c r="C75" s="232"/>
      <c r="D75" s="233"/>
      <c r="E75" s="302"/>
      <c r="F75" s="323"/>
      <c r="G75" s="382"/>
      <c r="H75" s="377"/>
      <c r="I75" s="382"/>
      <c r="J75" s="319"/>
      <c r="K75" s="302"/>
      <c r="L75" s="303"/>
      <c r="M75" s="293"/>
      <c r="N75" s="303"/>
      <c r="O75" s="302"/>
      <c r="P75" s="303"/>
      <c r="Q75" s="302"/>
      <c r="R75" s="303"/>
      <c r="S75" s="382"/>
      <c r="T75" s="377"/>
      <c r="U75" s="382"/>
      <c r="V75" s="377"/>
      <c r="W75" s="319"/>
      <c r="X75" s="319"/>
      <c r="Y75" s="302"/>
      <c r="Z75" s="303"/>
      <c r="AA75" s="292"/>
    </row>
    <row r="76" spans="2:27" x14ac:dyDescent="0.25">
      <c r="B76" s="230"/>
      <c r="C76" s="232"/>
      <c r="D76" s="233"/>
      <c r="E76" s="302"/>
      <c r="F76" s="323"/>
      <c r="G76" s="382"/>
      <c r="H76" s="377"/>
      <c r="I76" s="382"/>
      <c r="J76" s="319"/>
      <c r="K76" s="302"/>
      <c r="L76" s="303"/>
      <c r="M76" s="293"/>
      <c r="N76" s="303"/>
      <c r="O76" s="302"/>
      <c r="P76" s="303"/>
      <c r="Q76" s="302"/>
      <c r="R76" s="303"/>
      <c r="S76" s="382"/>
      <c r="T76" s="377"/>
      <c r="U76" s="382"/>
      <c r="V76" s="377"/>
      <c r="W76" s="319"/>
      <c r="X76" s="319"/>
      <c r="Y76" s="302"/>
      <c r="Z76" s="303"/>
      <c r="AA76" s="292"/>
    </row>
    <row r="77" spans="2:27" x14ac:dyDescent="0.25">
      <c r="B77" s="230" t="s">
        <v>703</v>
      </c>
      <c r="C77" s="232"/>
      <c r="D77" s="247">
        <v>7202</v>
      </c>
      <c r="E77" s="302"/>
      <c r="F77" s="323"/>
      <c r="G77" s="382"/>
      <c r="H77" s="377"/>
      <c r="I77" s="382"/>
      <c r="J77" s="319"/>
      <c r="K77" s="302"/>
      <c r="L77" s="303"/>
      <c r="M77" s="293"/>
      <c r="N77" s="303"/>
      <c r="O77" s="302"/>
      <c r="P77" s="303"/>
      <c r="Q77" s="302"/>
      <c r="R77" s="303"/>
      <c r="S77" s="382"/>
      <c r="T77" s="377"/>
      <c r="U77" s="382"/>
      <c r="V77" s="377"/>
      <c r="W77" s="319"/>
      <c r="X77" s="319"/>
      <c r="Y77" s="302"/>
      <c r="Z77" s="303"/>
      <c r="AA77" s="309">
        <f>D77+SUM(E77:Z77)</f>
        <v>7202</v>
      </c>
    </row>
    <row r="78" spans="2:27" x14ac:dyDescent="0.25">
      <c r="B78" s="230"/>
      <c r="C78" s="232"/>
      <c r="D78" s="233"/>
      <c r="E78" s="302"/>
      <c r="F78" s="323"/>
      <c r="G78" s="382"/>
      <c r="H78" s="377"/>
      <c r="I78" s="382"/>
      <c r="J78" s="319"/>
      <c r="K78" s="302"/>
      <c r="L78" s="303"/>
      <c r="M78" s="293"/>
      <c r="N78" s="303"/>
      <c r="O78" s="302"/>
      <c r="P78" s="303"/>
      <c r="Q78" s="302"/>
      <c r="R78" s="303"/>
      <c r="S78" s="382"/>
      <c r="T78" s="377"/>
      <c r="U78" s="382"/>
      <c r="V78" s="377"/>
      <c r="W78" s="319"/>
      <c r="X78" s="319"/>
      <c r="Y78" s="302"/>
      <c r="Z78" s="303"/>
      <c r="AA78" s="292"/>
    </row>
    <row r="79" spans="2:27" x14ac:dyDescent="0.25">
      <c r="B79" s="230"/>
      <c r="C79" s="232"/>
      <c r="D79" s="233"/>
      <c r="E79" s="302"/>
      <c r="F79" s="323"/>
      <c r="G79" s="382"/>
      <c r="H79" s="377"/>
      <c r="I79" s="382"/>
      <c r="J79" s="319"/>
      <c r="K79" s="302"/>
      <c r="L79" s="303"/>
      <c r="M79" s="293"/>
      <c r="N79" s="303"/>
      <c r="O79" s="302"/>
      <c r="P79" s="303"/>
      <c r="Q79" s="302"/>
      <c r="R79" s="303"/>
      <c r="S79" s="382"/>
      <c r="T79" s="377"/>
      <c r="U79" s="382"/>
      <c r="V79" s="377"/>
      <c r="W79" s="319"/>
      <c r="X79" s="319"/>
      <c r="Y79" s="302"/>
      <c r="Z79" s="303"/>
      <c r="AA79" s="292"/>
    </row>
    <row r="80" spans="2:27" x14ac:dyDescent="0.25">
      <c r="B80" s="230" t="s">
        <v>704</v>
      </c>
      <c r="C80" s="232"/>
      <c r="D80" s="247">
        <v>17802</v>
      </c>
      <c r="E80" s="302"/>
      <c r="F80" s="323"/>
      <c r="G80" s="382"/>
      <c r="H80" s="377"/>
      <c r="I80" s="382"/>
      <c r="J80" s="319"/>
      <c r="K80" s="302"/>
      <c r="L80" s="303"/>
      <c r="M80" s="293"/>
      <c r="N80" s="303"/>
      <c r="O80" s="302"/>
      <c r="P80" s="303"/>
      <c r="Q80" s="302"/>
      <c r="R80" s="303"/>
      <c r="S80" s="382"/>
      <c r="T80" s="377"/>
      <c r="U80" s="382"/>
      <c r="V80" s="377"/>
      <c r="W80" s="319"/>
      <c r="X80" s="319"/>
      <c r="Y80" s="302"/>
      <c r="Z80" s="303"/>
      <c r="AA80" s="309">
        <f>D80+SUM(E80:Z80)</f>
        <v>17802</v>
      </c>
    </row>
    <row r="81" spans="2:27" x14ac:dyDescent="0.25">
      <c r="B81" s="230"/>
      <c r="C81" s="232"/>
      <c r="D81" s="233"/>
      <c r="E81" s="302"/>
      <c r="F81" s="323"/>
      <c r="G81" s="382"/>
      <c r="H81" s="377"/>
      <c r="I81" s="382"/>
      <c r="J81" s="319"/>
      <c r="K81" s="302"/>
      <c r="L81" s="303"/>
      <c r="M81" s="293"/>
      <c r="N81" s="303"/>
      <c r="O81" s="302"/>
      <c r="P81" s="303"/>
      <c r="Q81" s="302"/>
      <c r="R81" s="303"/>
      <c r="S81" s="382"/>
      <c r="T81" s="377"/>
      <c r="U81" s="382"/>
      <c r="V81" s="377"/>
      <c r="W81" s="319"/>
      <c r="X81" s="319"/>
      <c r="Y81" s="302"/>
      <c r="Z81" s="303"/>
      <c r="AA81" s="292"/>
    </row>
    <row r="82" spans="2:27" x14ac:dyDescent="0.25">
      <c r="B82" s="230"/>
      <c r="C82" s="232"/>
      <c r="D82" s="233"/>
      <c r="E82" s="302"/>
      <c r="F82" s="323"/>
      <c r="G82" s="382"/>
      <c r="H82" s="377"/>
      <c r="I82" s="382"/>
      <c r="J82" s="319"/>
      <c r="K82" s="302"/>
      <c r="L82" s="303"/>
      <c r="M82" s="293"/>
      <c r="N82" s="303"/>
      <c r="O82" s="302"/>
      <c r="P82" s="303"/>
      <c r="Q82" s="302"/>
      <c r="R82" s="303"/>
      <c r="S82" s="382"/>
      <c r="T82" s="377"/>
      <c r="U82" s="382"/>
      <c r="V82" s="377"/>
      <c r="W82" s="319"/>
      <c r="X82" s="319"/>
      <c r="Y82" s="302"/>
      <c r="Z82" s="303"/>
      <c r="AA82" s="292"/>
    </row>
    <row r="83" spans="2:27" x14ac:dyDescent="0.25">
      <c r="B83" s="230"/>
      <c r="C83" s="232"/>
      <c r="D83" s="233"/>
      <c r="E83" s="302"/>
      <c r="F83" s="323"/>
      <c r="G83" s="382"/>
      <c r="H83" s="377"/>
      <c r="I83" s="382"/>
      <c r="J83" s="319"/>
      <c r="K83" s="302"/>
      <c r="L83" s="303"/>
      <c r="M83" s="293"/>
      <c r="N83" s="303"/>
      <c r="O83" s="302"/>
      <c r="P83" s="303"/>
      <c r="Q83" s="302"/>
      <c r="R83" s="303"/>
      <c r="S83" s="382"/>
      <c r="T83" s="377"/>
      <c r="U83" s="382"/>
      <c r="V83" s="377"/>
      <c r="W83" s="319"/>
      <c r="X83" s="319"/>
      <c r="Y83" s="302"/>
      <c r="Z83" s="303"/>
      <c r="AA83" s="292"/>
    </row>
    <row r="84" spans="2:27" x14ac:dyDescent="0.25">
      <c r="B84" s="230"/>
      <c r="C84" s="232"/>
      <c r="D84" s="233"/>
      <c r="E84" s="302"/>
      <c r="F84" s="323"/>
      <c r="G84" s="382"/>
      <c r="H84" s="377"/>
      <c r="I84" s="382"/>
      <c r="J84" s="319"/>
      <c r="K84" s="302"/>
      <c r="L84" s="303"/>
      <c r="M84" s="293"/>
      <c r="N84" s="303"/>
      <c r="O84" s="302"/>
      <c r="P84" s="303"/>
      <c r="Q84" s="302"/>
      <c r="R84" s="303"/>
      <c r="S84" s="382"/>
      <c r="T84" s="377"/>
      <c r="U84" s="382"/>
      <c r="V84" s="377"/>
      <c r="W84" s="319"/>
      <c r="X84" s="319"/>
      <c r="Y84" s="302"/>
      <c r="Z84" s="303"/>
      <c r="AA84" s="292"/>
    </row>
    <row r="85" spans="2:27" x14ac:dyDescent="0.25">
      <c r="B85" s="230" t="s">
        <v>705</v>
      </c>
      <c r="C85" s="232"/>
      <c r="D85" s="234"/>
      <c r="E85" s="302"/>
      <c r="F85" s="323"/>
      <c r="G85" s="382"/>
      <c r="H85" s="377"/>
      <c r="I85" s="382"/>
      <c r="J85" s="319"/>
      <c r="K85" s="302"/>
      <c r="L85" s="303"/>
      <c r="M85" s="293"/>
      <c r="N85" s="303"/>
      <c r="O85" s="302"/>
      <c r="P85" s="303"/>
      <c r="Q85" s="302"/>
      <c r="R85" s="303"/>
      <c r="S85" s="382"/>
      <c r="T85" s="377"/>
      <c r="U85" s="382"/>
      <c r="V85" s="377"/>
      <c r="W85" s="319"/>
      <c r="X85" s="319"/>
      <c r="Y85" s="302"/>
      <c r="Z85" s="303"/>
      <c r="AA85" s="309">
        <f>D85+SUM(E85:Z85)</f>
        <v>0</v>
      </c>
    </row>
    <row r="86" spans="2:27" x14ac:dyDescent="0.25">
      <c r="B86" s="230"/>
      <c r="C86" s="232"/>
      <c r="D86" s="233"/>
      <c r="E86" s="302"/>
      <c r="F86" s="323"/>
      <c r="G86" s="382"/>
      <c r="H86" s="377"/>
      <c r="I86" s="382"/>
      <c r="J86" s="319"/>
      <c r="K86" s="302"/>
      <c r="L86" s="303"/>
      <c r="M86" s="293"/>
      <c r="N86" s="303"/>
      <c r="O86" s="302"/>
      <c r="P86" s="303"/>
      <c r="Q86" s="302"/>
      <c r="R86" s="303"/>
      <c r="S86" s="382"/>
      <c r="T86" s="377"/>
      <c r="U86" s="382"/>
      <c r="V86" s="377"/>
      <c r="W86" s="319"/>
      <c r="X86" s="319"/>
      <c r="Y86" s="302"/>
      <c r="Z86" s="303"/>
      <c r="AA86" s="292"/>
    </row>
    <row r="87" spans="2:27" x14ac:dyDescent="0.25">
      <c r="B87" s="230"/>
      <c r="C87" s="232"/>
      <c r="D87" s="233"/>
      <c r="E87" s="302"/>
      <c r="F87" s="323"/>
      <c r="G87" s="382"/>
      <c r="H87" s="377"/>
      <c r="I87" s="382"/>
      <c r="J87" s="319"/>
      <c r="K87" s="302"/>
      <c r="L87" s="303"/>
      <c r="M87" s="293"/>
      <c r="N87" s="303"/>
      <c r="O87" s="302"/>
      <c r="P87" s="303"/>
      <c r="Q87" s="302"/>
      <c r="R87" s="303"/>
      <c r="S87" s="382"/>
      <c r="T87" s="377"/>
      <c r="U87" s="382"/>
      <c r="V87" s="377"/>
      <c r="W87" s="319"/>
      <c r="X87" s="319"/>
      <c r="Y87" s="302"/>
      <c r="Z87" s="303"/>
      <c r="AA87" s="292"/>
    </row>
    <row r="88" spans="2:27" x14ac:dyDescent="0.25">
      <c r="B88" s="230" t="s">
        <v>613</v>
      </c>
      <c r="C88" s="232"/>
      <c r="D88" s="247">
        <v>6203</v>
      </c>
      <c r="E88" s="302"/>
      <c r="F88" s="323"/>
      <c r="G88" s="382"/>
      <c r="H88" s="377"/>
      <c r="I88" s="382"/>
      <c r="J88" s="319"/>
      <c r="K88" s="302"/>
      <c r="L88" s="303"/>
      <c r="M88" s="293"/>
      <c r="N88" s="303"/>
      <c r="O88" s="302"/>
      <c r="P88" s="303"/>
      <c r="Q88" s="302"/>
      <c r="R88" s="303"/>
      <c r="S88" s="382"/>
      <c r="T88" s="377"/>
      <c r="U88" s="382"/>
      <c r="V88" s="377"/>
      <c r="W88" s="319"/>
      <c r="X88" s="319"/>
      <c r="Y88" s="302"/>
      <c r="Z88" s="303"/>
      <c r="AA88" s="309">
        <f>D88+SUM(E88:Z88)</f>
        <v>6203</v>
      </c>
    </row>
    <row r="89" spans="2:27" x14ac:dyDescent="0.25">
      <c r="B89" s="230"/>
      <c r="C89" s="232"/>
      <c r="D89" s="233"/>
      <c r="E89" s="302"/>
      <c r="F89" s="323"/>
      <c r="G89" s="382"/>
      <c r="H89" s="377"/>
      <c r="I89" s="382"/>
      <c r="J89" s="319"/>
      <c r="K89" s="302"/>
      <c r="L89" s="303"/>
      <c r="M89" s="293"/>
      <c r="N89" s="303"/>
      <c r="O89" s="302"/>
      <c r="P89" s="303"/>
      <c r="Q89" s="302"/>
      <c r="R89" s="303"/>
      <c r="S89" s="382"/>
      <c r="T89" s="377"/>
      <c r="U89" s="382"/>
      <c r="V89" s="377"/>
      <c r="W89" s="319"/>
      <c r="X89" s="319"/>
      <c r="Y89" s="302"/>
      <c r="Z89" s="303"/>
      <c r="AA89" s="292"/>
    </row>
    <row r="90" spans="2:27" x14ac:dyDescent="0.25">
      <c r="B90" s="230"/>
      <c r="C90" s="232"/>
      <c r="D90" s="233"/>
      <c r="E90" s="302"/>
      <c r="F90" s="323"/>
      <c r="G90" s="382"/>
      <c r="H90" s="377"/>
      <c r="I90" s="382"/>
      <c r="J90" s="319"/>
      <c r="K90" s="302"/>
      <c r="L90" s="303"/>
      <c r="M90" s="293"/>
      <c r="N90" s="303"/>
      <c r="O90" s="302"/>
      <c r="P90" s="303"/>
      <c r="Q90" s="302"/>
      <c r="R90" s="303"/>
      <c r="S90" s="382"/>
      <c r="T90" s="377"/>
      <c r="U90" s="382"/>
      <c r="V90" s="377"/>
      <c r="W90" s="319"/>
      <c r="X90" s="319"/>
      <c r="Y90" s="302"/>
      <c r="Z90" s="303"/>
      <c r="AA90" s="292"/>
    </row>
    <row r="91" spans="2:27" x14ac:dyDescent="0.25">
      <c r="B91" s="230" t="s">
        <v>629</v>
      </c>
      <c r="C91" s="232"/>
      <c r="D91" s="234">
        <v>6054</v>
      </c>
      <c r="E91" s="302"/>
      <c r="F91" s="323"/>
      <c r="G91" s="382"/>
      <c r="H91" s="377"/>
      <c r="I91" s="382"/>
      <c r="J91" s="319"/>
      <c r="K91" s="302">
        <f>SUMIF($AD$33:$AD$34,"DR SPL - Finance Income",$AE$33:$AE$34)</f>
        <v>0</v>
      </c>
      <c r="L91" s="303">
        <f>-SUMIF($AD$33:$AD$34,"CR Finance income",$AF$33:$AF$34)</f>
        <v>0</v>
      </c>
      <c r="M91" s="293"/>
      <c r="N91" s="303"/>
      <c r="O91" s="302"/>
      <c r="P91" s="303"/>
      <c r="Q91" s="302"/>
      <c r="R91" s="303"/>
      <c r="S91" s="382"/>
      <c r="T91" s="377"/>
      <c r="U91" s="382"/>
      <c r="V91" s="377"/>
      <c r="W91" s="319"/>
      <c r="X91" s="319"/>
      <c r="Y91" s="302"/>
      <c r="Z91" s="303"/>
      <c r="AA91" s="309">
        <f>D91-SUM(E91:Z91)</f>
        <v>6054</v>
      </c>
    </row>
    <row r="92" spans="2:27" x14ac:dyDescent="0.25">
      <c r="B92" s="230"/>
      <c r="C92" s="232"/>
      <c r="D92" s="233"/>
      <c r="E92" s="302"/>
      <c r="F92" s="323"/>
      <c r="G92" s="382"/>
      <c r="H92" s="377"/>
      <c r="I92" s="382"/>
      <c r="J92" s="319"/>
      <c r="K92" s="302"/>
      <c r="L92" s="303"/>
      <c r="M92" s="293"/>
      <c r="N92" s="303"/>
      <c r="O92" s="302"/>
      <c r="P92" s="303"/>
      <c r="Q92" s="302"/>
      <c r="R92" s="303"/>
      <c r="S92" s="382"/>
      <c r="T92" s="377"/>
      <c r="U92" s="382"/>
      <c r="V92" s="377"/>
      <c r="W92" s="319"/>
      <c r="X92" s="319"/>
      <c r="Y92" s="302"/>
      <c r="Z92" s="303"/>
      <c r="AA92" s="292"/>
    </row>
    <row r="93" spans="2:27" x14ac:dyDescent="0.25">
      <c r="B93" s="230" t="s">
        <v>875</v>
      </c>
      <c r="C93" s="232"/>
      <c r="D93" s="248"/>
      <c r="E93" s="302"/>
      <c r="F93" s="323"/>
      <c r="G93" s="382"/>
      <c r="H93" s="377"/>
      <c r="I93" s="382">
        <f>SUMIF($AD$28:$AD$29,"DR SPL - Share of profit of the associate",$AE$28:$AE$29)</f>
        <v>0</v>
      </c>
      <c r="J93" s="319">
        <f>-SUMIF($AD$28:$AD$29,"CR SPL - Share of profit of the associate",$AF$28:$AF$29)</f>
        <v>-4238.3999999999996</v>
      </c>
      <c r="K93" s="302"/>
      <c r="L93" s="303"/>
      <c r="M93" s="293">
        <f>SUMIF($AD$41:$AD$47,"DR SPL - Share of profit of the associate",$AE$41:$AE$47)</f>
        <v>54</v>
      </c>
      <c r="N93" s="303">
        <f>-SUMIF($AD$40:$AD$47,"CR SPL - Share of profit of the associate",$AF$40:$AF$47)</f>
        <v>0</v>
      </c>
      <c r="O93" s="302"/>
      <c r="P93" s="303"/>
      <c r="Q93" s="302"/>
      <c r="R93" s="303"/>
      <c r="S93" s="382"/>
      <c r="T93" s="377"/>
      <c r="U93" s="382"/>
      <c r="V93" s="377"/>
      <c r="W93" s="319"/>
      <c r="X93" s="319"/>
      <c r="Y93" s="302"/>
      <c r="Z93" s="303"/>
      <c r="AA93" s="331"/>
    </row>
    <row r="94" spans="2:27" ht="15.75" x14ac:dyDescent="0.25">
      <c r="B94" s="227" t="s">
        <v>706</v>
      </c>
      <c r="C94" s="232" t="s">
        <v>707</v>
      </c>
      <c r="D94" s="241">
        <f>D73+D74-D77-D80-D85-D88+D91</f>
        <v>46255</v>
      </c>
      <c r="E94" s="300"/>
      <c r="F94" s="282"/>
      <c r="G94" s="380"/>
      <c r="H94" s="381"/>
      <c r="I94" s="380"/>
      <c r="J94" s="318"/>
      <c r="K94" s="300"/>
      <c r="L94" s="301"/>
      <c r="M94" s="292"/>
      <c r="N94" s="301"/>
      <c r="O94" s="300"/>
      <c r="P94" s="301"/>
      <c r="Q94" s="300"/>
      <c r="R94" s="301"/>
      <c r="S94" s="380"/>
      <c r="T94" s="381"/>
      <c r="U94" s="380"/>
      <c r="V94" s="381"/>
      <c r="W94" s="318"/>
      <c r="X94" s="318"/>
      <c r="Y94" s="300"/>
      <c r="Z94" s="301"/>
      <c r="AA94" s="313">
        <f>AA73+AA74-AA77-AA80-AA85-AA88+AA91</f>
        <v>46255</v>
      </c>
    </row>
    <row r="95" spans="2:27" x14ac:dyDescent="0.25">
      <c r="B95" s="230" t="s">
        <v>1</v>
      </c>
      <c r="C95" s="232" t="s">
        <v>708</v>
      </c>
      <c r="D95" s="249">
        <v>12102</v>
      </c>
      <c r="E95" s="341"/>
      <c r="F95" s="324"/>
      <c r="G95" s="402"/>
      <c r="H95" s="403"/>
      <c r="I95" s="402"/>
      <c r="J95" s="366"/>
      <c r="K95" s="341"/>
      <c r="L95" s="342"/>
      <c r="M95" s="358"/>
      <c r="N95" s="342"/>
      <c r="O95" s="341"/>
      <c r="P95" s="342"/>
      <c r="Q95" s="341"/>
      <c r="R95" s="342"/>
      <c r="S95" s="402"/>
      <c r="T95" s="403"/>
      <c r="U95" s="402"/>
      <c r="V95" s="403"/>
      <c r="W95" s="366"/>
      <c r="X95" s="366"/>
      <c r="Y95" s="341"/>
      <c r="Z95" s="342"/>
      <c r="AA95" s="309">
        <f>D95+SUM(E95:Z95)</f>
        <v>12102</v>
      </c>
    </row>
    <row r="96" spans="2:27" x14ac:dyDescent="0.25">
      <c r="B96" s="250"/>
      <c r="C96" s="232"/>
      <c r="D96" s="237"/>
      <c r="E96" s="341"/>
      <c r="F96" s="324"/>
      <c r="G96" s="402"/>
      <c r="H96" s="403"/>
      <c r="I96" s="402"/>
      <c r="J96" s="366"/>
      <c r="K96" s="341"/>
      <c r="L96" s="342"/>
      <c r="M96" s="358"/>
      <c r="N96" s="342"/>
      <c r="O96" s="341"/>
      <c r="P96" s="342"/>
      <c r="Q96" s="341"/>
      <c r="R96" s="342"/>
      <c r="S96" s="402"/>
      <c r="T96" s="403"/>
      <c r="U96" s="402"/>
      <c r="V96" s="403"/>
      <c r="W96" s="366"/>
      <c r="X96" s="366"/>
      <c r="Y96" s="341"/>
      <c r="Z96" s="342"/>
      <c r="AA96" s="295"/>
    </row>
    <row r="97" spans="2:27" x14ac:dyDescent="0.25">
      <c r="B97" s="250"/>
      <c r="C97" s="232"/>
      <c r="D97" s="233"/>
      <c r="E97" s="341"/>
      <c r="F97" s="324"/>
      <c r="G97" s="402"/>
      <c r="H97" s="403"/>
      <c r="I97" s="402"/>
      <c r="J97" s="366"/>
      <c r="K97" s="341"/>
      <c r="L97" s="342"/>
      <c r="M97" s="358"/>
      <c r="N97" s="342"/>
      <c r="O97" s="341"/>
      <c r="P97" s="342"/>
      <c r="Q97" s="341"/>
      <c r="R97" s="342"/>
      <c r="S97" s="402"/>
      <c r="T97" s="403"/>
      <c r="U97" s="402"/>
      <c r="V97" s="403"/>
      <c r="W97" s="366"/>
      <c r="X97" s="366"/>
      <c r="Y97" s="341"/>
      <c r="Z97" s="342"/>
      <c r="AA97" s="292"/>
    </row>
    <row r="98" spans="2:27" ht="15.75" x14ac:dyDescent="0.25">
      <c r="B98" s="251" t="s">
        <v>709</v>
      </c>
      <c r="C98" s="232" t="s">
        <v>707</v>
      </c>
      <c r="D98" s="252">
        <f>D94-D95</f>
        <v>34153</v>
      </c>
      <c r="E98" s="343"/>
      <c r="F98" s="325"/>
      <c r="G98" s="404"/>
      <c r="H98" s="405"/>
      <c r="I98" s="404"/>
      <c r="J98" s="367"/>
      <c r="K98" s="343"/>
      <c r="L98" s="344"/>
      <c r="M98" s="359"/>
      <c r="N98" s="344"/>
      <c r="O98" s="343"/>
      <c r="P98" s="344"/>
      <c r="Q98" s="343"/>
      <c r="R98" s="344"/>
      <c r="S98" s="404"/>
      <c r="T98" s="405"/>
      <c r="U98" s="404"/>
      <c r="V98" s="405"/>
      <c r="W98" s="367"/>
      <c r="X98" s="367"/>
      <c r="Y98" s="343"/>
      <c r="Z98" s="344"/>
      <c r="AA98" s="314">
        <f>AA94-AA95</f>
        <v>34153</v>
      </c>
    </row>
    <row r="99" spans="2:27" x14ac:dyDescent="0.25">
      <c r="B99" s="230" t="s">
        <v>710</v>
      </c>
      <c r="C99" s="232" t="s">
        <v>711</v>
      </c>
      <c r="D99" s="253"/>
      <c r="E99" s="345"/>
      <c r="F99" s="326"/>
      <c r="G99" s="406"/>
      <c r="H99" s="407"/>
      <c r="I99" s="406"/>
      <c r="J99" s="369"/>
      <c r="K99" s="345"/>
      <c r="L99" s="346"/>
      <c r="M99" s="360"/>
      <c r="N99" s="346"/>
      <c r="O99" s="345"/>
      <c r="P99" s="346"/>
      <c r="Q99" s="345"/>
      <c r="R99" s="346"/>
      <c r="S99" s="406"/>
      <c r="T99" s="407"/>
      <c r="U99" s="406"/>
      <c r="V99" s="407"/>
      <c r="W99" s="369"/>
      <c r="X99" s="369"/>
      <c r="Y99" s="345"/>
      <c r="Z99" s="346"/>
      <c r="AA99" s="333"/>
    </row>
    <row r="100" spans="2:27" ht="15.75" x14ac:dyDescent="0.25">
      <c r="B100" s="227" t="s">
        <v>712</v>
      </c>
      <c r="C100" s="232" t="s">
        <v>707</v>
      </c>
      <c r="D100" s="255">
        <f>D98-D99</f>
        <v>34153</v>
      </c>
      <c r="E100" s="347"/>
      <c r="F100" s="327"/>
      <c r="G100" s="408"/>
      <c r="H100" s="409"/>
      <c r="I100" s="408"/>
      <c r="J100" s="368"/>
      <c r="K100" s="347"/>
      <c r="L100" s="348"/>
      <c r="M100" s="335"/>
      <c r="N100" s="348"/>
      <c r="O100" s="347"/>
      <c r="P100" s="348"/>
      <c r="Q100" s="347"/>
      <c r="R100" s="348"/>
      <c r="S100" s="408"/>
      <c r="T100" s="409"/>
      <c r="U100" s="408"/>
      <c r="V100" s="409"/>
      <c r="W100" s="368"/>
      <c r="X100" s="368"/>
      <c r="Y100" s="347"/>
      <c r="Z100" s="348"/>
      <c r="AA100" s="334">
        <f>AA98-AA99</f>
        <v>34153</v>
      </c>
    </row>
    <row r="101" spans="2:27" x14ac:dyDescent="0.25">
      <c r="B101" s="230"/>
      <c r="C101" s="232"/>
      <c r="D101" s="256"/>
      <c r="E101" s="347"/>
      <c r="F101" s="327"/>
      <c r="G101" s="408"/>
      <c r="H101" s="409"/>
      <c r="I101" s="408"/>
      <c r="J101" s="368"/>
      <c r="K101" s="347"/>
      <c r="L101" s="348"/>
      <c r="M101" s="335"/>
      <c r="N101" s="348"/>
      <c r="O101" s="347"/>
      <c r="P101" s="348"/>
      <c r="Q101" s="347"/>
      <c r="R101" s="348"/>
      <c r="S101" s="408"/>
      <c r="T101" s="409"/>
      <c r="U101" s="408"/>
      <c r="V101" s="409"/>
      <c r="W101" s="368"/>
      <c r="X101" s="368"/>
      <c r="Y101" s="347"/>
      <c r="Z101" s="348"/>
      <c r="AA101" s="335"/>
    </row>
    <row r="102" spans="2:27" ht="15.75" x14ac:dyDescent="0.25">
      <c r="B102" s="227" t="s">
        <v>3</v>
      </c>
      <c r="C102" s="232"/>
      <c r="D102" s="256"/>
      <c r="E102" s="347"/>
      <c r="F102" s="327"/>
      <c r="G102" s="408"/>
      <c r="H102" s="409"/>
      <c r="I102" s="408"/>
      <c r="J102" s="368"/>
      <c r="K102" s="347"/>
      <c r="L102" s="348"/>
      <c r="M102" s="335"/>
      <c r="N102" s="348"/>
      <c r="O102" s="347"/>
      <c r="P102" s="348"/>
      <c r="Q102" s="347"/>
      <c r="R102" s="348"/>
      <c r="S102" s="408"/>
      <c r="T102" s="409"/>
      <c r="U102" s="408"/>
      <c r="V102" s="409"/>
      <c r="W102" s="368"/>
      <c r="X102" s="368"/>
      <c r="Y102" s="347"/>
      <c r="Z102" s="348"/>
      <c r="AA102" s="335"/>
    </row>
    <row r="103" spans="2:27" ht="15.75" x14ac:dyDescent="0.25">
      <c r="B103" s="227" t="s">
        <v>4</v>
      </c>
      <c r="C103" s="232"/>
      <c r="D103" s="256"/>
      <c r="E103" s="347"/>
      <c r="F103" s="327"/>
      <c r="G103" s="408"/>
      <c r="H103" s="409"/>
      <c r="I103" s="408"/>
      <c r="J103" s="368"/>
      <c r="K103" s="347"/>
      <c r="L103" s="348"/>
      <c r="M103" s="335"/>
      <c r="N103" s="348"/>
      <c r="O103" s="347"/>
      <c r="P103" s="348"/>
      <c r="Q103" s="347"/>
      <c r="R103" s="348"/>
      <c r="S103" s="408"/>
      <c r="T103" s="409"/>
      <c r="U103" s="408"/>
      <c r="V103" s="409"/>
      <c r="W103" s="368"/>
      <c r="X103" s="368"/>
      <c r="Y103" s="347"/>
      <c r="Z103" s="348"/>
      <c r="AA103" s="335"/>
    </row>
    <row r="104" spans="2:27" x14ac:dyDescent="0.25">
      <c r="B104" s="230" t="s">
        <v>713</v>
      </c>
      <c r="C104" s="232" t="s">
        <v>714</v>
      </c>
      <c r="D104" s="242"/>
      <c r="E104" s="345"/>
      <c r="F104" s="326"/>
      <c r="G104" s="406"/>
      <c r="H104" s="407"/>
      <c r="I104" s="406"/>
      <c r="J104" s="369"/>
      <c r="K104" s="345"/>
      <c r="L104" s="346"/>
      <c r="M104" s="360"/>
      <c r="N104" s="346"/>
      <c r="O104" s="345"/>
      <c r="P104" s="346"/>
      <c r="Q104" s="345"/>
      <c r="R104" s="346"/>
      <c r="S104" s="406"/>
      <c r="T104" s="407"/>
      <c r="U104" s="406"/>
      <c r="V104" s="407"/>
      <c r="W104" s="369"/>
      <c r="X104" s="369"/>
      <c r="Y104" s="345"/>
      <c r="Z104" s="346"/>
      <c r="AA104" s="309">
        <f>D104-SUM(E104:Z104)</f>
        <v>0</v>
      </c>
    </row>
    <row r="105" spans="2:27" x14ac:dyDescent="0.25">
      <c r="B105" s="230" t="s">
        <v>715</v>
      </c>
      <c r="C105" s="232" t="s">
        <v>714</v>
      </c>
      <c r="D105" s="242"/>
      <c r="E105" s="345"/>
      <c r="F105" s="326"/>
      <c r="G105" s="406"/>
      <c r="H105" s="407"/>
      <c r="I105" s="406"/>
      <c r="J105" s="369"/>
      <c r="K105" s="345"/>
      <c r="L105" s="346"/>
      <c r="M105" s="360"/>
      <c r="N105" s="346"/>
      <c r="O105" s="345"/>
      <c r="P105" s="346"/>
      <c r="Q105" s="345"/>
      <c r="R105" s="346"/>
      <c r="S105" s="406"/>
      <c r="T105" s="407"/>
      <c r="U105" s="406"/>
      <c r="V105" s="407"/>
      <c r="W105" s="369"/>
      <c r="X105" s="369"/>
      <c r="Y105" s="345"/>
      <c r="Z105" s="346"/>
      <c r="AA105" s="309">
        <f>D105-SUM(E105:Z105)</f>
        <v>0</v>
      </c>
    </row>
    <row r="106" spans="2:27" ht="30" x14ac:dyDescent="0.25">
      <c r="B106" s="230" t="s">
        <v>716</v>
      </c>
      <c r="C106" s="232" t="s">
        <v>717</v>
      </c>
      <c r="D106" s="242"/>
      <c r="E106" s="345"/>
      <c r="F106" s="326"/>
      <c r="G106" s="406"/>
      <c r="H106" s="407"/>
      <c r="I106" s="406"/>
      <c r="J106" s="369"/>
      <c r="K106" s="345"/>
      <c r="L106" s="346"/>
      <c r="M106" s="360"/>
      <c r="N106" s="346"/>
      <c r="O106" s="345"/>
      <c r="P106" s="346"/>
      <c r="Q106" s="345"/>
      <c r="R106" s="346"/>
      <c r="S106" s="406"/>
      <c r="T106" s="407"/>
      <c r="U106" s="406"/>
      <c r="V106" s="407"/>
      <c r="W106" s="369"/>
      <c r="X106" s="369"/>
      <c r="Y106" s="345"/>
      <c r="Z106" s="346"/>
      <c r="AA106" s="309">
        <f>D106-SUM(E106:Z106)</f>
        <v>0</v>
      </c>
    </row>
    <row r="107" spans="2:27" x14ac:dyDescent="0.25">
      <c r="B107" s="230" t="s">
        <v>718</v>
      </c>
      <c r="C107" s="232" t="s">
        <v>708</v>
      </c>
      <c r="D107" s="253"/>
      <c r="E107" s="345"/>
      <c r="F107" s="326"/>
      <c r="G107" s="406"/>
      <c r="H107" s="407"/>
      <c r="I107" s="406"/>
      <c r="J107" s="369"/>
      <c r="K107" s="345"/>
      <c r="L107" s="346"/>
      <c r="M107" s="360"/>
      <c r="N107" s="346"/>
      <c r="O107" s="345"/>
      <c r="P107" s="346"/>
      <c r="Q107" s="345"/>
      <c r="R107" s="346"/>
      <c r="S107" s="406"/>
      <c r="T107" s="407"/>
      <c r="U107" s="406"/>
      <c r="V107" s="407"/>
      <c r="W107" s="369"/>
      <c r="X107" s="369"/>
      <c r="Y107" s="345"/>
      <c r="Z107" s="346"/>
      <c r="AA107" s="484">
        <f>D107+SUM(E107:Z107)</f>
        <v>0</v>
      </c>
    </row>
    <row r="108" spans="2:27" x14ac:dyDescent="0.25">
      <c r="B108" s="230"/>
      <c r="C108" s="232"/>
      <c r="D108" s="255">
        <f>D104+D105+D106-D107</f>
        <v>0</v>
      </c>
      <c r="E108" s="347"/>
      <c r="F108" s="327"/>
      <c r="G108" s="408"/>
      <c r="H108" s="409"/>
      <c r="I108" s="408"/>
      <c r="J108" s="368"/>
      <c r="K108" s="347"/>
      <c r="L108" s="348"/>
      <c r="M108" s="335"/>
      <c r="N108" s="348"/>
      <c r="O108" s="347"/>
      <c r="P108" s="348"/>
      <c r="Q108" s="347"/>
      <c r="R108" s="348"/>
      <c r="S108" s="408"/>
      <c r="T108" s="409"/>
      <c r="U108" s="408"/>
      <c r="V108" s="409"/>
      <c r="W108" s="368"/>
      <c r="X108" s="368"/>
      <c r="Y108" s="347"/>
      <c r="Z108" s="348"/>
      <c r="AA108" s="485">
        <f>AA104+AA105+AA106-AA107</f>
        <v>0</v>
      </c>
    </row>
    <row r="109" spans="2:27" ht="15.75" x14ac:dyDescent="0.25">
      <c r="B109" s="227" t="s">
        <v>30</v>
      </c>
      <c r="C109" s="232"/>
      <c r="D109" s="256"/>
      <c r="E109" s="347"/>
      <c r="F109" s="327"/>
      <c r="G109" s="408"/>
      <c r="H109" s="409"/>
      <c r="I109" s="408"/>
      <c r="J109" s="368"/>
      <c r="K109" s="347"/>
      <c r="L109" s="348"/>
      <c r="M109" s="335"/>
      <c r="N109" s="348"/>
      <c r="O109" s="347"/>
      <c r="P109" s="348"/>
      <c r="Q109" s="347"/>
      <c r="R109" s="348"/>
      <c r="S109" s="408"/>
      <c r="T109" s="409"/>
      <c r="U109" s="408"/>
      <c r="V109" s="409"/>
      <c r="W109" s="368"/>
      <c r="X109" s="368"/>
      <c r="Y109" s="347"/>
      <c r="Z109" s="348"/>
      <c r="AA109" s="335"/>
    </row>
    <row r="110" spans="2:27" x14ac:dyDescent="0.25">
      <c r="B110" s="230" t="s">
        <v>32</v>
      </c>
      <c r="C110" s="232" t="s">
        <v>714</v>
      </c>
      <c r="D110" s="242"/>
      <c r="E110" s="345"/>
      <c r="F110" s="326"/>
      <c r="G110" s="406"/>
      <c r="H110" s="407"/>
      <c r="I110" s="406"/>
      <c r="J110" s="369"/>
      <c r="K110" s="345"/>
      <c r="L110" s="346"/>
      <c r="M110" s="360"/>
      <c r="N110" s="346"/>
      <c r="O110" s="345"/>
      <c r="P110" s="346"/>
      <c r="Q110" s="345"/>
      <c r="R110" s="346"/>
      <c r="S110" s="406"/>
      <c r="T110" s="407"/>
      <c r="U110" s="406"/>
      <c r="V110" s="407"/>
      <c r="W110" s="369"/>
      <c r="X110" s="369"/>
      <c r="Y110" s="345"/>
      <c r="Z110" s="346"/>
      <c r="AA110" s="314"/>
    </row>
    <row r="111" spans="2:27" x14ac:dyDescent="0.25">
      <c r="B111" s="230" t="s">
        <v>719</v>
      </c>
      <c r="C111" s="232" t="s">
        <v>708</v>
      </c>
      <c r="D111" s="253"/>
      <c r="E111" s="345"/>
      <c r="F111" s="326"/>
      <c r="G111" s="406"/>
      <c r="H111" s="407"/>
      <c r="I111" s="406"/>
      <c r="J111" s="369"/>
      <c r="K111" s="345"/>
      <c r="L111" s="346"/>
      <c r="M111" s="360"/>
      <c r="N111" s="346"/>
      <c r="O111" s="345"/>
      <c r="P111" s="346"/>
      <c r="Q111" s="345"/>
      <c r="R111" s="346"/>
      <c r="S111" s="406"/>
      <c r="T111" s="407"/>
      <c r="U111" s="406"/>
      <c r="V111" s="407"/>
      <c r="W111" s="369"/>
      <c r="X111" s="369"/>
      <c r="Y111" s="345"/>
      <c r="Z111" s="346"/>
      <c r="AA111" s="333"/>
    </row>
    <row r="112" spans="2:27" x14ac:dyDescent="0.25">
      <c r="B112" s="230"/>
      <c r="C112" s="232"/>
      <c r="D112" s="254">
        <f>D110-D111</f>
        <v>0</v>
      </c>
      <c r="E112" s="347"/>
      <c r="F112" s="327"/>
      <c r="G112" s="408"/>
      <c r="H112" s="409"/>
      <c r="I112" s="408"/>
      <c r="J112" s="368"/>
      <c r="K112" s="347"/>
      <c r="L112" s="348"/>
      <c r="M112" s="335"/>
      <c r="N112" s="348"/>
      <c r="O112" s="347"/>
      <c r="P112" s="348"/>
      <c r="Q112" s="347"/>
      <c r="R112" s="348"/>
      <c r="S112" s="408"/>
      <c r="T112" s="409"/>
      <c r="U112" s="408"/>
      <c r="V112" s="409"/>
      <c r="W112" s="368"/>
      <c r="X112" s="368"/>
      <c r="Y112" s="347"/>
      <c r="Z112" s="348"/>
      <c r="AA112" s="333">
        <f>AA110-AA111</f>
        <v>0</v>
      </c>
    </row>
    <row r="113" spans="2:27" ht="15.75" x14ac:dyDescent="0.25">
      <c r="B113" s="227" t="s">
        <v>8</v>
      </c>
      <c r="C113" s="232"/>
      <c r="D113" s="254">
        <f>SUM(D108,D112)</f>
        <v>0</v>
      </c>
      <c r="E113" s="347"/>
      <c r="F113" s="327"/>
      <c r="G113" s="408"/>
      <c r="H113" s="409"/>
      <c r="I113" s="408"/>
      <c r="J113" s="368"/>
      <c r="K113" s="347"/>
      <c r="L113" s="348"/>
      <c r="M113" s="335"/>
      <c r="N113" s="348"/>
      <c r="O113" s="347"/>
      <c r="P113" s="348"/>
      <c r="Q113" s="347"/>
      <c r="R113" s="348"/>
      <c r="S113" s="408"/>
      <c r="T113" s="409"/>
      <c r="U113" s="408"/>
      <c r="V113" s="409"/>
      <c r="W113" s="368"/>
      <c r="X113" s="368"/>
      <c r="Y113" s="347"/>
      <c r="Z113" s="348"/>
      <c r="AA113" s="333">
        <f>AA108+AA112</f>
        <v>0</v>
      </c>
    </row>
    <row r="114" spans="2:27" ht="16.5" thickBot="1" x14ac:dyDescent="0.3">
      <c r="B114" s="251" t="s">
        <v>9</v>
      </c>
      <c r="C114" s="257"/>
      <c r="D114" s="258">
        <f>D100+D113</f>
        <v>34153</v>
      </c>
      <c r="E114" s="343"/>
      <c r="F114" s="325"/>
      <c r="G114" s="404"/>
      <c r="H114" s="405"/>
      <c r="I114" s="404"/>
      <c r="J114" s="367"/>
      <c r="K114" s="343"/>
      <c r="L114" s="344"/>
      <c r="M114" s="359"/>
      <c r="N114" s="344"/>
      <c r="O114" s="343"/>
      <c r="P114" s="344"/>
      <c r="Q114" s="343"/>
      <c r="R114" s="344"/>
      <c r="S114" s="404"/>
      <c r="T114" s="405"/>
      <c r="U114" s="404"/>
      <c r="V114" s="405"/>
      <c r="W114" s="367"/>
      <c r="X114" s="367"/>
      <c r="Y114" s="343"/>
      <c r="Z114" s="344"/>
      <c r="AA114" s="336">
        <f>AA100+AA113</f>
        <v>34153</v>
      </c>
    </row>
    <row r="115" spans="2:27" x14ac:dyDescent="0.25">
      <c r="B115" s="230"/>
      <c r="C115" s="257"/>
      <c r="D115" s="237"/>
      <c r="E115" s="300"/>
      <c r="F115" s="282"/>
      <c r="G115" s="380"/>
      <c r="H115" s="381"/>
      <c r="I115" s="380"/>
      <c r="J115" s="318"/>
      <c r="K115" s="300"/>
      <c r="L115" s="301"/>
      <c r="M115" s="292"/>
      <c r="N115" s="301"/>
      <c r="O115" s="300"/>
      <c r="P115" s="301"/>
      <c r="Q115" s="300"/>
      <c r="R115" s="301"/>
      <c r="S115" s="380"/>
      <c r="T115" s="381"/>
      <c r="U115" s="380"/>
      <c r="V115" s="381"/>
      <c r="W115" s="318"/>
      <c r="X115" s="318"/>
      <c r="Y115" s="300"/>
      <c r="Z115" s="301"/>
      <c r="AA115" s="295"/>
    </row>
    <row r="116" spans="2:27" x14ac:dyDescent="0.25">
      <c r="B116" s="230" t="s">
        <v>720</v>
      </c>
      <c r="C116" s="232" t="s">
        <v>707</v>
      </c>
      <c r="D116" s="233"/>
      <c r="E116" s="300"/>
      <c r="F116" s="282"/>
      <c r="G116" s="380"/>
      <c r="H116" s="381"/>
      <c r="I116" s="380"/>
      <c r="J116" s="318"/>
      <c r="K116" s="300"/>
      <c r="L116" s="301"/>
      <c r="M116" s="292"/>
      <c r="N116" s="301"/>
      <c r="O116" s="300"/>
      <c r="P116" s="301"/>
      <c r="Q116" s="300"/>
      <c r="R116" s="301"/>
      <c r="S116" s="380"/>
      <c r="T116" s="381"/>
      <c r="U116" s="380"/>
      <c r="V116" s="381"/>
      <c r="W116" s="318"/>
      <c r="X116" s="318"/>
      <c r="Y116" s="300"/>
      <c r="Z116" s="301"/>
      <c r="AA116" s="292"/>
    </row>
    <row r="117" spans="2:27" x14ac:dyDescent="0.25">
      <c r="B117" s="259" t="s">
        <v>721</v>
      </c>
      <c r="C117" s="257"/>
      <c r="D117" s="233"/>
      <c r="E117" s="349"/>
      <c r="F117" s="328"/>
      <c r="G117" s="410"/>
      <c r="H117" s="411"/>
      <c r="I117" s="410"/>
      <c r="J117" s="370"/>
      <c r="K117" s="349"/>
      <c r="L117" s="350"/>
      <c r="M117" s="330"/>
      <c r="N117" s="350"/>
      <c r="O117" s="349"/>
      <c r="P117" s="350"/>
      <c r="Q117" s="349"/>
      <c r="R117" s="350"/>
      <c r="S117" s="410"/>
      <c r="T117" s="411"/>
      <c r="U117" s="410"/>
      <c r="V117" s="411"/>
      <c r="W117" s="318"/>
      <c r="X117" s="318"/>
      <c r="Y117" s="349"/>
      <c r="Z117" s="350"/>
      <c r="AA117" s="332">
        <f>AA119-AA118</f>
        <v>34358.800000000003</v>
      </c>
    </row>
    <row r="118" spans="2:27" x14ac:dyDescent="0.25">
      <c r="B118" s="260" t="s">
        <v>664</v>
      </c>
      <c r="C118" s="257"/>
      <c r="D118" s="233"/>
      <c r="E118" s="302"/>
      <c r="F118" s="323"/>
      <c r="G118" s="382"/>
      <c r="H118" s="377"/>
      <c r="I118" s="382"/>
      <c r="J118" s="319"/>
      <c r="K118" s="302"/>
      <c r="L118" s="303"/>
      <c r="M118" s="293">
        <f>Consol!AN33</f>
        <v>-205.8</v>
      </c>
      <c r="N118" s="303"/>
      <c r="O118" s="302"/>
      <c r="P118" s="303"/>
      <c r="Q118" s="302"/>
      <c r="R118" s="303"/>
      <c r="S118" s="302"/>
      <c r="T118" s="303"/>
      <c r="U118" s="382"/>
      <c r="V118" s="377"/>
      <c r="W118" s="293"/>
      <c r="X118" s="303"/>
      <c r="Y118" s="302"/>
      <c r="Z118" s="303"/>
      <c r="AA118" s="295">
        <f>SUM(E118:P118)</f>
        <v>-205.8</v>
      </c>
    </row>
    <row r="119" spans="2:27" ht="15.75" thickBot="1" x14ac:dyDescent="0.3">
      <c r="B119" s="230"/>
      <c r="C119" s="257"/>
      <c r="D119" s="233"/>
      <c r="E119" s="300"/>
      <c r="F119" s="282"/>
      <c r="G119" s="380"/>
      <c r="H119" s="381"/>
      <c r="I119" s="380"/>
      <c r="J119" s="318"/>
      <c r="K119" s="300"/>
      <c r="L119" s="301"/>
      <c r="M119" s="292"/>
      <c r="N119" s="301"/>
      <c r="O119" s="300"/>
      <c r="P119" s="301"/>
      <c r="Q119" s="300"/>
      <c r="R119" s="301"/>
      <c r="S119" s="380"/>
      <c r="T119" s="381"/>
      <c r="U119" s="380"/>
      <c r="V119" s="381"/>
      <c r="W119" s="318"/>
      <c r="X119" s="318"/>
      <c r="Y119" s="300"/>
      <c r="Z119" s="301"/>
      <c r="AA119" s="311">
        <f>AA114</f>
        <v>34153</v>
      </c>
    </row>
    <row r="120" spans="2:27" x14ac:dyDescent="0.25">
      <c r="B120" s="230" t="s">
        <v>722</v>
      </c>
      <c r="C120" s="257"/>
      <c r="D120" s="233"/>
      <c r="E120" s="300"/>
      <c r="F120" s="282"/>
      <c r="G120" s="380"/>
      <c r="H120" s="381"/>
      <c r="I120" s="380"/>
      <c r="J120" s="318"/>
      <c r="K120" s="300"/>
      <c r="L120" s="301"/>
      <c r="M120" s="292"/>
      <c r="N120" s="301"/>
      <c r="O120" s="300"/>
      <c r="P120" s="301"/>
      <c r="Q120" s="300"/>
      <c r="R120" s="301"/>
      <c r="S120" s="380"/>
      <c r="T120" s="381"/>
      <c r="U120" s="380"/>
      <c r="V120" s="381"/>
      <c r="W120" s="318"/>
      <c r="X120" s="318"/>
      <c r="Y120" s="300"/>
      <c r="Z120" s="301"/>
      <c r="AA120" s="295"/>
    </row>
    <row r="121" spans="2:27" x14ac:dyDescent="0.25">
      <c r="B121" s="260" t="s">
        <v>721</v>
      </c>
      <c r="C121" s="257"/>
      <c r="D121" s="233"/>
      <c r="E121" s="300"/>
      <c r="F121" s="282"/>
      <c r="G121" s="380"/>
      <c r="H121" s="381"/>
      <c r="I121" s="380"/>
      <c r="J121" s="318"/>
      <c r="K121" s="300"/>
      <c r="L121" s="301"/>
      <c r="M121" s="292"/>
      <c r="N121" s="301"/>
      <c r="O121" s="300"/>
      <c r="P121" s="301"/>
      <c r="Q121" s="300"/>
      <c r="R121" s="301"/>
      <c r="S121" s="380"/>
      <c r="T121" s="381"/>
      <c r="U121" s="380"/>
      <c r="V121" s="381"/>
      <c r="W121" s="318"/>
      <c r="X121" s="318"/>
      <c r="Y121" s="300"/>
      <c r="Z121" s="301"/>
      <c r="AA121" s="332">
        <f>AA123-AA122</f>
        <v>34153</v>
      </c>
    </row>
    <row r="122" spans="2:27" x14ac:dyDescent="0.25">
      <c r="B122" s="260" t="s">
        <v>664</v>
      </c>
      <c r="C122" s="257"/>
      <c r="D122" s="233"/>
      <c r="E122" s="302"/>
      <c r="F122" s="323"/>
      <c r="G122" s="382"/>
      <c r="H122" s="377"/>
      <c r="I122" s="382"/>
      <c r="J122" s="319"/>
      <c r="K122" s="302"/>
      <c r="L122" s="303"/>
      <c r="M122" s="293"/>
      <c r="N122" s="303"/>
      <c r="O122" s="302"/>
      <c r="P122" s="303"/>
      <c r="Q122" s="302"/>
      <c r="R122" s="303"/>
      <c r="S122" s="382"/>
      <c r="T122" s="377"/>
      <c r="U122" s="382"/>
      <c r="V122" s="377"/>
      <c r="W122" s="319"/>
      <c r="X122" s="319"/>
      <c r="Y122" s="302"/>
      <c r="Z122" s="303"/>
      <c r="AA122" s="337">
        <f>E122-F122</f>
        <v>0</v>
      </c>
    </row>
    <row r="123" spans="2:27" ht="15.75" thickBot="1" x14ac:dyDescent="0.3">
      <c r="B123" s="230"/>
      <c r="C123" s="257"/>
      <c r="D123" s="233"/>
      <c r="E123" s="300"/>
      <c r="F123" s="282"/>
      <c r="G123" s="380"/>
      <c r="H123" s="381"/>
      <c r="I123" s="380"/>
      <c r="J123" s="318"/>
      <c r="K123" s="300"/>
      <c r="L123" s="301"/>
      <c r="M123" s="292"/>
      <c r="N123" s="301"/>
      <c r="O123" s="300"/>
      <c r="P123" s="301"/>
      <c r="Q123" s="300"/>
      <c r="R123" s="301"/>
      <c r="S123" s="380"/>
      <c r="T123" s="381"/>
      <c r="U123" s="380"/>
      <c r="V123" s="381"/>
      <c r="W123" s="318"/>
      <c r="X123" s="318"/>
      <c r="Y123" s="300"/>
      <c r="Z123" s="301"/>
      <c r="AA123" s="311">
        <f>AA114</f>
        <v>34153</v>
      </c>
    </row>
    <row r="124" spans="2:27" x14ac:dyDescent="0.25">
      <c r="B124" s="230"/>
      <c r="C124" s="257"/>
      <c r="D124" s="233"/>
      <c r="E124" s="300"/>
      <c r="F124" s="282"/>
      <c r="G124" s="380"/>
      <c r="H124" s="381"/>
      <c r="I124" s="380"/>
      <c r="J124" s="318"/>
      <c r="K124" s="300"/>
      <c r="L124" s="301"/>
      <c r="M124" s="292"/>
      <c r="N124" s="301"/>
      <c r="O124" s="300"/>
      <c r="P124" s="301"/>
      <c r="Q124" s="300"/>
      <c r="R124" s="301"/>
      <c r="S124" s="380"/>
      <c r="T124" s="381"/>
      <c r="U124" s="380"/>
      <c r="V124" s="381"/>
      <c r="W124" s="318"/>
      <c r="X124" s="318"/>
      <c r="Y124" s="300"/>
      <c r="Z124" s="301"/>
      <c r="AA124" s="338"/>
    </row>
    <row r="125" spans="2:27" ht="15.75" x14ac:dyDescent="0.25">
      <c r="B125" s="230" t="s">
        <v>723</v>
      </c>
      <c r="C125" s="257" t="s">
        <v>724</v>
      </c>
      <c r="D125" s="233"/>
      <c r="E125" s="300"/>
      <c r="F125" s="282"/>
      <c r="G125" s="380"/>
      <c r="H125" s="381"/>
      <c r="I125" s="380"/>
      <c r="J125" s="318"/>
      <c r="K125" s="300"/>
      <c r="L125" s="301"/>
      <c r="M125" s="292"/>
      <c r="N125" s="301"/>
      <c r="O125" s="300"/>
      <c r="P125" s="301"/>
      <c r="Q125" s="300"/>
      <c r="R125" s="301"/>
      <c r="S125" s="380"/>
      <c r="T125" s="381"/>
      <c r="U125" s="380"/>
      <c r="V125" s="381"/>
      <c r="W125" s="318"/>
      <c r="X125" s="318"/>
      <c r="Y125" s="300"/>
      <c r="Z125" s="301"/>
      <c r="AA125" s="291" t="s">
        <v>725</v>
      </c>
    </row>
    <row r="126" spans="2:27" x14ac:dyDescent="0.25">
      <c r="B126" s="260" t="s">
        <v>726</v>
      </c>
      <c r="C126" s="257"/>
      <c r="D126" s="233"/>
      <c r="E126" s="300"/>
      <c r="F126" s="282"/>
      <c r="G126" s="380"/>
      <c r="H126" s="381"/>
      <c r="I126" s="380"/>
      <c r="J126" s="318"/>
      <c r="K126" s="300"/>
      <c r="L126" s="301"/>
      <c r="M126" s="292"/>
      <c r="N126" s="301"/>
      <c r="O126" s="300"/>
      <c r="P126" s="301"/>
      <c r="Q126" s="300"/>
      <c r="R126" s="301"/>
      <c r="S126" s="380"/>
      <c r="T126" s="381"/>
      <c r="U126" s="380"/>
      <c r="V126" s="381"/>
      <c r="W126" s="318"/>
      <c r="X126" s="318"/>
      <c r="Y126" s="300"/>
      <c r="Z126" s="301"/>
      <c r="AA126" s="339"/>
    </row>
    <row r="127" spans="2:27" x14ac:dyDescent="0.25">
      <c r="B127" s="260" t="s">
        <v>727</v>
      </c>
      <c r="C127" s="232" t="s">
        <v>728</v>
      </c>
      <c r="D127" s="233"/>
      <c r="E127" s="306"/>
      <c r="F127" s="352"/>
      <c r="G127" s="388"/>
      <c r="H127" s="389"/>
      <c r="I127" s="388"/>
      <c r="J127" s="376"/>
      <c r="K127" s="306"/>
      <c r="L127" s="307"/>
      <c r="M127" s="331"/>
      <c r="N127" s="307"/>
      <c r="O127" s="306"/>
      <c r="P127" s="307"/>
      <c r="Q127" s="306"/>
      <c r="R127" s="307"/>
      <c r="S127" s="388"/>
      <c r="T127" s="389"/>
      <c r="U127" s="388"/>
      <c r="V127" s="389"/>
      <c r="W127" s="376"/>
      <c r="X127" s="376"/>
      <c r="Y127" s="306"/>
      <c r="Z127" s="307"/>
      <c r="AA127" s="340"/>
    </row>
  </sheetData>
  <mergeCells count="24">
    <mergeCell ref="C6:C8"/>
    <mergeCell ref="E7:F7"/>
    <mergeCell ref="G7:H7"/>
    <mergeCell ref="I7:J7"/>
    <mergeCell ref="K7:L7"/>
    <mergeCell ref="M64:N64"/>
    <mergeCell ref="O64:P64"/>
    <mergeCell ref="Q64:R64"/>
    <mergeCell ref="M7:N7"/>
    <mergeCell ref="O7:P7"/>
    <mergeCell ref="Q7:R7"/>
    <mergeCell ref="C63:C65"/>
    <mergeCell ref="E64:F64"/>
    <mergeCell ref="G64:H64"/>
    <mergeCell ref="I64:J64"/>
    <mergeCell ref="K64:L64"/>
    <mergeCell ref="S64:T64"/>
    <mergeCell ref="U64:V64"/>
    <mergeCell ref="W64:X64"/>
    <mergeCell ref="Y64:Z64"/>
    <mergeCell ref="Y7:Z7"/>
    <mergeCell ref="S7:T7"/>
    <mergeCell ref="U7:V7"/>
    <mergeCell ref="W7:X7"/>
  </mergeCells>
  <hyperlinks>
    <hyperlink ref="A1" location="Main!A1" display="Main" xr:uid="{7C056742-B5A5-47BE-85B9-A96C809455AA}"/>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A1:P52"/>
  <sheetViews>
    <sheetView workbookViewId="0"/>
  </sheetViews>
  <sheetFormatPr defaultRowHeight="15" x14ac:dyDescent="0.25"/>
  <sheetData>
    <row r="1" spans="1:16" x14ac:dyDescent="0.25">
      <c r="A1" s="161" t="s">
        <v>1984</v>
      </c>
    </row>
    <row r="2" spans="1:16" x14ac:dyDescent="0.25">
      <c r="B2" s="1" t="s">
        <v>1343</v>
      </c>
      <c r="P2" s="1" t="s">
        <v>1353</v>
      </c>
    </row>
    <row r="3" spans="1:16" x14ac:dyDescent="0.25">
      <c r="B3" t="s">
        <v>1344</v>
      </c>
    </row>
    <row r="5" spans="1:16" x14ac:dyDescent="0.25">
      <c r="B5" t="s">
        <v>1345</v>
      </c>
    </row>
    <row r="6" spans="1:16" x14ac:dyDescent="0.25">
      <c r="B6" t="s">
        <v>940</v>
      </c>
    </row>
    <row r="7" spans="1:16" x14ac:dyDescent="0.25">
      <c r="B7" t="s">
        <v>938</v>
      </c>
    </row>
    <row r="8" spans="1:16" x14ac:dyDescent="0.25">
      <c r="B8" t="s">
        <v>939</v>
      </c>
    </row>
    <row r="10" spans="1:16" x14ac:dyDescent="0.25">
      <c r="B10" t="s">
        <v>1346</v>
      </c>
    </row>
    <row r="11" spans="1:16" x14ac:dyDescent="0.25">
      <c r="B11" t="s">
        <v>1347</v>
      </c>
    </row>
    <row r="12" spans="1:16" x14ac:dyDescent="0.25">
      <c r="B12" t="s">
        <v>1348</v>
      </c>
    </row>
    <row r="13" spans="1:16" x14ac:dyDescent="0.25">
      <c r="B13" t="s">
        <v>1349</v>
      </c>
    </row>
    <row r="15" spans="1:16" x14ac:dyDescent="0.25">
      <c r="B15" t="s">
        <v>946</v>
      </c>
    </row>
    <row r="16" spans="1:16" x14ac:dyDescent="0.25">
      <c r="B16" t="s">
        <v>1350</v>
      </c>
    </row>
    <row r="18" spans="2:16" x14ac:dyDescent="0.25">
      <c r="B18" t="s">
        <v>949</v>
      </c>
    </row>
    <row r="19" spans="2:16" x14ac:dyDescent="0.25">
      <c r="B19" t="s">
        <v>1351</v>
      </c>
    </row>
    <row r="21" spans="2:16" x14ac:dyDescent="0.25">
      <c r="B21" t="s">
        <v>1352</v>
      </c>
    </row>
    <row r="23" spans="2:16" x14ac:dyDescent="0.25">
      <c r="B23" s="1" t="s">
        <v>1318</v>
      </c>
      <c r="P23" s="418" t="s">
        <v>1867</v>
      </c>
    </row>
    <row r="24" spans="2:16" x14ac:dyDescent="0.25">
      <c r="B24" t="s">
        <v>1335</v>
      </c>
      <c r="P24" s="418" t="s">
        <v>1338</v>
      </c>
    </row>
    <row r="25" spans="2:16" x14ac:dyDescent="0.25">
      <c r="B25" t="s">
        <v>1336</v>
      </c>
      <c r="P25" s="418" t="s">
        <v>1339</v>
      </c>
    </row>
    <row r="26" spans="2:16" x14ac:dyDescent="0.25">
      <c r="P26" s="418" t="s">
        <v>1340</v>
      </c>
    </row>
    <row r="27" spans="2:16" x14ac:dyDescent="0.25">
      <c r="B27" t="s">
        <v>1323</v>
      </c>
    </row>
    <row r="28" spans="2:16" x14ac:dyDescent="0.25">
      <c r="B28" t="s">
        <v>1319</v>
      </c>
    </row>
    <row r="29" spans="2:16" x14ac:dyDescent="0.25">
      <c r="B29" t="s">
        <v>1320</v>
      </c>
    </row>
    <row r="30" spans="2:16" x14ac:dyDescent="0.25">
      <c r="B30" t="s">
        <v>1321</v>
      </c>
    </row>
    <row r="31" spans="2:16" x14ac:dyDescent="0.25">
      <c r="B31" t="s">
        <v>1322</v>
      </c>
    </row>
    <row r="32" spans="2:16" x14ac:dyDescent="0.25">
      <c r="B32" t="s">
        <v>1324</v>
      </c>
    </row>
    <row r="33" spans="2:2" x14ac:dyDescent="0.25">
      <c r="B33" t="s">
        <v>1337</v>
      </c>
    </row>
    <row r="35" spans="2:2" x14ac:dyDescent="0.25">
      <c r="B35" s="1" t="s">
        <v>1328</v>
      </c>
    </row>
    <row r="36" spans="2:2" x14ac:dyDescent="0.25">
      <c r="B36" t="s">
        <v>1333</v>
      </c>
    </row>
    <row r="38" spans="2:2" x14ac:dyDescent="0.25">
      <c r="B38" t="s">
        <v>1341</v>
      </c>
    </row>
    <row r="39" spans="2:2" x14ac:dyDescent="0.25">
      <c r="B39" t="s">
        <v>1342</v>
      </c>
    </row>
    <row r="40" spans="2:2" x14ac:dyDescent="0.25">
      <c r="B40" t="s">
        <v>1334</v>
      </c>
    </row>
    <row r="42" spans="2:2" x14ac:dyDescent="0.25">
      <c r="B42" t="s">
        <v>1332</v>
      </c>
    </row>
    <row r="43" spans="2:2" x14ac:dyDescent="0.25">
      <c r="B43" t="s">
        <v>1319</v>
      </c>
    </row>
    <row r="44" spans="2:2" x14ac:dyDescent="0.25">
      <c r="B44" t="s">
        <v>1320</v>
      </c>
    </row>
    <row r="45" spans="2:2" x14ac:dyDescent="0.25">
      <c r="B45" t="s">
        <v>1329</v>
      </c>
    </row>
    <row r="46" spans="2:2" x14ac:dyDescent="0.25">
      <c r="B46" t="s">
        <v>1331</v>
      </c>
    </row>
    <row r="47" spans="2:2" x14ac:dyDescent="0.25">
      <c r="B47" t="s">
        <v>1330</v>
      </c>
    </row>
    <row r="48" spans="2:2" x14ac:dyDescent="0.25">
      <c r="B48" t="s">
        <v>1337</v>
      </c>
    </row>
    <row r="50" spans="2:2" x14ac:dyDescent="0.25">
      <c r="B50" s="1" t="s">
        <v>1325</v>
      </c>
    </row>
    <row r="51" spans="2:2" x14ac:dyDescent="0.25">
      <c r="B51" t="s">
        <v>1326</v>
      </c>
    </row>
    <row r="52" spans="2:2" x14ac:dyDescent="0.25">
      <c r="B52" t="s">
        <v>1327</v>
      </c>
    </row>
  </sheetData>
  <hyperlinks>
    <hyperlink ref="A1" location="Main!A1" display="Main" xr:uid="{5AE1019B-212F-4237-AEAB-7D939E166BB4}"/>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D57"/>
  <sheetViews>
    <sheetView zoomScale="80" zoomScaleNormal="80" workbookViewId="0">
      <selection activeCell="B35" sqref="B35"/>
    </sheetView>
  </sheetViews>
  <sheetFormatPr defaultRowHeight="15" x14ac:dyDescent="0.25"/>
  <sheetData>
    <row r="1" spans="1:2" x14ac:dyDescent="0.25">
      <c r="A1" s="161" t="s">
        <v>1984</v>
      </c>
    </row>
    <row r="2" spans="1:2" x14ac:dyDescent="0.25">
      <c r="B2" s="418" t="s">
        <v>1656</v>
      </c>
    </row>
    <row r="3" spans="1:2" x14ac:dyDescent="0.25">
      <c r="B3" s="418" t="s">
        <v>1657</v>
      </c>
    </row>
    <row r="4" spans="1:2" x14ac:dyDescent="0.25">
      <c r="B4" s="418" t="s">
        <v>1658</v>
      </c>
    </row>
    <row r="5" spans="1:2" x14ac:dyDescent="0.25">
      <c r="B5" s="418" t="s">
        <v>1758</v>
      </c>
    </row>
    <row r="6" spans="1:2" x14ac:dyDescent="0.25">
      <c r="B6" s="418"/>
    </row>
    <row r="7" spans="1:2" x14ac:dyDescent="0.25">
      <c r="B7" s="418" t="s">
        <v>1660</v>
      </c>
    </row>
    <row r="8" spans="1:2" x14ac:dyDescent="0.25">
      <c r="B8" s="418" t="s">
        <v>1659</v>
      </c>
    </row>
    <row r="9" spans="1:2" x14ac:dyDescent="0.25">
      <c r="B9" s="418" t="s">
        <v>1661</v>
      </c>
    </row>
    <row r="10" spans="1:2" x14ac:dyDescent="0.25">
      <c r="B10" s="418"/>
    </row>
    <row r="11" spans="1:2" x14ac:dyDescent="0.25">
      <c r="B11" s="418" t="s">
        <v>1662</v>
      </c>
    </row>
    <row r="12" spans="1:2" x14ac:dyDescent="0.25">
      <c r="B12" s="418" t="s">
        <v>1663</v>
      </c>
    </row>
    <row r="13" spans="1:2" x14ac:dyDescent="0.25">
      <c r="B13" s="418" t="s">
        <v>1664</v>
      </c>
    </row>
    <row r="15" spans="1:2" x14ac:dyDescent="0.25">
      <c r="B15" s="418" t="s">
        <v>1665</v>
      </c>
    </row>
    <row r="16" spans="1:2" x14ac:dyDescent="0.25">
      <c r="B16" s="418" t="s">
        <v>1666</v>
      </c>
    </row>
    <row r="17" spans="2:4" x14ac:dyDescent="0.25">
      <c r="B17" s="418" t="s">
        <v>1667</v>
      </c>
    </row>
    <row r="19" spans="2:4" x14ac:dyDescent="0.25">
      <c r="B19" s="418" t="s">
        <v>1759</v>
      </c>
    </row>
    <row r="21" spans="2:4" x14ac:dyDescent="0.25">
      <c r="B21" s="1" t="s">
        <v>1357</v>
      </c>
    </row>
    <row r="23" spans="2:4" x14ac:dyDescent="0.25">
      <c r="B23" t="s">
        <v>1358</v>
      </c>
    </row>
    <row r="24" spans="2:4" x14ac:dyDescent="0.25">
      <c r="B24" t="s">
        <v>1359</v>
      </c>
    </row>
    <row r="25" spans="2:4" x14ac:dyDescent="0.25">
      <c r="B25" t="s">
        <v>1360</v>
      </c>
    </row>
    <row r="27" spans="2:4" x14ac:dyDescent="0.25">
      <c r="B27" t="s">
        <v>1361</v>
      </c>
      <c r="D27" t="s">
        <v>1362</v>
      </c>
    </row>
    <row r="28" spans="2:4" x14ac:dyDescent="0.25">
      <c r="D28" s="3"/>
    </row>
    <row r="29" spans="2:4" x14ac:dyDescent="0.25">
      <c r="B29" t="s">
        <v>1363</v>
      </c>
    </row>
    <row r="31" spans="2:4" x14ac:dyDescent="0.25">
      <c r="B31" t="s">
        <v>1361</v>
      </c>
      <c r="D31" t="s">
        <v>1364</v>
      </c>
    </row>
    <row r="32" spans="2:4" x14ac:dyDescent="0.25">
      <c r="D32" s="3"/>
    </row>
    <row r="35" spans="2:4" x14ac:dyDescent="0.25">
      <c r="B35" s="1" t="s">
        <v>1365</v>
      </c>
    </row>
    <row r="37" spans="2:4" x14ac:dyDescent="0.25">
      <c r="B37" t="s">
        <v>1366</v>
      </c>
    </row>
    <row r="38" spans="2:4" x14ac:dyDescent="0.25">
      <c r="B38" t="s">
        <v>1367</v>
      </c>
    </row>
    <row r="40" spans="2:4" x14ac:dyDescent="0.25">
      <c r="B40" t="s">
        <v>1368</v>
      </c>
    </row>
    <row r="42" spans="2:4" x14ac:dyDescent="0.25">
      <c r="B42" t="s">
        <v>1370</v>
      </c>
      <c r="D42" t="s">
        <v>1369</v>
      </c>
    </row>
    <row r="43" spans="2:4" x14ac:dyDescent="0.25">
      <c r="D43" s="3"/>
    </row>
    <row r="46" spans="2:4" x14ac:dyDescent="0.25">
      <c r="B46" s="1" t="s">
        <v>72</v>
      </c>
    </row>
    <row r="48" spans="2:4" x14ac:dyDescent="0.25">
      <c r="B48" t="s">
        <v>1760</v>
      </c>
    </row>
    <row r="49" spans="2:2" x14ac:dyDescent="0.25">
      <c r="B49" t="s">
        <v>1761</v>
      </c>
    </row>
    <row r="51" spans="2:2" x14ac:dyDescent="0.25">
      <c r="B51" t="s">
        <v>1764</v>
      </c>
    </row>
    <row r="52" spans="2:2" x14ac:dyDescent="0.25">
      <c r="B52" t="s">
        <v>1763</v>
      </c>
    </row>
    <row r="54" spans="2:2" x14ac:dyDescent="0.25">
      <c r="B54" t="s">
        <v>1762</v>
      </c>
    </row>
    <row r="55" spans="2:2" x14ac:dyDescent="0.25">
      <c r="B55" t="s">
        <v>1765</v>
      </c>
    </row>
    <row r="57" spans="2:2" x14ac:dyDescent="0.25">
      <c r="B57" t="s">
        <v>1766</v>
      </c>
    </row>
  </sheetData>
  <hyperlinks>
    <hyperlink ref="A1" location="Main!A1" display="Main" xr:uid="{7C7390CB-6EC3-4E02-927E-82827B9C91A7}"/>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row r="1" spans="1:1" x14ac:dyDescent="0.25">
      <c r="A1" s="161" t="s">
        <v>1984</v>
      </c>
    </row>
  </sheetData>
  <hyperlinks>
    <hyperlink ref="A1" location="Main!A1" display="Main" xr:uid="{473B4536-F7B0-4904-9813-67C8C69FF1E9}"/>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A1:P103"/>
  <sheetViews>
    <sheetView zoomScale="85" zoomScaleNormal="85" workbookViewId="0"/>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1:10" ht="15.75" thickBot="1" x14ac:dyDescent="0.3">
      <c r="A1" s="161" t="s">
        <v>1984</v>
      </c>
    </row>
    <row r="2" spans="1:10" x14ac:dyDescent="0.25">
      <c r="B2" s="867" t="s">
        <v>210</v>
      </c>
      <c r="C2" s="868"/>
      <c r="D2" s="868"/>
      <c r="E2" s="868"/>
      <c r="F2" s="869"/>
    </row>
    <row r="3" spans="1:10" x14ac:dyDescent="0.25">
      <c r="B3" s="870"/>
      <c r="C3" s="871"/>
      <c r="D3" s="871"/>
      <c r="E3" s="871"/>
      <c r="F3" s="872"/>
    </row>
    <row r="4" spans="1:10" x14ac:dyDescent="0.25">
      <c r="B4" s="870"/>
      <c r="C4" s="871"/>
      <c r="D4" s="871"/>
      <c r="E4" s="871"/>
      <c r="F4" s="872"/>
    </row>
    <row r="5" spans="1:10" x14ac:dyDescent="0.25">
      <c r="B5" s="870"/>
      <c r="C5" s="871"/>
      <c r="D5" s="871"/>
      <c r="E5" s="871"/>
      <c r="F5" s="872"/>
    </row>
    <row r="6" spans="1:10" x14ac:dyDescent="0.25">
      <c r="B6" s="870"/>
      <c r="C6" s="871"/>
      <c r="D6" s="871"/>
      <c r="E6" s="871"/>
      <c r="F6" s="872"/>
    </row>
    <row r="7" spans="1:10" x14ac:dyDescent="0.25">
      <c r="B7" s="870"/>
      <c r="C7" s="871"/>
      <c r="D7" s="871"/>
      <c r="E7" s="871"/>
      <c r="F7" s="872"/>
    </row>
    <row r="8" spans="1:10" x14ac:dyDescent="0.25">
      <c r="B8" s="870"/>
      <c r="C8" s="871"/>
      <c r="D8" s="871"/>
      <c r="E8" s="871"/>
      <c r="F8" s="872"/>
    </row>
    <row r="9" spans="1:10" x14ac:dyDescent="0.25">
      <c r="B9" s="870"/>
      <c r="C9" s="871"/>
      <c r="D9" s="871"/>
      <c r="E9" s="871"/>
      <c r="F9" s="872"/>
    </row>
    <row r="10" spans="1:10" x14ac:dyDescent="0.25">
      <c r="B10" s="870"/>
      <c r="C10" s="871"/>
      <c r="D10" s="871"/>
      <c r="E10" s="871"/>
      <c r="F10" s="872"/>
    </row>
    <row r="11" spans="1:10" x14ac:dyDescent="0.25">
      <c r="B11" s="870"/>
      <c r="C11" s="871"/>
      <c r="D11" s="871"/>
      <c r="E11" s="871"/>
      <c r="F11" s="872"/>
    </row>
    <row r="12" spans="1:10" ht="15.75" thickBot="1" x14ac:dyDescent="0.3">
      <c r="B12" s="873"/>
      <c r="C12" s="874"/>
      <c r="D12" s="874"/>
      <c r="E12" s="874"/>
      <c r="F12" s="875"/>
    </row>
    <row r="13" spans="1:10" ht="15.75" thickBot="1" x14ac:dyDescent="0.3"/>
    <row r="14" spans="1:10" x14ac:dyDescent="0.25">
      <c r="B14" s="1"/>
      <c r="F14" s="73" t="s">
        <v>176</v>
      </c>
      <c r="G14" s="62"/>
    </row>
    <row r="15" spans="1:10" x14ac:dyDescent="0.25">
      <c r="B15" s="418" t="s">
        <v>1398</v>
      </c>
      <c r="F15" s="63"/>
      <c r="G15" s="66"/>
    </row>
    <row r="16" spans="1:10" x14ac:dyDescent="0.25">
      <c r="B16" s="876" t="s">
        <v>1401</v>
      </c>
      <c r="C16" s="876"/>
      <c r="D16" s="876"/>
      <c r="F16" s="63" t="s">
        <v>169</v>
      </c>
      <c r="G16" s="124" t="s">
        <v>171</v>
      </c>
      <c r="I16" t="s">
        <v>269</v>
      </c>
      <c r="J16" s="42"/>
    </row>
    <row r="17" spans="2:14" x14ac:dyDescent="0.25">
      <c r="B17" s="876"/>
      <c r="C17" s="876"/>
      <c r="D17" s="876"/>
      <c r="F17" s="63" t="s">
        <v>168</v>
      </c>
      <c r="G17" s="125">
        <f>IF(G16="years",1/G18,1/(G18/12))</f>
        <v>0.02</v>
      </c>
      <c r="I17" t="s">
        <v>270</v>
      </c>
      <c r="J17" s="42"/>
    </row>
    <row r="18" spans="2:14" x14ac:dyDescent="0.25">
      <c r="F18" s="63" t="s">
        <v>187</v>
      </c>
      <c r="G18" s="98">
        <v>50</v>
      </c>
      <c r="I18" t="s">
        <v>170</v>
      </c>
      <c r="J18" s="52">
        <f>YEARFRAC(J16,J17)*12</f>
        <v>0</v>
      </c>
    </row>
    <row r="19" spans="2:14" x14ac:dyDescent="0.25">
      <c r="C19" s="40"/>
      <c r="F19" s="63" t="s">
        <v>173</v>
      </c>
      <c r="G19" s="98">
        <v>13</v>
      </c>
      <c r="I19" s="41"/>
    </row>
    <row r="20" spans="2:14" x14ac:dyDescent="0.25">
      <c r="B20" s="877" t="s">
        <v>1905</v>
      </c>
      <c r="C20" s="877"/>
      <c r="D20" s="877"/>
      <c r="F20" s="63" t="s">
        <v>174</v>
      </c>
      <c r="G20" s="179">
        <f>IF(G16="months",G17/12,G17)</f>
        <v>0.02</v>
      </c>
      <c r="I20" s="41"/>
    </row>
    <row r="21" spans="2:14" x14ac:dyDescent="0.25">
      <c r="B21" s="877"/>
      <c r="C21" s="877"/>
      <c r="D21" s="877"/>
      <c r="F21" s="63" t="s">
        <v>177</v>
      </c>
      <c r="G21" s="76">
        <v>3600</v>
      </c>
      <c r="I21" s="12"/>
    </row>
    <row r="22" spans="2:14" x14ac:dyDescent="0.25">
      <c r="B22" s="877"/>
      <c r="C22" s="877"/>
      <c r="D22" s="877"/>
      <c r="F22" s="63" t="s">
        <v>149</v>
      </c>
      <c r="G22" s="76">
        <v>0</v>
      </c>
    </row>
    <row r="23" spans="2:14" x14ac:dyDescent="0.25">
      <c r="C23" s="12"/>
      <c r="F23" s="63"/>
      <c r="G23" s="66"/>
    </row>
    <row r="24" spans="2:14" x14ac:dyDescent="0.25">
      <c r="C24" s="12"/>
      <c r="F24" s="63" t="s">
        <v>178</v>
      </c>
      <c r="G24" s="69">
        <f>G21-(G21-G22)*(G20*G19)</f>
        <v>2664</v>
      </c>
    </row>
    <row r="25" spans="2:14" x14ac:dyDescent="0.25">
      <c r="F25" s="63" t="s">
        <v>172</v>
      </c>
      <c r="G25" s="69">
        <f>G21-G24</f>
        <v>936</v>
      </c>
    </row>
    <row r="26" spans="2:14" ht="15.75" thickBot="1" x14ac:dyDescent="0.3">
      <c r="F26" s="70" t="s">
        <v>175</v>
      </c>
      <c r="G26" s="108">
        <f>(G21-G22)/G18</f>
        <v>72</v>
      </c>
      <c r="H26" s="12"/>
    </row>
    <row r="27" spans="2:14" x14ac:dyDescent="0.25">
      <c r="G27" s="12"/>
    </row>
    <row r="28" spans="2:14" x14ac:dyDescent="0.25">
      <c r="N28" s="12"/>
    </row>
    <row r="29" spans="2:14" x14ac:dyDescent="0.25">
      <c r="B29" s="418" t="s">
        <v>1396</v>
      </c>
    </row>
    <row r="30" spans="2:14" x14ac:dyDescent="0.25">
      <c r="B30" s="418" t="s">
        <v>1316</v>
      </c>
      <c r="F30" s="418"/>
    </row>
    <row r="32" spans="2:14" ht="15.75" thickBot="1" x14ac:dyDescent="0.3">
      <c r="F32" s="418"/>
    </row>
    <row r="33" spans="2:16" ht="15.75" thickBot="1" x14ac:dyDescent="0.3">
      <c r="J33" s="863" t="s">
        <v>206</v>
      </c>
      <c r="K33" s="864"/>
      <c r="L33" s="864"/>
      <c r="M33" s="864"/>
      <c r="N33" s="61"/>
      <c r="O33" s="61"/>
      <c r="P33" s="62"/>
    </row>
    <row r="34" spans="2:16" x14ac:dyDescent="0.25">
      <c r="B34" s="111" t="s">
        <v>179</v>
      </c>
      <c r="C34" s="112"/>
      <c r="D34" s="113"/>
      <c r="F34" s="111" t="s">
        <v>203</v>
      </c>
      <c r="G34" s="112"/>
      <c r="H34" s="113"/>
      <c r="J34" s="865"/>
      <c r="K34" s="866"/>
      <c r="L34" s="866"/>
      <c r="M34" s="866"/>
      <c r="N34" s="64"/>
      <c r="O34" s="64"/>
      <c r="P34" s="66"/>
    </row>
    <row r="35" spans="2:16" x14ac:dyDescent="0.25">
      <c r="B35" s="493" t="s">
        <v>1399</v>
      </c>
      <c r="C35" s="64"/>
      <c r="D35" s="66"/>
      <c r="F35" s="870" t="s">
        <v>1904</v>
      </c>
      <c r="G35" s="871"/>
      <c r="H35" s="872"/>
      <c r="J35" s="865"/>
      <c r="K35" s="866"/>
      <c r="L35" s="866"/>
      <c r="M35" s="866"/>
      <c r="N35" s="83"/>
      <c r="O35" s="64"/>
      <c r="P35" s="66"/>
    </row>
    <row r="36" spans="2:16" x14ac:dyDescent="0.25">
      <c r="B36" s="63" t="s">
        <v>183</v>
      </c>
      <c r="C36" s="94">
        <v>4500</v>
      </c>
      <c r="D36" s="66"/>
      <c r="F36" s="870"/>
      <c r="G36" s="871"/>
      <c r="H36" s="872"/>
      <c r="J36" s="63" t="s">
        <v>204</v>
      </c>
      <c r="K36" s="64"/>
      <c r="L36" s="64"/>
      <c r="M36" s="64"/>
      <c r="N36" s="68">
        <f>3600-(3600*0.02*13)</f>
        <v>2664</v>
      </c>
      <c r="O36" s="64"/>
      <c r="P36" s="66"/>
    </row>
    <row r="37" spans="2:16" x14ac:dyDescent="0.25">
      <c r="B37" s="63" t="s">
        <v>180</v>
      </c>
      <c r="C37" s="103">
        <f>-G25</f>
        <v>-936</v>
      </c>
      <c r="D37" s="66"/>
      <c r="F37" s="870"/>
      <c r="G37" s="871"/>
      <c r="H37" s="872"/>
      <c r="J37" s="63" t="s">
        <v>1153</v>
      </c>
      <c r="K37" s="64"/>
      <c r="L37" s="64"/>
      <c r="M37" s="64"/>
      <c r="N37" s="68">
        <v>3900</v>
      </c>
      <c r="O37" s="64"/>
      <c r="P37" s="66"/>
    </row>
    <row r="38" spans="2:16" x14ac:dyDescent="0.25">
      <c r="B38" s="63" t="s">
        <v>178</v>
      </c>
      <c r="C38" s="104">
        <f>SUM(C36:C37)</f>
        <v>3564</v>
      </c>
      <c r="D38" s="66"/>
      <c r="F38" s="63" t="s">
        <v>201</v>
      </c>
      <c r="G38" s="64"/>
      <c r="H38" s="76">
        <v>1539</v>
      </c>
      <c r="J38" s="63" t="s">
        <v>205</v>
      </c>
      <c r="K38" s="64"/>
      <c r="L38" s="64"/>
      <c r="M38" s="64"/>
      <c r="N38" s="83">
        <f>N36-N37</f>
        <v>-1236</v>
      </c>
      <c r="O38" s="64"/>
      <c r="P38" s="66"/>
    </row>
    <row r="39" spans="2:16" x14ac:dyDescent="0.25">
      <c r="B39" s="63"/>
      <c r="C39" s="64"/>
      <c r="D39" s="66"/>
      <c r="F39" s="63" t="s">
        <v>200</v>
      </c>
      <c r="G39" s="64"/>
      <c r="H39" s="76"/>
      <c r="J39" s="63"/>
      <c r="K39" s="64"/>
      <c r="L39" s="64"/>
      <c r="M39" s="64"/>
      <c r="N39" s="64"/>
      <c r="O39" s="64"/>
      <c r="P39" s="66"/>
    </row>
    <row r="40" spans="2:16" x14ac:dyDescent="0.25">
      <c r="B40" s="63" t="s">
        <v>1400</v>
      </c>
      <c r="C40" s="94">
        <v>3900</v>
      </c>
      <c r="D40" s="66"/>
      <c r="F40" s="63"/>
      <c r="G40" s="64"/>
      <c r="H40" s="77">
        <f>H38-H39</f>
        <v>1539</v>
      </c>
      <c r="J40" s="63" t="s">
        <v>207</v>
      </c>
      <c r="K40" s="64"/>
      <c r="L40" s="64"/>
      <c r="M40" s="64"/>
      <c r="N40" s="64"/>
      <c r="O40" s="64"/>
      <c r="P40" s="66"/>
    </row>
    <row r="41" spans="2:16" ht="15.75" thickBot="1" x14ac:dyDescent="0.3">
      <c r="B41" s="70" t="s">
        <v>182</v>
      </c>
      <c r="C41" s="33">
        <f>C40-C38</f>
        <v>336</v>
      </c>
      <c r="D41" s="80"/>
      <c r="F41" s="63"/>
      <c r="G41" s="64"/>
      <c r="H41" s="66"/>
      <c r="J41" s="63"/>
      <c r="K41" s="64"/>
      <c r="L41" s="64"/>
      <c r="M41" s="64"/>
      <c r="N41" s="64"/>
      <c r="O41" s="64"/>
      <c r="P41" s="66"/>
    </row>
    <row r="42" spans="2:16" ht="15.75" thickBot="1" x14ac:dyDescent="0.3">
      <c r="B42" s="64"/>
      <c r="C42" s="17"/>
      <c r="D42" s="64"/>
      <c r="F42" s="63" t="s">
        <v>202</v>
      </c>
      <c r="G42" s="64"/>
      <c r="H42" s="76">
        <v>600</v>
      </c>
      <c r="J42" s="63"/>
      <c r="K42" s="64"/>
      <c r="L42" s="64"/>
      <c r="M42" s="64"/>
      <c r="N42" s="64"/>
      <c r="O42" s="64"/>
      <c r="P42" s="66"/>
    </row>
    <row r="43" spans="2:16" x14ac:dyDescent="0.25">
      <c r="B43" s="111" t="s">
        <v>268</v>
      </c>
      <c r="C43" s="112"/>
      <c r="D43" s="113"/>
      <c r="F43" s="63"/>
      <c r="G43" s="64"/>
      <c r="H43" s="66"/>
      <c r="J43" s="63"/>
      <c r="K43" s="64"/>
      <c r="L43" s="64"/>
      <c r="M43" s="64"/>
      <c r="N43" s="64"/>
      <c r="O43" s="64"/>
      <c r="P43" s="66"/>
    </row>
    <row r="44" spans="2:16" x14ac:dyDescent="0.25">
      <c r="B44" s="616" t="s">
        <v>1397</v>
      </c>
      <c r="C44" s="17"/>
      <c r="D44" s="66"/>
      <c r="F44" s="63"/>
      <c r="G44" s="64"/>
      <c r="H44" s="66"/>
      <c r="J44" s="63"/>
      <c r="K44" s="64"/>
      <c r="L44" s="64"/>
      <c r="M44" s="64"/>
      <c r="N44" s="64"/>
      <c r="O44" s="64"/>
      <c r="P44" s="66"/>
    </row>
    <row r="45" spans="2:16" x14ac:dyDescent="0.25">
      <c r="B45" s="63"/>
      <c r="C45" s="99" t="s">
        <v>161</v>
      </c>
      <c r="D45" s="100" t="s">
        <v>153</v>
      </c>
      <c r="E45" s="13"/>
      <c r="F45" s="63"/>
      <c r="G45" s="64"/>
      <c r="H45" s="66"/>
      <c r="J45" s="63"/>
      <c r="K45" s="99" t="s">
        <v>161</v>
      </c>
      <c r="L45" s="99" t="s">
        <v>153</v>
      </c>
      <c r="M45" s="64"/>
      <c r="N45" s="64"/>
      <c r="O45" s="64"/>
      <c r="P45" s="66"/>
    </row>
    <row r="46" spans="2:16" x14ac:dyDescent="0.25">
      <c r="B46" s="63" t="s">
        <v>184</v>
      </c>
      <c r="C46" s="104">
        <f>-C37</f>
        <v>936</v>
      </c>
      <c r="D46" s="66"/>
      <c r="F46" s="63"/>
      <c r="G46" s="64"/>
      <c r="H46" s="66"/>
      <c r="J46" s="63" t="s">
        <v>184</v>
      </c>
      <c r="K46" s="101">
        <v>225</v>
      </c>
      <c r="L46" s="64"/>
      <c r="M46" s="64"/>
      <c r="N46" s="64"/>
      <c r="O46" s="64"/>
      <c r="P46" s="66"/>
    </row>
    <row r="47" spans="2:16" x14ac:dyDescent="0.25">
      <c r="B47" s="63" t="str">
        <f>IF(C40&lt;C36,"Cr "&amp;B36,"DR "&amp;B36)</f>
        <v>Cr Cost - Buildings</v>
      </c>
      <c r="C47" s="17">
        <f>IF(C36&lt;C40,C40-C36,0)</f>
        <v>0</v>
      </c>
      <c r="D47" s="77">
        <f>IF(C36&gt;C40,C36-C40,0)</f>
        <v>600</v>
      </c>
      <c r="F47" s="63"/>
      <c r="G47" s="99" t="s">
        <v>161</v>
      </c>
      <c r="H47" s="100" t="s">
        <v>153</v>
      </c>
      <c r="J47" s="63" t="s">
        <v>186</v>
      </c>
      <c r="K47" s="101">
        <v>3600</v>
      </c>
      <c r="L47" s="64"/>
      <c r="M47" s="64"/>
      <c r="N47" s="64"/>
      <c r="O47" s="64"/>
      <c r="P47" s="66"/>
    </row>
    <row r="48" spans="2:16" x14ac:dyDescent="0.25">
      <c r="B48" s="63" t="s">
        <v>185</v>
      </c>
      <c r="C48" s="64"/>
      <c r="D48" s="69">
        <f>C41</f>
        <v>336</v>
      </c>
      <c r="E48" s="12"/>
      <c r="F48" s="63" t="s">
        <v>199</v>
      </c>
      <c r="G48" s="109">
        <f>IF(H42&gt;H40,H40,H42)</f>
        <v>600</v>
      </c>
      <c r="H48" s="81"/>
      <c r="J48" s="63" t="s">
        <v>185</v>
      </c>
      <c r="K48" s="64"/>
      <c r="L48" s="17">
        <f>C41-L49</f>
        <v>1572</v>
      </c>
      <c r="M48" s="64"/>
      <c r="N48" s="64"/>
      <c r="O48" s="64"/>
      <c r="P48" s="66"/>
    </row>
    <row r="49" spans="2:16" x14ac:dyDescent="0.25">
      <c r="B49" s="63"/>
      <c r="C49" s="64"/>
      <c r="D49" s="66"/>
      <c r="F49" s="63" t="s">
        <v>275</v>
      </c>
      <c r="G49" s="109">
        <f>IF(H42&gt;H40,H42-H40,0)</f>
        <v>0</v>
      </c>
      <c r="H49" s="81"/>
      <c r="J49" s="63" t="s">
        <v>208</v>
      </c>
      <c r="K49" s="64"/>
      <c r="L49" s="83">
        <f>N38</f>
        <v>-1236</v>
      </c>
      <c r="M49" s="64"/>
      <c r="N49" s="64"/>
      <c r="O49" s="64"/>
      <c r="P49" s="66"/>
    </row>
    <row r="50" spans="2:16" x14ac:dyDescent="0.25">
      <c r="B50" s="63"/>
      <c r="C50" s="64"/>
      <c r="D50" s="66"/>
      <c r="F50" s="63" t="s">
        <v>265</v>
      </c>
      <c r="G50" s="101">
        <v>225</v>
      </c>
      <c r="H50" s="110"/>
      <c r="J50" s="63"/>
      <c r="K50" s="64"/>
      <c r="L50" s="64"/>
      <c r="M50" s="64"/>
      <c r="N50" s="64"/>
      <c r="O50" s="64"/>
      <c r="P50" s="66"/>
    </row>
    <row r="51" spans="2:16" x14ac:dyDescent="0.25">
      <c r="B51" s="63" t="s">
        <v>188</v>
      </c>
      <c r="C51" s="64"/>
      <c r="D51" s="53">
        <f>D48/(G18-G19)</f>
        <v>9.0810810810810807</v>
      </c>
      <c r="E51" s="12"/>
      <c r="F51" s="63" t="s">
        <v>266</v>
      </c>
      <c r="G51" s="109"/>
      <c r="H51" s="76">
        <f>C36-C40</f>
        <v>600</v>
      </c>
      <c r="J51" s="63"/>
      <c r="K51" s="64"/>
      <c r="L51" s="64"/>
      <c r="M51" s="64"/>
      <c r="N51" s="64"/>
      <c r="O51" s="64"/>
      <c r="P51" s="66"/>
    </row>
    <row r="52" spans="2:16" ht="15.75" thickBot="1" x14ac:dyDescent="0.3">
      <c r="B52" s="70" t="s">
        <v>422</v>
      </c>
      <c r="C52" s="71"/>
      <c r="D52" s="108"/>
      <c r="F52" s="63"/>
      <c r="G52" s="64"/>
      <c r="H52" s="66"/>
      <c r="J52" s="70"/>
      <c r="K52" s="71"/>
      <c r="L52" s="71"/>
      <c r="M52" s="71"/>
      <c r="N52" s="71"/>
      <c r="O52" s="71"/>
      <c r="P52" s="80"/>
    </row>
    <row r="53" spans="2:16" x14ac:dyDescent="0.25">
      <c r="F53" s="63" t="s">
        <v>189</v>
      </c>
      <c r="G53" s="64"/>
      <c r="H53" s="66"/>
    </row>
    <row r="54" spans="2:16" ht="15.75" thickBot="1" x14ac:dyDescent="0.3">
      <c r="B54" t="s">
        <v>915</v>
      </c>
      <c r="F54" s="70"/>
      <c r="G54" s="71"/>
      <c r="H54" s="80"/>
    </row>
    <row r="55" spans="2:16" x14ac:dyDescent="0.25">
      <c r="B55" t="s">
        <v>1523</v>
      </c>
      <c r="D55" s="3"/>
      <c r="F55" s="418"/>
    </row>
    <row r="56" spans="2:16" x14ac:dyDescent="0.25">
      <c r="B56" t="s">
        <v>1524</v>
      </c>
      <c r="D56" s="3"/>
      <c r="E56" s="418" t="s">
        <v>1525</v>
      </c>
    </row>
    <row r="57" spans="2:16" x14ac:dyDescent="0.25">
      <c r="B57" t="s">
        <v>916</v>
      </c>
      <c r="D57">
        <f>D55-D56</f>
        <v>0</v>
      </c>
    </row>
    <row r="58" spans="2:16" x14ac:dyDescent="0.25">
      <c r="B58" s="418"/>
    </row>
    <row r="59" spans="2:16" x14ac:dyDescent="0.25">
      <c r="B59" s="418" t="s">
        <v>1736</v>
      </c>
      <c r="I59" s="418" t="s">
        <v>1738</v>
      </c>
    </row>
    <row r="60" spans="2:16" x14ac:dyDescent="0.25">
      <c r="B60" s="418" t="s">
        <v>1737</v>
      </c>
    </row>
    <row r="61" spans="2:16" x14ac:dyDescent="0.25">
      <c r="B61" s="418" t="s">
        <v>1739</v>
      </c>
    </row>
    <row r="62" spans="2:16" x14ac:dyDescent="0.25">
      <c r="B62" s="418" t="s">
        <v>1835</v>
      </c>
    </row>
    <row r="63" spans="2:16" x14ac:dyDescent="0.25">
      <c r="B63" s="1" t="s">
        <v>191</v>
      </c>
    </row>
    <row r="64" spans="2:16" x14ac:dyDescent="0.25">
      <c r="B64" t="s">
        <v>194</v>
      </c>
      <c r="E64" s="42">
        <v>45047</v>
      </c>
    </row>
    <row r="65" spans="2:11" ht="43.5" customHeight="1" thickBot="1" x14ac:dyDescent="0.3">
      <c r="B65" s="1" t="s">
        <v>192</v>
      </c>
      <c r="C65" s="16" t="s">
        <v>197</v>
      </c>
      <c r="D65" s="38" t="s">
        <v>195</v>
      </c>
      <c r="E65" s="38"/>
      <c r="F65" s="1" t="s">
        <v>196</v>
      </c>
      <c r="G65" s="1" t="s">
        <v>193</v>
      </c>
      <c r="H65" s="6" t="s">
        <v>170</v>
      </c>
      <c r="I65" s="1" t="s">
        <v>190</v>
      </c>
    </row>
    <row r="66" spans="2:11" x14ac:dyDescent="0.25">
      <c r="B66" s="43" t="s">
        <v>1981</v>
      </c>
      <c r="C66" s="93">
        <v>105</v>
      </c>
      <c r="D66" s="44">
        <v>44895</v>
      </c>
      <c r="E66" s="44"/>
      <c r="F66" s="45"/>
      <c r="G66" s="434">
        <v>0.08</v>
      </c>
      <c r="H66" s="46">
        <f t="shared" ref="H66:H72" si="0">YEARFRAC(D66,$E$64)*12</f>
        <v>5.0333333333333332</v>
      </c>
      <c r="I66" s="96">
        <f>G66*(H66-F66)/12*C66</f>
        <v>3.523333333333333</v>
      </c>
    </row>
    <row r="67" spans="2:11" x14ac:dyDescent="0.25">
      <c r="B67" s="47" t="s">
        <v>1982</v>
      </c>
      <c r="C67" s="94">
        <v>123</v>
      </c>
      <c r="D67" s="49">
        <v>44926</v>
      </c>
      <c r="E67" s="49"/>
      <c r="F67" s="50"/>
      <c r="G67" s="51">
        <v>0.08</v>
      </c>
      <c r="H67" s="52">
        <f t="shared" si="0"/>
        <v>4.0333333333333332</v>
      </c>
      <c r="I67" s="53">
        <f>G67*(H67-F67)/12*C67</f>
        <v>3.3073333333333332</v>
      </c>
    </row>
    <row r="68" spans="2:11" x14ac:dyDescent="0.25">
      <c r="B68" s="47" t="s">
        <v>1983</v>
      </c>
      <c r="C68" s="94">
        <v>400</v>
      </c>
      <c r="D68" s="49">
        <v>44957</v>
      </c>
      <c r="E68" s="48"/>
      <c r="F68" s="50"/>
      <c r="G68" s="51">
        <v>7.0000000000000007E-2</v>
      </c>
      <c r="H68" s="52">
        <f t="shared" si="0"/>
        <v>3.0333333333333332</v>
      </c>
      <c r="I68" s="53">
        <f t="shared" ref="I68:I72" si="1">G68*(H68-F68)/12*C68</f>
        <v>7.0777777777777784</v>
      </c>
    </row>
    <row r="69" spans="2:11" x14ac:dyDescent="0.25">
      <c r="B69" s="47" t="s">
        <v>1983</v>
      </c>
      <c r="C69" s="94">
        <v>450</v>
      </c>
      <c r="D69" s="49">
        <v>45016</v>
      </c>
      <c r="E69" s="48"/>
      <c r="F69" s="50"/>
      <c r="G69" s="51">
        <v>7.0000000000000007E-2</v>
      </c>
      <c r="H69" s="52">
        <f t="shared" si="0"/>
        <v>1.0333333333333332</v>
      </c>
      <c r="I69" s="53">
        <f t="shared" si="1"/>
        <v>2.7124999999999999</v>
      </c>
    </row>
    <row r="70" spans="2:11" x14ac:dyDescent="0.25">
      <c r="B70" s="47"/>
      <c r="C70" s="94"/>
      <c r="D70" s="49"/>
      <c r="E70" s="48"/>
      <c r="F70" s="50"/>
      <c r="G70" s="51"/>
      <c r="H70" s="52">
        <f t="shared" si="0"/>
        <v>1480.0333333333333</v>
      </c>
      <c r="I70" s="53">
        <f t="shared" si="1"/>
        <v>0</v>
      </c>
    </row>
    <row r="71" spans="2:11" x14ac:dyDescent="0.25">
      <c r="B71" s="47"/>
      <c r="C71" s="94"/>
      <c r="D71" s="49"/>
      <c r="E71" s="48"/>
      <c r="F71" s="50"/>
      <c r="G71" s="51"/>
      <c r="H71" s="52">
        <f t="shared" si="0"/>
        <v>1480.0333333333333</v>
      </c>
      <c r="I71" s="53">
        <f t="shared" si="1"/>
        <v>0</v>
      </c>
    </row>
    <row r="72" spans="2:11" ht="15.75" thickBot="1" x14ac:dyDescent="0.3">
      <c r="B72" s="54"/>
      <c r="C72" s="55"/>
      <c r="D72" s="95"/>
      <c r="E72" s="55"/>
      <c r="F72" s="56"/>
      <c r="G72" s="57"/>
      <c r="H72" s="58">
        <f t="shared" si="0"/>
        <v>1480.0333333333333</v>
      </c>
      <c r="I72" s="59">
        <f t="shared" si="1"/>
        <v>0</v>
      </c>
    </row>
    <row r="73" spans="2:11" x14ac:dyDescent="0.25">
      <c r="H73" t="s">
        <v>267</v>
      </c>
      <c r="I73" s="11">
        <f>SUM(I66:I72)</f>
        <v>16.620944444444444</v>
      </c>
      <c r="K73" s="1"/>
    </row>
    <row r="74" spans="2:11" x14ac:dyDescent="0.25">
      <c r="C74" s="94">
        <f>SUM(C66:C73)</f>
        <v>1078</v>
      </c>
      <c r="H74" t="s">
        <v>198</v>
      </c>
      <c r="I74" s="14">
        <v>37</v>
      </c>
    </row>
    <row r="75" spans="2:11" x14ac:dyDescent="0.25">
      <c r="H75" t="s">
        <v>209</v>
      </c>
      <c r="I75" s="14"/>
    </row>
    <row r="76" spans="2:11" x14ac:dyDescent="0.25">
      <c r="I76" s="11">
        <f>SUM(I74:I75)</f>
        <v>37</v>
      </c>
    </row>
    <row r="77" spans="2:11" x14ac:dyDescent="0.25">
      <c r="H77" t="s">
        <v>190</v>
      </c>
      <c r="I77" s="11">
        <f>IF(I73&lt;I76,I73,I76)</f>
        <v>16.620944444444444</v>
      </c>
    </row>
    <row r="78" spans="2:11" ht="15.75" thickBot="1" x14ac:dyDescent="0.3"/>
    <row r="79" spans="2:11" x14ac:dyDescent="0.25">
      <c r="B79" s="73" t="s">
        <v>272</v>
      </c>
      <c r="C79" s="61"/>
      <c r="D79" s="62"/>
      <c r="H79" s="418" t="str">
        <f>IF(I73&lt;I76,("The potentially allowable borrowing costs are less than actual finance costs incurred, therefore can capitalise £"&amp;I73),"As potentially allowable borrowing costs are more than actual finance costs, the maximum that can be capitalised is £"&amp;"I75")</f>
        <v>The potentially allowable borrowing costs are less than actual finance costs incurred, therefore can capitalise £16.6209444444444</v>
      </c>
    </row>
    <row r="80" spans="2:11" x14ac:dyDescent="0.25">
      <c r="B80" s="63" t="s">
        <v>177</v>
      </c>
      <c r="C80" s="119"/>
      <c r="D80" s="66"/>
      <c r="F80" s="11"/>
    </row>
    <row r="81" spans="2:10" x14ac:dyDescent="0.25">
      <c r="B81" s="116" t="s">
        <v>172</v>
      </c>
      <c r="C81" s="101"/>
      <c r="D81" s="66"/>
      <c r="E81" s="32"/>
      <c r="F81" s="173"/>
    </row>
    <row r="82" spans="2:10" x14ac:dyDescent="0.25">
      <c r="B82" s="120" t="s">
        <v>178</v>
      </c>
      <c r="C82" s="104">
        <f>C80-C81</f>
        <v>0</v>
      </c>
      <c r="D82" s="66"/>
      <c r="H82" s="1" t="s">
        <v>520</v>
      </c>
      <c r="I82" s="12">
        <f>I77</f>
        <v>16.620944444444444</v>
      </c>
    </row>
    <row r="83" spans="2:10" x14ac:dyDescent="0.25">
      <c r="B83" s="116"/>
      <c r="C83" s="64"/>
      <c r="D83" s="66"/>
      <c r="H83" s="1" t="s">
        <v>1740</v>
      </c>
      <c r="J83" s="713">
        <f>I77</f>
        <v>16.620944444444444</v>
      </c>
    </row>
    <row r="84" spans="2:10" x14ac:dyDescent="0.25">
      <c r="B84" s="121" t="s">
        <v>150</v>
      </c>
      <c r="C84" s="68"/>
      <c r="D84" s="66"/>
    </row>
    <row r="85" spans="2:10" ht="15.75" thickBot="1" x14ac:dyDescent="0.3">
      <c r="B85" s="70" t="s">
        <v>151</v>
      </c>
      <c r="C85" s="122">
        <f>C84-C82</f>
        <v>0</v>
      </c>
      <c r="D85" s="80"/>
    </row>
    <row r="86" spans="2:10" ht="15.75" thickBot="1" x14ac:dyDescent="0.3"/>
    <row r="87" spans="2:10" x14ac:dyDescent="0.25">
      <c r="B87" s="60"/>
      <c r="C87" s="82" t="s">
        <v>161</v>
      </c>
      <c r="D87" s="118" t="s">
        <v>153</v>
      </c>
    </row>
    <row r="88" spans="2:10" x14ac:dyDescent="0.25">
      <c r="B88" s="116" t="s">
        <v>265</v>
      </c>
      <c r="C88" s="104">
        <f>C81</f>
        <v>0</v>
      </c>
      <c r="D88" s="66"/>
    </row>
    <row r="89" spans="2:10" x14ac:dyDescent="0.25">
      <c r="B89" s="63" t="s">
        <v>273</v>
      </c>
      <c r="C89" s="17">
        <f>C84</f>
        <v>0</v>
      </c>
      <c r="D89" s="66"/>
    </row>
    <row r="90" spans="2:10" x14ac:dyDescent="0.25">
      <c r="B90" s="63" t="s">
        <v>274</v>
      </c>
      <c r="C90" s="64"/>
      <c r="D90" s="117">
        <f>C80</f>
        <v>0</v>
      </c>
    </row>
    <row r="91" spans="2:10" ht="15.75" thickBot="1" x14ac:dyDescent="0.3">
      <c r="B91" s="70" t="str">
        <f>IF(C85&gt;0,"CR SPL - gain on sale","DR SPL  - Loss on sale")</f>
        <v>DR SPL  - Loss on sale</v>
      </c>
      <c r="C91" s="105">
        <f>IF(C85&lt;0,C85,0)</f>
        <v>0</v>
      </c>
      <c r="D91" s="108">
        <f>IF(C85&gt;0,C85,0)</f>
        <v>0</v>
      </c>
    </row>
    <row r="96" spans="2:10" x14ac:dyDescent="0.25">
      <c r="B96" s="1" t="s">
        <v>1402</v>
      </c>
    </row>
    <row r="97" spans="2:2" x14ac:dyDescent="0.25">
      <c r="B97" s="418" t="s">
        <v>1403</v>
      </c>
    </row>
    <row r="99" spans="2:2" x14ac:dyDescent="0.25">
      <c r="B99" s="418" t="s">
        <v>1404</v>
      </c>
    </row>
    <row r="100" spans="2:2" x14ac:dyDescent="0.25">
      <c r="B100" s="418" t="s">
        <v>1405</v>
      </c>
    </row>
    <row r="101" spans="2:2" x14ac:dyDescent="0.25">
      <c r="B101" s="418"/>
    </row>
    <row r="102" spans="2:2" x14ac:dyDescent="0.25">
      <c r="B102" s="418" t="s">
        <v>1406</v>
      </c>
    </row>
    <row r="103" spans="2:2" x14ac:dyDescent="0.25">
      <c r="B103" s="418"/>
    </row>
  </sheetData>
  <mergeCells count="5">
    <mergeCell ref="J33:M35"/>
    <mergeCell ref="B2:F12"/>
    <mergeCell ref="B16:D17"/>
    <mergeCell ref="F35:H37"/>
    <mergeCell ref="B20:D22"/>
  </mergeCells>
  <hyperlinks>
    <hyperlink ref="A1" location="Main!A1" display="Main" xr:uid="{7B99C38A-876A-4E68-93AF-8CEC7B86B0AE}"/>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1F24227-D74E-4A15-9E0C-94433ECA724E}">
          <x14:formula1>
            <xm:f>Inputs!$B$8:$B$9</xm:f>
          </x14:formula1>
          <xm:sqref>G16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A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1:6" ht="15.75" thickBot="1" x14ac:dyDescent="0.3">
      <c r="A1" s="161" t="s">
        <v>1984</v>
      </c>
    </row>
    <row r="2" spans="1:6" x14ac:dyDescent="0.25">
      <c r="B2" s="111" t="s">
        <v>521</v>
      </c>
      <c r="C2" s="112"/>
      <c r="D2" s="113"/>
    </row>
    <row r="3" spans="1:6" x14ac:dyDescent="0.25">
      <c r="B3" s="63"/>
      <c r="C3" s="64"/>
      <c r="D3" s="66"/>
    </row>
    <row r="4" spans="1:6" x14ac:dyDescent="0.25">
      <c r="B4" s="63" t="s">
        <v>525</v>
      </c>
      <c r="C4" s="68"/>
      <c r="D4" s="66"/>
    </row>
    <row r="5" spans="1:6" x14ac:dyDescent="0.25">
      <c r="B5" s="63" t="s">
        <v>526</v>
      </c>
      <c r="C5" s="68"/>
      <c r="D5" s="66"/>
    </row>
    <row r="6" spans="1:6" x14ac:dyDescent="0.25">
      <c r="B6" s="63" t="s">
        <v>522</v>
      </c>
      <c r="C6" s="146">
        <f>C4-C5</f>
        <v>0</v>
      </c>
      <c r="D6" s="66"/>
    </row>
    <row r="7" spans="1:6" x14ac:dyDescent="0.25">
      <c r="B7" s="63" t="s">
        <v>523</v>
      </c>
      <c r="C7" s="94"/>
      <c r="D7" s="66"/>
    </row>
    <row r="8" spans="1:6" ht="15.75" thickBot="1" x14ac:dyDescent="0.3">
      <c r="B8" s="151" t="s">
        <v>151</v>
      </c>
      <c r="C8" s="206">
        <f>C7-C6</f>
        <v>0</v>
      </c>
      <c r="D8" s="80"/>
    </row>
    <row r="10" spans="1:6" x14ac:dyDescent="0.25">
      <c r="B10" t="s">
        <v>527</v>
      </c>
      <c r="C10" s="32">
        <f>D12-C11</f>
        <v>0</v>
      </c>
      <c r="F10" s="418" t="s">
        <v>919</v>
      </c>
    </row>
    <row r="11" spans="1:6" x14ac:dyDescent="0.25">
      <c r="B11" t="s">
        <v>528</v>
      </c>
      <c r="C11" s="11">
        <f>C5</f>
        <v>0</v>
      </c>
      <c r="D11" s="32"/>
    </row>
    <row r="12" spans="1:6" x14ac:dyDescent="0.25">
      <c r="B12" t="s">
        <v>529</v>
      </c>
      <c r="D12" s="32">
        <f>C8</f>
        <v>0</v>
      </c>
      <c r="F12" s="418" t="s">
        <v>1515</v>
      </c>
    </row>
    <row r="13" spans="1:6" x14ac:dyDescent="0.25">
      <c r="D13" s="32"/>
    </row>
    <row r="14" spans="1:6" x14ac:dyDescent="0.25">
      <c r="B14" t="s">
        <v>530</v>
      </c>
      <c r="C14" s="32">
        <f>C7</f>
        <v>0</v>
      </c>
      <c r="D14" s="32"/>
    </row>
    <row r="15" spans="1:6" x14ac:dyDescent="0.25">
      <c r="B15" t="s">
        <v>532</v>
      </c>
      <c r="D15" s="32">
        <f>C7</f>
        <v>0</v>
      </c>
    </row>
    <row r="16" spans="1:6" ht="15.75" thickBot="1" x14ac:dyDescent="0.3"/>
    <row r="17" spans="2:7" x14ac:dyDescent="0.25">
      <c r="B17" s="111" t="s">
        <v>524</v>
      </c>
      <c r="C17" s="112"/>
      <c r="D17" s="113"/>
      <c r="F17" s="418" t="s">
        <v>1516</v>
      </c>
    </row>
    <row r="18" spans="2:7" x14ac:dyDescent="0.25">
      <c r="B18" s="63"/>
      <c r="C18" s="64"/>
      <c r="D18" s="66"/>
      <c r="F18" s="418" t="s">
        <v>1517</v>
      </c>
    </row>
    <row r="19" spans="2:7" x14ac:dyDescent="0.25">
      <c r="B19" s="63" t="s">
        <v>271</v>
      </c>
      <c r="C19" s="94">
        <f>C14</f>
        <v>0</v>
      </c>
      <c r="D19" s="66"/>
      <c r="G19" s="15"/>
    </row>
    <row r="20" spans="2:7" x14ac:dyDescent="0.25">
      <c r="B20" s="63"/>
      <c r="C20" s="64"/>
      <c r="D20" s="66"/>
      <c r="G20" s="15"/>
    </row>
    <row r="21" spans="2:7" x14ac:dyDescent="0.25">
      <c r="B21" s="63" t="s">
        <v>181</v>
      </c>
      <c r="C21" s="94"/>
      <c r="D21" s="66"/>
      <c r="G21" s="15"/>
    </row>
    <row r="22" spans="2:7" ht="15.75" thickBot="1" x14ac:dyDescent="0.3">
      <c r="B22" s="70" t="s">
        <v>182</v>
      </c>
      <c r="C22" s="33">
        <f>C21-C19</f>
        <v>0</v>
      </c>
      <c r="D22" s="80"/>
      <c r="G22" s="15"/>
    </row>
    <row r="23" spans="2:7" x14ac:dyDescent="0.25">
      <c r="G23" s="15"/>
    </row>
    <row r="24" spans="2:7" x14ac:dyDescent="0.25">
      <c r="G24" s="15"/>
    </row>
    <row r="25" spans="2:7" x14ac:dyDescent="0.25">
      <c r="B25" t="s">
        <v>155</v>
      </c>
      <c r="G25" s="15"/>
    </row>
    <row r="26" spans="2:7" x14ac:dyDescent="0.25">
      <c r="B26" s="1" t="s">
        <v>179</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519</v>
      </c>
      <c r="F31" s="418" t="s">
        <v>918</v>
      </c>
    </row>
    <row r="32" spans="2:7" x14ac:dyDescent="0.25">
      <c r="B32" t="s">
        <v>520</v>
      </c>
      <c r="C32" s="12">
        <f>C19+C22</f>
        <v>0</v>
      </c>
      <c r="F32" s="418" t="s">
        <v>920</v>
      </c>
    </row>
    <row r="33" spans="2:4" x14ac:dyDescent="0.25">
      <c r="B33" t="s">
        <v>531</v>
      </c>
      <c r="D33" s="12">
        <f>C19+C22</f>
        <v>0</v>
      </c>
    </row>
    <row r="37" spans="2:4" x14ac:dyDescent="0.25">
      <c r="B37" s="41"/>
    </row>
    <row r="38" spans="2:4" x14ac:dyDescent="0.25">
      <c r="B38" s="41"/>
    </row>
    <row r="39" spans="2:4" x14ac:dyDescent="0.25">
      <c r="B39" s="159"/>
    </row>
    <row r="45" spans="2:4" x14ac:dyDescent="0.25">
      <c r="B45" s="1"/>
    </row>
    <row r="56" spans="3:3" x14ac:dyDescent="0.25">
      <c r="C56" s="12"/>
    </row>
    <row r="57" spans="3:3" x14ac:dyDescent="0.25">
      <c r="C57" s="12"/>
    </row>
  </sheetData>
  <hyperlinks>
    <hyperlink ref="A1" location="Main!A1" display="Main" xr:uid="{79BA4649-6625-4788-9CCA-E0BFD9713AA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A1:L79"/>
  <sheetViews>
    <sheetView zoomScale="76" zoomScaleNormal="80" workbookViewId="0"/>
  </sheetViews>
  <sheetFormatPr defaultRowHeight="15" x14ac:dyDescent="0.25"/>
  <cols>
    <col min="2" max="2" width="34.85546875" bestFit="1" customWidth="1"/>
    <col min="3" max="3" width="18.7109375" customWidth="1"/>
    <col min="4" max="4" width="20" customWidth="1"/>
    <col min="6" max="6" width="11.42578125" bestFit="1" customWidth="1"/>
  </cols>
  <sheetData>
    <row r="1" spans="1:10" ht="15.75" thickBot="1" x14ac:dyDescent="0.3">
      <c r="A1" s="161" t="s">
        <v>1984</v>
      </c>
    </row>
    <row r="2" spans="1:10" x14ac:dyDescent="0.25">
      <c r="B2" s="878" t="s">
        <v>400</v>
      </c>
      <c r="C2" s="879"/>
      <c r="D2" t="s">
        <v>289</v>
      </c>
    </row>
    <row r="3" spans="1:10" x14ac:dyDescent="0.25">
      <c r="B3" s="880"/>
      <c r="C3" s="881"/>
    </row>
    <row r="4" spans="1:10" x14ac:dyDescent="0.25">
      <c r="B4" s="880"/>
      <c r="C4" s="881"/>
    </row>
    <row r="5" spans="1:10" x14ac:dyDescent="0.25">
      <c r="B5" s="880"/>
      <c r="C5" s="881"/>
    </row>
    <row r="6" spans="1:10" x14ac:dyDescent="0.25">
      <c r="B6" s="880"/>
      <c r="C6" s="881"/>
    </row>
    <row r="7" spans="1:10" x14ac:dyDescent="0.25">
      <c r="B7" s="880"/>
      <c r="C7" s="881"/>
    </row>
    <row r="8" spans="1:10" ht="15.75" thickBot="1" x14ac:dyDescent="0.3">
      <c r="B8" s="882"/>
      <c r="C8" s="883"/>
    </row>
    <row r="9" spans="1:10" ht="15.75" thickBot="1" x14ac:dyDescent="0.3">
      <c r="J9" s="1" t="s">
        <v>1906</v>
      </c>
    </row>
    <row r="10" spans="1:10" ht="15.75" thickBot="1" x14ac:dyDescent="0.3">
      <c r="B10" s="126" t="s">
        <v>176</v>
      </c>
      <c r="C10" s="127"/>
      <c r="E10" t="s">
        <v>269</v>
      </c>
      <c r="F10" s="42"/>
    </row>
    <row r="11" spans="1:10" x14ac:dyDescent="0.25">
      <c r="B11" s="60"/>
      <c r="C11" s="62"/>
      <c r="E11" t="s">
        <v>270</v>
      </c>
      <c r="F11" s="42"/>
      <c r="H11" s="89"/>
    </row>
    <row r="12" spans="1:10" x14ac:dyDescent="0.25">
      <c r="B12" s="63" t="s">
        <v>169</v>
      </c>
      <c r="C12" s="124" t="s">
        <v>171</v>
      </c>
      <c r="E12" t="s">
        <v>170</v>
      </c>
      <c r="F12" s="52">
        <f>ROUNDDOWN(($F$11-$F$10)/30,0)</f>
        <v>0</v>
      </c>
    </row>
    <row r="13" spans="1:10" x14ac:dyDescent="0.25">
      <c r="B13" s="63" t="s">
        <v>168</v>
      </c>
      <c r="C13" s="125" t="e">
        <f>IF(C12="years",1/C14,1/(C14/12))</f>
        <v>#DIV/0!</v>
      </c>
    </row>
    <row r="14" spans="1:10" x14ac:dyDescent="0.25">
      <c r="B14" s="63" t="s">
        <v>187</v>
      </c>
      <c r="C14" s="98"/>
      <c r="J14" s="418" t="s">
        <v>1519</v>
      </c>
    </row>
    <row r="15" spans="1:10" x14ac:dyDescent="0.25">
      <c r="B15" s="63" t="s">
        <v>173</v>
      </c>
      <c r="C15" s="98"/>
    </row>
    <row r="16" spans="1:10" x14ac:dyDescent="0.25">
      <c r="B16" s="63" t="s">
        <v>174</v>
      </c>
      <c r="C16" s="179" t="e">
        <f>IF(C12="months",C13/12,C13)</f>
        <v>#DIV/0!</v>
      </c>
    </row>
    <row r="17" spans="2:5" x14ac:dyDescent="0.25">
      <c r="B17" s="63" t="s">
        <v>177</v>
      </c>
      <c r="C17" s="76">
        <v>0</v>
      </c>
    </row>
    <row r="18" spans="2:5" x14ac:dyDescent="0.25">
      <c r="B18" s="63" t="s">
        <v>149</v>
      </c>
      <c r="C18" s="76">
        <v>0</v>
      </c>
    </row>
    <row r="19" spans="2:5" x14ac:dyDescent="0.25">
      <c r="B19" s="63"/>
      <c r="C19" s="66"/>
    </row>
    <row r="20" spans="2:5" x14ac:dyDescent="0.25">
      <c r="B20" s="63" t="s">
        <v>178</v>
      </c>
      <c r="C20" s="69" t="e">
        <f>C17-(C17-C18)*(C16*C15)</f>
        <v>#DIV/0!</v>
      </c>
    </row>
    <row r="21" spans="2:5" x14ac:dyDescent="0.25">
      <c r="B21" s="63" t="s">
        <v>172</v>
      </c>
      <c r="C21" s="69" t="e">
        <f>C17-C20</f>
        <v>#DIV/0!</v>
      </c>
    </row>
    <row r="22" spans="2:5" ht="15.75" thickBot="1" x14ac:dyDescent="0.3">
      <c r="B22" s="70" t="s">
        <v>175</v>
      </c>
      <c r="C22" s="108" t="e">
        <f>(C17-C18)/C14</f>
        <v>#DIV/0!</v>
      </c>
    </row>
    <row r="24" spans="2:5" ht="15.75" thickBot="1" x14ac:dyDescent="0.3">
      <c r="B24" s="418" t="s">
        <v>1518</v>
      </c>
    </row>
    <row r="25" spans="2:5" ht="15.75" thickBot="1" x14ac:dyDescent="0.3">
      <c r="B25" s="126" t="s">
        <v>276</v>
      </c>
      <c r="C25" s="130"/>
      <c r="D25" s="127"/>
    </row>
    <row r="26" spans="2:5" x14ac:dyDescent="0.25">
      <c r="B26" s="63"/>
      <c r="C26" s="64"/>
      <c r="D26" s="66"/>
    </row>
    <row r="27" spans="2:5" x14ac:dyDescent="0.25">
      <c r="B27" s="63" t="s">
        <v>183</v>
      </c>
      <c r="C27" s="94"/>
      <c r="D27" s="66"/>
    </row>
    <row r="28" spans="2:5" x14ac:dyDescent="0.25">
      <c r="B28" s="63" t="s">
        <v>180</v>
      </c>
      <c r="C28" s="103" t="e">
        <f>-C21</f>
        <v>#DIV/0!</v>
      </c>
      <c r="D28" s="66"/>
    </row>
    <row r="29" spans="2:5" x14ac:dyDescent="0.25">
      <c r="B29" s="63" t="s">
        <v>178</v>
      </c>
      <c r="C29" s="104" t="e">
        <f>SUM(C27:C28)</f>
        <v>#DIV/0!</v>
      </c>
      <c r="D29" s="66"/>
      <c r="E29" s="418"/>
    </row>
    <row r="30" spans="2:5" x14ac:dyDescent="0.25">
      <c r="B30" s="63"/>
      <c r="C30" s="64"/>
      <c r="D30" s="66"/>
    </row>
    <row r="31" spans="2:5" x14ac:dyDescent="0.25">
      <c r="B31" s="63" t="s">
        <v>277</v>
      </c>
      <c r="C31" s="94"/>
      <c r="D31" s="66"/>
    </row>
    <row r="32" spans="2:5" ht="15.75" thickBot="1" x14ac:dyDescent="0.3">
      <c r="B32" s="70" t="s">
        <v>182</v>
      </c>
      <c r="C32" s="33" t="e">
        <f>C31-C29</f>
        <v>#DIV/0!</v>
      </c>
      <c r="D32" s="80"/>
    </row>
    <row r="33" spans="2:12" x14ac:dyDescent="0.25">
      <c r="B33" s="64"/>
      <c r="C33" s="17"/>
      <c r="D33" s="64"/>
    </row>
    <row r="34" spans="2:12" x14ac:dyDescent="0.25">
      <c r="B34" s="64"/>
      <c r="C34" s="17"/>
      <c r="D34" s="64"/>
    </row>
    <row r="35" spans="2:12" x14ac:dyDescent="0.25">
      <c r="B35" s="64"/>
      <c r="C35" s="17"/>
      <c r="D35" s="64"/>
    </row>
    <row r="36" spans="2:12" ht="15.75" thickBot="1" x14ac:dyDescent="0.3">
      <c r="B36" s="64"/>
      <c r="C36" s="17"/>
      <c r="D36" s="64"/>
    </row>
    <row r="37" spans="2:12" ht="15.75" thickBot="1" x14ac:dyDescent="0.3">
      <c r="B37" s="111" t="s">
        <v>25</v>
      </c>
      <c r="C37" s="112"/>
      <c r="D37" s="113"/>
    </row>
    <row r="38" spans="2:12" x14ac:dyDescent="0.25">
      <c r="B38" s="60"/>
      <c r="C38" s="106" t="s">
        <v>161</v>
      </c>
      <c r="D38" s="107" t="s">
        <v>153</v>
      </c>
    </row>
    <row r="39" spans="2:12" x14ac:dyDescent="0.25">
      <c r="B39" s="63"/>
      <c r="C39" s="99" t="s">
        <v>141</v>
      </c>
      <c r="D39" s="100" t="s">
        <v>141</v>
      </c>
    </row>
    <row r="40" spans="2:12" x14ac:dyDescent="0.25">
      <c r="B40" s="63" t="s">
        <v>278</v>
      </c>
      <c r="C40" s="83" t="e">
        <f>IF(C31&lt;C29,C31,C29)</f>
        <v>#DIV/0!</v>
      </c>
      <c r="D40" s="66"/>
    </row>
    <row r="41" spans="2:12" x14ac:dyDescent="0.25">
      <c r="B41" s="63" t="s">
        <v>265</v>
      </c>
      <c r="C41" s="83" t="e">
        <f>-C28</f>
        <v>#DIV/0!</v>
      </c>
      <c r="D41" s="66"/>
    </row>
    <row r="42" spans="2:12" x14ac:dyDescent="0.25">
      <c r="B42" s="63" t="str">
        <f>"CR "&amp;B27</f>
        <v>CR Cost - Buildings</v>
      </c>
      <c r="C42" s="83"/>
      <c r="D42" s="115">
        <f>C27</f>
        <v>0</v>
      </c>
      <c r="K42" t="s">
        <v>152</v>
      </c>
      <c r="L42" t="s">
        <v>397</v>
      </c>
    </row>
    <row r="43" spans="2:12" x14ac:dyDescent="0.25">
      <c r="B43" s="63" t="s">
        <v>282</v>
      </c>
      <c r="C43" s="83" t="e">
        <f>IF(C32&lt;0,-C32,0)</f>
        <v>#DIV/0!</v>
      </c>
      <c r="D43" s="69"/>
      <c r="K43" t="s">
        <v>153</v>
      </c>
      <c r="L43" t="s">
        <v>396</v>
      </c>
    </row>
    <row r="44" spans="2:12" ht="15.75" thickBot="1" x14ac:dyDescent="0.3">
      <c r="B44" s="70"/>
      <c r="C44" s="71"/>
      <c r="D44" s="108"/>
    </row>
    <row r="45" spans="2:12" x14ac:dyDescent="0.25">
      <c r="B45" s="64"/>
      <c r="C45" s="64"/>
      <c r="D45" s="17"/>
    </row>
    <row r="46" spans="2:12" x14ac:dyDescent="0.25">
      <c r="B46" s="642" t="s">
        <v>1520</v>
      </c>
      <c r="C46" s="64"/>
      <c r="D46" s="17"/>
    </row>
    <row r="47" spans="2:12" ht="15.75" thickBot="1" x14ac:dyDescent="0.3">
      <c r="B47" s="418" t="s">
        <v>1521</v>
      </c>
    </row>
    <row r="48" spans="2:12" ht="15.75" thickBot="1" x14ac:dyDescent="0.3">
      <c r="B48" s="126" t="s">
        <v>279</v>
      </c>
      <c r="C48" s="130"/>
      <c r="D48" s="127"/>
    </row>
    <row r="49" spans="2:6" x14ac:dyDescent="0.25">
      <c r="B49" s="60"/>
      <c r="C49" s="61"/>
      <c r="D49" s="62"/>
    </row>
    <row r="50" spans="2:6" x14ac:dyDescent="0.25">
      <c r="B50" s="63" t="s">
        <v>271</v>
      </c>
      <c r="C50" s="68"/>
      <c r="D50" s="66"/>
    </row>
    <row r="51" spans="2:6" x14ac:dyDescent="0.25">
      <c r="B51" s="63" t="s">
        <v>277</v>
      </c>
      <c r="C51" s="68"/>
      <c r="D51" s="66"/>
    </row>
    <row r="52" spans="2:6" x14ac:dyDescent="0.25">
      <c r="B52" s="63" t="s">
        <v>281</v>
      </c>
      <c r="C52" s="128">
        <f>C51-C50</f>
        <v>0</v>
      </c>
      <c r="D52" s="66"/>
      <c r="E52" s="418" t="s">
        <v>283</v>
      </c>
    </row>
    <row r="53" spans="2:6" x14ac:dyDescent="0.25">
      <c r="B53" s="63" t="s">
        <v>280</v>
      </c>
      <c r="C53" s="68"/>
      <c r="D53" s="66"/>
    </row>
    <row r="54" spans="2:6" x14ac:dyDescent="0.25">
      <c r="B54" s="63" t="s">
        <v>288</v>
      </c>
      <c r="C54" s="131" cm="1">
        <f t="array" ref="C54">_xlfn.IFS($C$52&lt;0,C52,AND($C$52&lt;$C$53,C52&gt;0),C52,AND($C$52&gt;$C$53,C52&gt;0),C53,C52=0,0)</f>
        <v>0</v>
      </c>
      <c r="D54" s="66"/>
      <c r="F54" s="649" t="s">
        <v>1834</v>
      </c>
    </row>
    <row r="55" spans="2:6" x14ac:dyDescent="0.25">
      <c r="B55" s="63"/>
      <c r="C55" s="83"/>
      <c r="D55" s="66"/>
    </row>
    <row r="56" spans="2:6" x14ac:dyDescent="0.25">
      <c r="B56" s="63"/>
      <c r="C56" s="133" t="s">
        <v>161</v>
      </c>
      <c r="D56" s="100" t="s">
        <v>153</v>
      </c>
    </row>
    <row r="57" spans="2:6" x14ac:dyDescent="0.25">
      <c r="B57" s="63"/>
      <c r="C57" s="133" t="s">
        <v>141</v>
      </c>
      <c r="D57" s="100" t="s">
        <v>141</v>
      </c>
    </row>
    <row r="58" spans="2:6" x14ac:dyDescent="0.25">
      <c r="B58" s="63" t="str">
        <f>IF(C54&gt;0,"DR NCA classified as held for sale","CR NCA classified as held for sale")</f>
        <v>CR NCA classified as held for sale</v>
      </c>
      <c r="C58" s="83">
        <f>IF(C54&lt;=0,0,C54)</f>
        <v>0</v>
      </c>
      <c r="D58" s="77">
        <f>IF(C54&lt;0,C54,0)</f>
        <v>0</v>
      </c>
    </row>
    <row r="59" spans="2:6" ht="15.75" thickBot="1" x14ac:dyDescent="0.3">
      <c r="B59" s="70" t="str">
        <f>IF(C54&gt;0,"CR SPL reversal of impairment loss","DR SPL Impairment loss")</f>
        <v>DR SPL Impairment loss</v>
      </c>
      <c r="C59" s="129">
        <f>IF(C54&lt;0,-C54,0)</f>
        <v>0</v>
      </c>
      <c r="D59" s="97">
        <f>IF(C54&lt;=0,0,C54)</f>
        <v>0</v>
      </c>
    </row>
    <row r="60" spans="2:6" x14ac:dyDescent="0.25">
      <c r="B60" s="64"/>
      <c r="C60" s="83"/>
      <c r="D60" s="83"/>
    </row>
    <row r="61" spans="2:6" ht="24.6" customHeight="1" thickBot="1" x14ac:dyDescent="0.3">
      <c r="B61" s="418" t="s">
        <v>1522</v>
      </c>
    </row>
    <row r="62" spans="2:6" ht="15.75" thickBot="1" x14ac:dyDescent="0.3">
      <c r="B62" s="126" t="s">
        <v>272</v>
      </c>
      <c r="C62" s="130"/>
      <c r="D62" s="127"/>
    </row>
    <row r="63" spans="2:6" x14ac:dyDescent="0.25">
      <c r="B63" s="60"/>
      <c r="C63" s="61"/>
      <c r="D63" s="62"/>
    </row>
    <row r="64" spans="2:6" x14ac:dyDescent="0.25">
      <c r="B64" s="63" t="s">
        <v>284</v>
      </c>
      <c r="C64" s="68"/>
      <c r="D64" s="66"/>
    </row>
    <row r="65" spans="2:4" x14ac:dyDescent="0.25">
      <c r="B65" s="63" t="s">
        <v>285</v>
      </c>
      <c r="C65" s="83">
        <f>C50+C54</f>
        <v>0</v>
      </c>
      <c r="D65" s="66"/>
    </row>
    <row r="66" spans="2:4" x14ac:dyDescent="0.25">
      <c r="B66" s="63" t="s">
        <v>286</v>
      </c>
      <c r="C66" s="17">
        <f>C64-C65</f>
        <v>0</v>
      </c>
      <c r="D66" s="66"/>
    </row>
    <row r="67" spans="2:4" x14ac:dyDescent="0.25">
      <c r="B67" s="63"/>
      <c r="C67" s="17"/>
      <c r="D67" s="66"/>
    </row>
    <row r="68" spans="2:4" x14ac:dyDescent="0.25">
      <c r="B68" s="63"/>
      <c r="C68" s="133" t="s">
        <v>161</v>
      </c>
      <c r="D68" s="100" t="s">
        <v>153</v>
      </c>
    </row>
    <row r="69" spans="2:4" x14ac:dyDescent="0.25">
      <c r="B69" s="63"/>
      <c r="C69" s="133" t="s">
        <v>141</v>
      </c>
      <c r="D69" s="100" t="s">
        <v>141</v>
      </c>
    </row>
    <row r="70" spans="2:4" x14ac:dyDescent="0.25">
      <c r="B70" s="63" t="s">
        <v>273</v>
      </c>
      <c r="C70" s="17">
        <f>C64</f>
        <v>0</v>
      </c>
      <c r="D70" s="66"/>
    </row>
    <row r="71" spans="2:4" x14ac:dyDescent="0.25">
      <c r="B71" s="63" t="s">
        <v>287</v>
      </c>
      <c r="C71" s="64"/>
      <c r="D71" s="69">
        <f>C65</f>
        <v>0</v>
      </c>
    </row>
    <row r="72" spans="2:4" ht="15.75" thickBot="1" x14ac:dyDescent="0.3">
      <c r="B72" s="70" t="str">
        <f>IF(C66&gt;0,"CR SPL gain on sale","DR loss on sale")</f>
        <v>DR loss on sale</v>
      </c>
      <c r="C72" s="129">
        <f>IF(B66&lt;0,B66,0)</f>
        <v>0</v>
      </c>
      <c r="D72" s="97">
        <f>IF(C66&gt;0,C66,0)</f>
        <v>0</v>
      </c>
    </row>
    <row r="75" spans="2:4" x14ac:dyDescent="0.25">
      <c r="B75" t="s">
        <v>317</v>
      </c>
    </row>
    <row r="76" spans="2:4" x14ac:dyDescent="0.25">
      <c r="B76" t="s">
        <v>318</v>
      </c>
    </row>
    <row r="78" spans="2:4" x14ac:dyDescent="0.25">
      <c r="B78" t="s">
        <v>316</v>
      </c>
    </row>
    <row r="79" spans="2:4" x14ac:dyDescent="0.25">
      <c r="B79" t="s">
        <v>315</v>
      </c>
    </row>
  </sheetData>
  <mergeCells count="1">
    <mergeCell ref="B2:C8"/>
  </mergeCells>
  <hyperlinks>
    <hyperlink ref="A1" location="Main!A1" display="Main" xr:uid="{0518076E-D716-4655-811D-2EFC786C1B0E}"/>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P66"/>
  <sheetViews>
    <sheetView zoomScale="70" zoomScaleNormal="70" workbookViewId="0"/>
  </sheetViews>
  <sheetFormatPr defaultRowHeight="15" x14ac:dyDescent="0.25"/>
  <cols>
    <col min="2" max="2" width="45.85546875" customWidth="1"/>
    <col min="3" max="3" width="17.7109375" customWidth="1"/>
    <col min="4" max="5" width="16.140625" customWidth="1"/>
    <col min="6" max="6" width="12.5703125" customWidth="1"/>
    <col min="7" max="7" width="12.42578125" hidden="1" customWidth="1"/>
    <col min="8" max="8" width="12.85546875" hidden="1" customWidth="1"/>
    <col min="16" max="16" width="20.7109375" customWidth="1"/>
  </cols>
  <sheetData>
    <row r="1" spans="1:16" ht="15.75" thickBot="1" x14ac:dyDescent="0.3">
      <c r="A1" s="161" t="s">
        <v>1984</v>
      </c>
    </row>
    <row r="2" spans="1:16" ht="15.75" x14ac:dyDescent="0.25">
      <c r="B2" s="567"/>
      <c r="C2" s="568"/>
      <c r="D2" s="568"/>
      <c r="E2" s="568"/>
      <c r="F2" s="569"/>
      <c r="G2" s="390"/>
      <c r="H2" s="396"/>
    </row>
    <row r="3" spans="1:16" ht="47.1" customHeight="1" thickBot="1" x14ac:dyDescent="0.3">
      <c r="B3" s="570" t="s">
        <v>13</v>
      </c>
      <c r="C3" s="225"/>
      <c r="D3" s="225"/>
      <c r="E3" s="225"/>
      <c r="F3" s="571"/>
      <c r="G3" s="856">
        <v>1</v>
      </c>
      <c r="H3" s="856"/>
    </row>
    <row r="4" spans="1:16" ht="29.45" customHeight="1" thickBot="1" x14ac:dyDescent="0.3">
      <c r="B4" s="572" t="s">
        <v>699</v>
      </c>
      <c r="C4" s="675" t="s">
        <v>20</v>
      </c>
      <c r="D4" s="675" t="s">
        <v>1160</v>
      </c>
      <c r="E4" s="675" t="s">
        <v>1710</v>
      </c>
      <c r="F4" s="700" t="s">
        <v>1161</v>
      </c>
      <c r="G4" s="291" t="s">
        <v>700</v>
      </c>
      <c r="H4" s="281" t="s">
        <v>701</v>
      </c>
      <c r="L4" s="73" t="s">
        <v>1162</v>
      </c>
      <c r="M4" s="82"/>
      <c r="N4" s="82"/>
      <c r="O4" s="82"/>
      <c r="P4" s="118"/>
    </row>
    <row r="5" spans="1:16" ht="15.75" x14ac:dyDescent="0.25">
      <c r="B5" s="670"/>
      <c r="C5" s="676" t="s">
        <v>10</v>
      </c>
      <c r="D5" s="568" t="s">
        <v>10</v>
      </c>
      <c r="E5" s="677" t="s">
        <v>10</v>
      </c>
      <c r="F5" s="701" t="s">
        <v>10</v>
      </c>
      <c r="G5" s="291" t="s">
        <v>10</v>
      </c>
      <c r="H5" s="281" t="s">
        <v>10</v>
      </c>
      <c r="L5" s="63" t="s">
        <v>1163</v>
      </c>
      <c r="M5" s="64"/>
      <c r="N5" s="64"/>
      <c r="O5" s="64"/>
      <c r="P5" s="76"/>
    </row>
    <row r="6" spans="1:16" ht="24.95" customHeight="1" x14ac:dyDescent="0.25">
      <c r="B6" s="671" t="s">
        <v>58</v>
      </c>
      <c r="C6" s="738"/>
      <c r="D6" s="739"/>
      <c r="E6" s="678">
        <f>C6-D6</f>
        <v>0</v>
      </c>
      <c r="F6" s="702">
        <f>C6-D6</f>
        <v>0</v>
      </c>
      <c r="G6" s="293"/>
      <c r="H6" s="323"/>
      <c r="L6" s="63"/>
      <c r="M6" s="64"/>
      <c r="N6" s="64"/>
      <c r="O6" s="64"/>
      <c r="P6" s="77"/>
    </row>
    <row r="7" spans="1:16" ht="15.75" x14ac:dyDescent="0.25">
      <c r="B7" s="671"/>
      <c r="C7" s="679"/>
      <c r="D7" s="328"/>
      <c r="E7" s="680"/>
      <c r="F7" s="703"/>
      <c r="G7" s="293"/>
      <c r="H7" s="323"/>
      <c r="L7" s="63" t="s">
        <v>1165</v>
      </c>
      <c r="M7" s="64"/>
      <c r="N7" s="64"/>
      <c r="O7" s="64"/>
      <c r="P7" s="76"/>
    </row>
    <row r="8" spans="1:16" ht="15.75" x14ac:dyDescent="0.25">
      <c r="B8" s="671"/>
      <c r="C8" s="679"/>
      <c r="D8" s="328"/>
      <c r="E8" s="680"/>
      <c r="F8" s="703"/>
      <c r="G8" s="293"/>
      <c r="H8" s="323"/>
      <c r="L8" s="63" t="s">
        <v>847</v>
      </c>
      <c r="M8" s="64"/>
      <c r="N8" s="64"/>
      <c r="O8" s="64"/>
      <c r="P8" s="76"/>
    </row>
    <row r="9" spans="1:16" ht="18.95" customHeight="1" x14ac:dyDescent="0.25">
      <c r="B9" s="670" t="s">
        <v>67</v>
      </c>
      <c r="C9" s="740"/>
      <c r="D9" s="741"/>
      <c r="E9" s="681">
        <f>C9-D9</f>
        <v>0</v>
      </c>
      <c r="F9" s="702">
        <f>C9-D9</f>
        <v>0</v>
      </c>
      <c r="G9" s="293"/>
      <c r="H9" s="323"/>
      <c r="L9" s="63" t="s">
        <v>1164</v>
      </c>
      <c r="M9" s="64"/>
      <c r="N9" s="64"/>
      <c r="O9" s="64"/>
      <c r="P9" s="77">
        <f>P7-P8</f>
        <v>0</v>
      </c>
    </row>
    <row r="10" spans="1:16" ht="15.75" x14ac:dyDescent="0.25">
      <c r="B10" s="670"/>
      <c r="C10" s="682"/>
      <c r="D10" s="282"/>
      <c r="E10" s="683"/>
      <c r="F10" s="704"/>
      <c r="G10" s="293"/>
      <c r="H10" s="323"/>
      <c r="L10" s="63"/>
      <c r="M10" s="64"/>
      <c r="N10" s="64"/>
      <c r="O10" s="64"/>
      <c r="P10" s="77"/>
    </row>
    <row r="11" spans="1:16" ht="16.5" thickBot="1" x14ac:dyDescent="0.3">
      <c r="B11" s="670"/>
      <c r="C11" s="679"/>
      <c r="D11" s="328"/>
      <c r="E11" s="680"/>
      <c r="F11" s="703"/>
      <c r="G11" s="293"/>
      <c r="H11" s="323"/>
      <c r="L11" s="70" t="s">
        <v>1166</v>
      </c>
      <c r="M11" s="71"/>
      <c r="N11" s="71"/>
      <c r="O11" s="71"/>
      <c r="P11" s="97">
        <f>P5+P9</f>
        <v>0</v>
      </c>
    </row>
    <row r="12" spans="1:16" ht="15.75" x14ac:dyDescent="0.25">
      <c r="B12" s="670" t="s">
        <v>702</v>
      </c>
      <c r="C12" s="684">
        <f>C6-C9</f>
        <v>0</v>
      </c>
      <c r="D12" s="288">
        <f>D6-D9</f>
        <v>0</v>
      </c>
      <c r="E12" s="685">
        <f>E6-E9</f>
        <v>0</v>
      </c>
      <c r="F12" s="705">
        <f>F6-F9</f>
        <v>0</v>
      </c>
      <c r="G12" s="292"/>
      <c r="H12" s="282"/>
    </row>
    <row r="13" spans="1:16" ht="15.75" x14ac:dyDescent="0.25">
      <c r="B13" s="670" t="s">
        <v>95</v>
      </c>
      <c r="C13" s="740"/>
      <c r="D13" s="741"/>
      <c r="E13" s="681">
        <f>C13-D13</f>
        <v>0</v>
      </c>
      <c r="F13" s="702">
        <f>SUM(C13:D13)</f>
        <v>0</v>
      </c>
      <c r="G13" s="293"/>
      <c r="H13" s="323"/>
    </row>
    <row r="14" spans="1:16" ht="15.75" x14ac:dyDescent="0.25">
      <c r="B14" s="670"/>
      <c r="C14" s="682"/>
      <c r="D14" s="282"/>
      <c r="E14" s="683"/>
      <c r="F14" s="704"/>
      <c r="G14" s="293"/>
      <c r="H14" s="323"/>
    </row>
    <row r="15" spans="1:16" ht="15.75" x14ac:dyDescent="0.25">
      <c r="B15" s="670"/>
      <c r="C15" s="682"/>
      <c r="D15" s="282"/>
      <c r="E15" s="683"/>
      <c r="F15" s="704"/>
      <c r="G15" s="293"/>
      <c r="H15" s="323"/>
      <c r="L15" t="s">
        <v>1711</v>
      </c>
    </row>
    <row r="16" spans="1:16" ht="15.75" x14ac:dyDescent="0.25">
      <c r="B16" s="670" t="s">
        <v>703</v>
      </c>
      <c r="C16" s="742"/>
      <c r="D16" s="743"/>
      <c r="E16" s="687">
        <f>C16-D16</f>
        <v>0</v>
      </c>
      <c r="F16" s="702">
        <f>C16-D16</f>
        <v>0</v>
      </c>
      <c r="G16" s="293"/>
      <c r="H16" s="323"/>
    </row>
    <row r="17" spans="2:12" ht="15.75" x14ac:dyDescent="0.25">
      <c r="B17" s="670"/>
      <c r="C17" s="682"/>
      <c r="D17" s="282"/>
      <c r="E17" s="683"/>
      <c r="F17" s="704"/>
      <c r="G17" s="293"/>
      <c r="H17" s="323"/>
      <c r="L17" s="418" t="s">
        <v>1918</v>
      </c>
    </row>
    <row r="18" spans="2:12" ht="15.75" x14ac:dyDescent="0.25">
      <c r="B18" s="670"/>
      <c r="C18" s="682"/>
      <c r="D18" s="282"/>
      <c r="E18" s="683"/>
      <c r="F18" s="704"/>
      <c r="G18" s="293"/>
      <c r="H18" s="323"/>
      <c r="L18" s="418" t="s">
        <v>1919</v>
      </c>
    </row>
    <row r="19" spans="2:12" ht="15.75" x14ac:dyDescent="0.25">
      <c r="B19" s="670" t="s">
        <v>704</v>
      </c>
      <c r="C19" s="742"/>
      <c r="D19" s="743"/>
      <c r="E19" s="687">
        <f>C19-D19</f>
        <v>0</v>
      </c>
      <c r="F19" s="702">
        <f>C19-D19</f>
        <v>0</v>
      </c>
      <c r="G19" s="293"/>
      <c r="H19" s="323"/>
      <c r="L19" s="418" t="s">
        <v>1920</v>
      </c>
    </row>
    <row r="20" spans="2:12" ht="15.75" x14ac:dyDescent="0.25">
      <c r="B20" s="670"/>
      <c r="C20" s="682"/>
      <c r="D20" s="282"/>
      <c r="E20" s="680"/>
      <c r="F20" s="704"/>
      <c r="G20" s="293"/>
      <c r="H20" s="323"/>
    </row>
    <row r="21" spans="2:12" ht="15.75" x14ac:dyDescent="0.25">
      <c r="B21" s="670" t="str">
        <f>IF(D21&gt;0,"Gain on Disposal","Loss on disposal")</f>
        <v>Loss on disposal</v>
      </c>
      <c r="C21" s="686"/>
      <c r="D21" s="669">
        <f>P9</f>
        <v>0</v>
      </c>
      <c r="E21" s="687"/>
      <c r="F21" s="704"/>
      <c r="G21" s="293"/>
      <c r="H21" s="323"/>
      <c r="L21" s="418" t="s">
        <v>1921</v>
      </c>
    </row>
    <row r="22" spans="2:12" ht="15.75" x14ac:dyDescent="0.25">
      <c r="B22" s="670"/>
      <c r="C22" s="682"/>
      <c r="D22" s="282"/>
      <c r="E22" s="688"/>
      <c r="F22" s="704"/>
      <c r="G22" s="293"/>
      <c r="H22" s="323"/>
      <c r="L22" s="418" t="s">
        <v>1922</v>
      </c>
    </row>
    <row r="23" spans="2:12" ht="15.75" x14ac:dyDescent="0.25">
      <c r="B23" s="670"/>
      <c r="C23" s="682"/>
      <c r="D23" s="282"/>
      <c r="E23" s="683"/>
      <c r="F23" s="704"/>
      <c r="G23" s="293"/>
      <c r="H23" s="323"/>
      <c r="L23" s="418" t="s">
        <v>1907</v>
      </c>
    </row>
    <row r="24" spans="2:12" ht="15.75" x14ac:dyDescent="0.25">
      <c r="B24" s="670" t="s">
        <v>705</v>
      </c>
      <c r="C24" s="738"/>
      <c r="D24" s="739"/>
      <c r="E24" s="678">
        <f>C24-D24</f>
        <v>0</v>
      </c>
      <c r="F24" s="702">
        <f>C24-D24</f>
        <v>0</v>
      </c>
      <c r="G24" s="293"/>
      <c r="H24" s="323"/>
      <c r="L24" s="418" t="s">
        <v>1908</v>
      </c>
    </row>
    <row r="25" spans="2:12" ht="15.75" x14ac:dyDescent="0.25">
      <c r="B25" s="670"/>
      <c r="C25" s="682"/>
      <c r="D25" s="282"/>
      <c r="E25" s="683"/>
      <c r="F25" s="704"/>
      <c r="G25" s="293"/>
      <c r="H25" s="323"/>
      <c r="L25" s="418"/>
    </row>
    <row r="26" spans="2:12" ht="15.75" x14ac:dyDescent="0.25">
      <c r="B26" s="670"/>
      <c r="C26" s="682"/>
      <c r="D26" s="282"/>
      <c r="E26" s="683"/>
      <c r="F26" s="704"/>
      <c r="G26" s="293"/>
      <c r="H26" s="323"/>
      <c r="L26" s="418" t="s">
        <v>1909</v>
      </c>
    </row>
    <row r="27" spans="2:12" ht="15.75" x14ac:dyDescent="0.25">
      <c r="B27" s="670" t="s">
        <v>613</v>
      </c>
      <c r="C27" s="742"/>
      <c r="D27" s="743"/>
      <c r="E27" s="687">
        <f>C27-D27</f>
        <v>0</v>
      </c>
      <c r="F27" s="702">
        <f>C27-D27</f>
        <v>0</v>
      </c>
      <c r="G27" s="293"/>
      <c r="H27" s="323"/>
      <c r="L27" s="418" t="s">
        <v>1910</v>
      </c>
    </row>
    <row r="28" spans="2:12" ht="15.75" x14ac:dyDescent="0.25">
      <c r="B28" s="670"/>
      <c r="C28" s="682"/>
      <c r="D28" s="282"/>
      <c r="E28" s="683"/>
      <c r="F28" s="704"/>
      <c r="G28" s="293"/>
      <c r="H28" s="323"/>
      <c r="L28" s="418" t="s">
        <v>1911</v>
      </c>
    </row>
    <row r="29" spans="2:12" ht="15.75" x14ac:dyDescent="0.25">
      <c r="B29" s="670"/>
      <c r="C29" s="682"/>
      <c r="D29" s="282"/>
      <c r="E29" s="683"/>
      <c r="F29" s="704"/>
      <c r="G29" s="293"/>
      <c r="H29" s="323"/>
      <c r="L29" s="418" t="s">
        <v>1912</v>
      </c>
    </row>
    <row r="30" spans="2:12" ht="15.75" x14ac:dyDescent="0.25">
      <c r="B30" s="670" t="s">
        <v>629</v>
      </c>
      <c r="C30" s="738"/>
      <c r="D30" s="739"/>
      <c r="E30" s="678">
        <f>C30-D30</f>
        <v>0</v>
      </c>
      <c r="F30" s="702">
        <f>C30-D30</f>
        <v>0</v>
      </c>
      <c r="G30" s="293"/>
      <c r="H30" s="323"/>
      <c r="L30" s="418" t="s">
        <v>1913</v>
      </c>
    </row>
    <row r="31" spans="2:12" ht="15.75" x14ac:dyDescent="0.25">
      <c r="B31" s="670"/>
      <c r="C31" s="682"/>
      <c r="D31" s="282"/>
      <c r="E31" s="683"/>
      <c r="F31" s="704"/>
      <c r="G31" s="293"/>
      <c r="H31" s="323"/>
      <c r="L31" s="418"/>
    </row>
    <row r="32" spans="2:12" ht="15.75" x14ac:dyDescent="0.25">
      <c r="B32" s="670"/>
      <c r="C32" s="689"/>
      <c r="D32" s="352"/>
      <c r="E32" s="690"/>
      <c r="F32" s="706"/>
      <c r="G32" s="293"/>
      <c r="H32" s="323"/>
      <c r="L32" s="418" t="s">
        <v>1914</v>
      </c>
    </row>
    <row r="33" spans="2:12" ht="39.950000000000003" customHeight="1" x14ac:dyDescent="0.25">
      <c r="B33" s="671" t="s">
        <v>706</v>
      </c>
      <c r="C33" s="691">
        <f>C12+C13-C16-C19-C24-C27+C30</f>
        <v>0</v>
      </c>
      <c r="D33" s="289">
        <f>D12+D13-D16-D19-D24-D27+D30+D21</f>
        <v>0</v>
      </c>
      <c r="E33" s="692">
        <f>E12+E13-E16-E19-E24-E27+E30+E21</f>
        <v>0</v>
      </c>
      <c r="F33" s="707">
        <f>F12+F13-F16-F19-F24-F27+F30</f>
        <v>0</v>
      </c>
      <c r="G33" s="292"/>
      <c r="H33" s="282"/>
    </row>
    <row r="34" spans="2:12" ht="15.75" x14ac:dyDescent="0.25">
      <c r="B34" s="670" t="s">
        <v>1</v>
      </c>
      <c r="C34" s="736"/>
      <c r="D34" s="737"/>
      <c r="E34" s="693">
        <f>C34-D34</f>
        <v>0</v>
      </c>
      <c r="F34" s="708">
        <f>C34-D34</f>
        <v>0</v>
      </c>
      <c r="G34" s="358"/>
      <c r="H34" s="324"/>
      <c r="L34" s="418" t="s">
        <v>1915</v>
      </c>
    </row>
    <row r="35" spans="2:12" ht="15.75" x14ac:dyDescent="0.25">
      <c r="B35" s="672"/>
      <c r="C35" s="694"/>
      <c r="D35" s="286"/>
      <c r="E35" s="688"/>
      <c r="F35" s="709"/>
      <c r="G35" s="358"/>
      <c r="H35" s="324"/>
      <c r="L35" s="418" t="s">
        <v>1916</v>
      </c>
    </row>
    <row r="36" spans="2:12" ht="15.75" x14ac:dyDescent="0.25">
      <c r="B36" s="672"/>
      <c r="C36" s="682"/>
      <c r="D36" s="282"/>
      <c r="E36" s="683"/>
      <c r="F36" s="704"/>
      <c r="G36" s="358"/>
      <c r="H36" s="324"/>
    </row>
    <row r="37" spans="2:12" ht="61.5" customHeight="1" x14ac:dyDescent="0.25">
      <c r="B37" s="673" t="s">
        <v>709</v>
      </c>
      <c r="C37" s="695">
        <f>C33-C34</f>
        <v>0</v>
      </c>
      <c r="D37" s="354">
        <f>D33-D34</f>
        <v>0</v>
      </c>
      <c r="E37" s="696">
        <f>E33-E34</f>
        <v>0</v>
      </c>
      <c r="F37" s="710">
        <f>F33-F34</f>
        <v>0</v>
      </c>
      <c r="G37" s="359"/>
      <c r="H37" s="325"/>
      <c r="L37" s="611" t="s">
        <v>1917</v>
      </c>
    </row>
    <row r="38" spans="2:12" ht="39" customHeight="1" x14ac:dyDescent="0.25">
      <c r="B38" s="670" t="s">
        <v>710</v>
      </c>
      <c r="C38" s="697"/>
      <c r="D38" s="354"/>
      <c r="E38" s="696"/>
      <c r="F38" s="696">
        <f>-D37</f>
        <v>0</v>
      </c>
      <c r="G38" s="563"/>
      <c r="H38" s="561"/>
      <c r="L38" s="418" t="s">
        <v>1923</v>
      </c>
    </row>
    <row r="39" spans="2:12" ht="45.95" customHeight="1" thickBot="1" x14ac:dyDescent="0.3">
      <c r="B39" s="674" t="s">
        <v>712</v>
      </c>
      <c r="C39" s="698">
        <f>C37-C38</f>
        <v>0</v>
      </c>
      <c r="D39" s="573">
        <f>D37-D38</f>
        <v>0</v>
      </c>
      <c r="E39" s="699">
        <f>E37-E38</f>
        <v>0</v>
      </c>
      <c r="F39" s="699">
        <f>F37-F38</f>
        <v>0</v>
      </c>
      <c r="G39" s="564"/>
      <c r="H39" s="562"/>
      <c r="L39" s="492" t="s">
        <v>1925</v>
      </c>
    </row>
    <row r="40" spans="2:12" x14ac:dyDescent="0.25">
      <c r="B40" s="565"/>
      <c r="C40" s="566"/>
      <c r="D40" s="566"/>
      <c r="E40" s="566"/>
      <c r="F40" s="562"/>
      <c r="G40" s="347"/>
      <c r="H40" s="327"/>
      <c r="L40" s="418" t="s">
        <v>1924</v>
      </c>
    </row>
    <row r="41" spans="2:12" ht="15.75" hidden="1" x14ac:dyDescent="0.25">
      <c r="B41" s="227" t="s">
        <v>3</v>
      </c>
      <c r="C41" s="256"/>
      <c r="D41" s="256"/>
      <c r="E41" s="256"/>
      <c r="F41" s="327"/>
      <c r="G41" s="347"/>
      <c r="H41" s="327"/>
    </row>
    <row r="42" spans="2:12" ht="91.5" hidden="1" customHeight="1" x14ac:dyDescent="0.25">
      <c r="B42" s="227" t="s">
        <v>4</v>
      </c>
      <c r="C42" s="256"/>
      <c r="D42" s="256"/>
      <c r="E42" s="256"/>
      <c r="F42" s="327"/>
      <c r="G42" s="347"/>
      <c r="H42" s="327"/>
    </row>
    <row r="43" spans="2:12" ht="63.95" hidden="1" customHeight="1" x14ac:dyDescent="0.25">
      <c r="B43" s="230" t="s">
        <v>713</v>
      </c>
      <c r="C43" s="242"/>
      <c r="D43" s="242"/>
      <c r="E43" s="242" t="e">
        <f>SUM(#REF!)</f>
        <v>#REF!</v>
      </c>
      <c r="F43" s="290">
        <f>SUM(C43:D43)</f>
        <v>0</v>
      </c>
      <c r="G43" s="345"/>
      <c r="H43" s="326"/>
    </row>
    <row r="44" spans="2:12" ht="76.5" hidden="1" customHeight="1" x14ac:dyDescent="0.25">
      <c r="B44" s="230" t="s">
        <v>715</v>
      </c>
      <c r="C44" s="242"/>
      <c r="D44" s="242"/>
      <c r="E44" s="242" t="e">
        <f>SUM(#REF!)</f>
        <v>#REF!</v>
      </c>
      <c r="F44" s="290">
        <f>SUM(C44:D44)</f>
        <v>0</v>
      </c>
      <c r="G44" s="345"/>
      <c r="H44" s="326"/>
    </row>
    <row r="45" spans="2:12" ht="106.5" hidden="1" customHeight="1" x14ac:dyDescent="0.25">
      <c r="B45" s="230" t="s">
        <v>716</v>
      </c>
      <c r="C45" s="242"/>
      <c r="D45" s="242"/>
      <c r="E45" s="242" t="e">
        <f>SUM(#REF!)</f>
        <v>#REF!</v>
      </c>
      <c r="F45" s="290">
        <f>SUM(C45:D45)</f>
        <v>0</v>
      </c>
      <c r="G45" s="345"/>
      <c r="H45" s="326"/>
    </row>
    <row r="46" spans="2:12" ht="30" hidden="1" x14ac:dyDescent="0.25">
      <c r="B46" s="230" t="s">
        <v>718</v>
      </c>
      <c r="C46" s="253"/>
      <c r="D46" s="253"/>
      <c r="E46" s="253" t="e">
        <f>SUM(#REF!)</f>
        <v>#REF!</v>
      </c>
      <c r="F46" s="467">
        <f>SUM(C46:D46)</f>
        <v>0</v>
      </c>
      <c r="G46" s="345"/>
      <c r="H46" s="326"/>
    </row>
    <row r="47" spans="2:12" hidden="1" x14ac:dyDescent="0.25">
      <c r="B47" s="230"/>
      <c r="C47" s="255">
        <f>C43+C44+C45-C46</f>
        <v>0</v>
      </c>
      <c r="D47" s="255">
        <f>D43+D44+D45-D46</f>
        <v>0</v>
      </c>
      <c r="E47" s="255" t="e">
        <f>E43+E44+E45-E46</f>
        <v>#REF!</v>
      </c>
      <c r="F47" s="468">
        <f>F43+F44+F45-F46</f>
        <v>0</v>
      </c>
      <c r="G47" s="347"/>
      <c r="H47" s="327"/>
    </row>
    <row r="48" spans="2:12" ht="31.5" hidden="1" x14ac:dyDescent="0.25">
      <c r="B48" s="227" t="s">
        <v>30</v>
      </c>
      <c r="C48" s="256"/>
      <c r="D48" s="256"/>
      <c r="E48" s="256"/>
      <c r="F48" s="327"/>
      <c r="G48" s="347"/>
      <c r="H48" s="327"/>
    </row>
    <row r="49" spans="2:8" ht="30" hidden="1" x14ac:dyDescent="0.25">
      <c r="B49" s="230" t="s">
        <v>32</v>
      </c>
      <c r="C49" s="242"/>
      <c r="D49" s="242"/>
      <c r="E49" s="242" t="e">
        <f>SUM(#REF!)</f>
        <v>#REF!</v>
      </c>
      <c r="F49" s="290">
        <f>SUM(C49:D49)</f>
        <v>0</v>
      </c>
      <c r="G49" s="345"/>
      <c r="H49" s="326"/>
    </row>
    <row r="50" spans="2:8" ht="30" hidden="1" x14ac:dyDescent="0.25">
      <c r="B50" s="230" t="s">
        <v>719</v>
      </c>
      <c r="C50" s="253"/>
      <c r="D50" s="253"/>
      <c r="E50" s="253" t="e">
        <f>SUM(#REF!)</f>
        <v>#REF!</v>
      </c>
      <c r="F50" s="355">
        <f>SUM(C50:D50)</f>
        <v>0</v>
      </c>
      <c r="G50" s="345"/>
      <c r="H50" s="326"/>
    </row>
    <row r="51" spans="2:8" hidden="1" x14ac:dyDescent="0.25">
      <c r="B51" s="230"/>
      <c r="C51" s="254">
        <f>C49-C50</f>
        <v>0</v>
      </c>
      <c r="D51" s="254">
        <f>D49-D50</f>
        <v>0</v>
      </c>
      <c r="E51" s="254" t="e">
        <f>E49-E50</f>
        <v>#REF!</v>
      </c>
      <c r="F51" s="355">
        <f>F49-F50</f>
        <v>0</v>
      </c>
      <c r="G51" s="347"/>
      <c r="H51" s="327"/>
    </row>
    <row r="52" spans="2:8" ht="31.5" hidden="1" x14ac:dyDescent="0.25">
      <c r="B52" s="227" t="s">
        <v>8</v>
      </c>
      <c r="C52" s="254">
        <f>SUM(C47,C51)</f>
        <v>0</v>
      </c>
      <c r="D52" s="254">
        <f>SUM(D47,D51)</f>
        <v>0</v>
      </c>
      <c r="E52" s="254" t="e">
        <f>SUM(E47,E51)</f>
        <v>#REF!</v>
      </c>
      <c r="F52" s="355">
        <f>SUM(F47,F51)</f>
        <v>0</v>
      </c>
      <c r="G52" s="347"/>
      <c r="H52" s="327"/>
    </row>
    <row r="53" spans="2:8" ht="32.25" hidden="1" thickBot="1" x14ac:dyDescent="0.3">
      <c r="B53" s="251" t="s">
        <v>9</v>
      </c>
      <c r="C53" s="258">
        <f>C39+C52</f>
        <v>0</v>
      </c>
      <c r="D53" s="258">
        <f>D39+D52</f>
        <v>0</v>
      </c>
      <c r="E53" s="258" t="e">
        <f>E39+E52</f>
        <v>#REF!</v>
      </c>
      <c r="F53" s="357">
        <f>F39+F52</f>
        <v>0</v>
      </c>
      <c r="G53" s="343"/>
      <c r="H53" s="325"/>
    </row>
    <row r="54" spans="2:8" hidden="1" x14ac:dyDescent="0.25">
      <c r="B54" s="230"/>
      <c r="C54" s="237"/>
      <c r="D54" s="237"/>
      <c r="E54" s="237"/>
      <c r="F54" s="286"/>
      <c r="G54" s="300"/>
      <c r="H54" s="282"/>
    </row>
    <row r="55" spans="2:8" hidden="1" x14ac:dyDescent="0.25">
      <c r="B55" s="230" t="s">
        <v>720</v>
      </c>
      <c r="C55" s="233"/>
      <c r="D55" s="233"/>
      <c r="E55" s="233"/>
      <c r="F55" s="282"/>
      <c r="G55" s="300"/>
      <c r="H55" s="282"/>
    </row>
    <row r="56" spans="2:8" hidden="1" x14ac:dyDescent="0.25">
      <c r="B56" s="259" t="s">
        <v>721</v>
      </c>
      <c r="C56" s="233"/>
      <c r="D56" s="233"/>
      <c r="E56" s="233"/>
      <c r="F56" s="282"/>
      <c r="G56" s="349"/>
      <c r="H56" s="328"/>
    </row>
    <row r="57" spans="2:8" hidden="1" x14ac:dyDescent="0.25">
      <c r="B57" s="260" t="s">
        <v>664</v>
      </c>
      <c r="C57" s="233"/>
      <c r="D57" s="233"/>
      <c r="E57" s="233"/>
      <c r="F57" s="282"/>
      <c r="G57" s="302"/>
      <c r="H57" s="323"/>
    </row>
    <row r="58" spans="2:8" hidden="1" x14ac:dyDescent="0.25">
      <c r="B58" s="230"/>
      <c r="C58" s="233"/>
      <c r="D58" s="233"/>
      <c r="E58" s="233"/>
      <c r="F58" s="282"/>
      <c r="G58" s="300"/>
      <c r="H58" s="282"/>
    </row>
    <row r="59" spans="2:8" hidden="1" x14ac:dyDescent="0.25">
      <c r="B59" s="230" t="s">
        <v>722</v>
      </c>
      <c r="C59" s="233"/>
      <c r="D59" s="233"/>
      <c r="E59" s="233"/>
      <c r="F59" s="282"/>
      <c r="G59" s="300"/>
      <c r="H59" s="282"/>
    </row>
    <row r="60" spans="2:8" hidden="1" x14ac:dyDescent="0.25">
      <c r="B60" s="260" t="s">
        <v>721</v>
      </c>
      <c r="C60" s="233"/>
      <c r="D60" s="233"/>
      <c r="E60" s="233"/>
      <c r="F60" s="282"/>
      <c r="G60" s="300"/>
      <c r="H60" s="282"/>
    </row>
    <row r="61" spans="2:8" hidden="1" x14ac:dyDescent="0.25">
      <c r="B61" s="260" t="s">
        <v>664</v>
      </c>
      <c r="C61" s="233"/>
      <c r="D61" s="233"/>
      <c r="E61" s="233"/>
      <c r="F61" s="282"/>
      <c r="G61" s="302"/>
      <c r="H61" s="323"/>
    </row>
    <row r="62" spans="2:8" hidden="1" x14ac:dyDescent="0.25">
      <c r="B62" s="230"/>
      <c r="C62" s="233"/>
      <c r="D62" s="233"/>
      <c r="E62" s="233"/>
      <c r="F62" s="282"/>
      <c r="G62" s="300"/>
      <c r="H62" s="282"/>
    </row>
    <row r="63" spans="2:8" hidden="1" x14ac:dyDescent="0.25">
      <c r="B63" s="230"/>
      <c r="C63" s="233"/>
      <c r="D63" s="233"/>
      <c r="E63" s="233"/>
      <c r="F63" s="282"/>
      <c r="G63" s="300"/>
      <c r="H63" s="282"/>
    </row>
    <row r="64" spans="2:8" hidden="1" x14ac:dyDescent="0.25">
      <c r="B64" s="230" t="s">
        <v>723</v>
      </c>
      <c r="C64" s="233"/>
      <c r="D64" s="233"/>
      <c r="E64" s="233"/>
      <c r="F64" s="282"/>
      <c r="G64" s="300"/>
      <c r="H64" s="282"/>
    </row>
    <row r="65" spans="2:8" hidden="1" x14ac:dyDescent="0.25">
      <c r="B65" s="260" t="s">
        <v>726</v>
      </c>
      <c r="C65" s="233"/>
      <c r="D65" s="233"/>
      <c r="E65" s="233"/>
      <c r="F65" s="282"/>
      <c r="G65" s="300"/>
      <c r="H65" s="282"/>
    </row>
    <row r="66" spans="2:8" hidden="1" x14ac:dyDescent="0.25">
      <c r="B66" s="260" t="s">
        <v>727</v>
      </c>
      <c r="C66" s="233"/>
      <c r="D66" s="233"/>
      <c r="E66" s="233"/>
      <c r="F66" s="282"/>
      <c r="G66" s="306"/>
      <c r="H66" s="352"/>
    </row>
  </sheetData>
  <mergeCells count="1">
    <mergeCell ref="G3:H3"/>
  </mergeCells>
  <hyperlinks>
    <hyperlink ref="A1" location="Main!A1" display="Main" xr:uid="{B6DED1B2-9C47-4067-9669-F87AB0DBB88E}"/>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A1:O112"/>
  <sheetViews>
    <sheetView topLeftCell="A16" zoomScale="115" zoomScaleNormal="115" workbookViewId="0">
      <selection activeCell="A39" sqref="A17:XFD39"/>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1:7" ht="15.75" thickBot="1" x14ac:dyDescent="0.3">
      <c r="A1" s="161" t="s">
        <v>1984</v>
      </c>
    </row>
    <row r="2" spans="1:7" x14ac:dyDescent="0.25">
      <c r="B2" s="73" t="s">
        <v>406</v>
      </c>
      <c r="C2" s="61"/>
      <c r="D2" s="61"/>
      <c r="E2" s="61"/>
      <c r="F2" s="62"/>
    </row>
    <row r="3" spans="1:7" x14ac:dyDescent="0.25">
      <c r="B3" s="176" t="s">
        <v>401</v>
      </c>
      <c r="C3" s="48" t="s">
        <v>147</v>
      </c>
      <c r="D3" s="64"/>
      <c r="E3" s="64"/>
      <c r="F3" s="66"/>
      <c r="G3" s="418" t="s">
        <v>1604</v>
      </c>
    </row>
    <row r="4" spans="1:7" ht="51" customHeight="1" x14ac:dyDescent="0.25">
      <c r="B4" s="176" t="s">
        <v>402</v>
      </c>
      <c r="C4" s="48" t="s">
        <v>146</v>
      </c>
      <c r="D4" s="64"/>
      <c r="E4" s="64"/>
      <c r="F4" s="66"/>
      <c r="G4" s="418"/>
    </row>
    <row r="5" spans="1:7" x14ac:dyDescent="0.25">
      <c r="B5" s="176" t="s">
        <v>403</v>
      </c>
      <c r="C5" s="48" t="s">
        <v>146</v>
      </c>
      <c r="D5" s="64"/>
      <c r="E5" s="64"/>
      <c r="F5" s="66"/>
      <c r="G5" s="418" t="s">
        <v>1605</v>
      </c>
    </row>
    <row r="6" spans="1:7" x14ac:dyDescent="0.25">
      <c r="B6" s="176" t="s">
        <v>1707</v>
      </c>
      <c r="C6" s="48" t="s">
        <v>146</v>
      </c>
      <c r="D6" s="64"/>
      <c r="E6" s="64"/>
      <c r="F6" s="66"/>
      <c r="G6" s="418" t="s">
        <v>1708</v>
      </c>
    </row>
    <row r="7" spans="1:7" ht="30" x14ac:dyDescent="0.25">
      <c r="B7" s="176" t="s">
        <v>405</v>
      </c>
      <c r="C7" s="48" t="s">
        <v>146</v>
      </c>
      <c r="D7" s="64"/>
      <c r="E7" s="64"/>
      <c r="F7" s="66"/>
    </row>
    <row r="8" spans="1:7" x14ac:dyDescent="0.25">
      <c r="B8" s="63"/>
      <c r="C8" s="64"/>
      <c r="D8" s="64"/>
      <c r="E8" s="64"/>
      <c r="F8" s="66"/>
    </row>
    <row r="9" spans="1:7" ht="15.75" thickBot="1" x14ac:dyDescent="0.3">
      <c r="B9" s="177" t="s">
        <v>404</v>
      </c>
      <c r="C9" s="178" t="str" cm="1">
        <f t="array" ref="C9">_xlfn.IFS(C3="Yes","Property, plant and equipment",C4="No","No asset exists",OR(C5="Yes",C7="Yes"),"Intangible asset",AND(C7="No",C5="No",C4="Yes",C3="No"),"Intangible asset is part of goodwill")</f>
        <v>Intangible asset</v>
      </c>
      <c r="D9" s="71"/>
      <c r="E9" s="71"/>
      <c r="F9" s="80"/>
    </row>
    <row r="12" spans="1:7" x14ac:dyDescent="0.25">
      <c r="B12" s="1" t="s">
        <v>407</v>
      </c>
    </row>
    <row r="17" spans="2:15" x14ac:dyDescent="0.25">
      <c r="B17" s="1" t="s">
        <v>408</v>
      </c>
      <c r="F17" s="492" t="s">
        <v>1429</v>
      </c>
      <c r="H17" s="418" t="s">
        <v>1941</v>
      </c>
    </row>
    <row r="18" spans="2:15" x14ac:dyDescent="0.25">
      <c r="B18" s="876" t="s">
        <v>1942</v>
      </c>
      <c r="C18" s="876"/>
      <c r="D18" s="876"/>
      <c r="F18" s="492"/>
      <c r="J18" s="418"/>
    </row>
    <row r="19" spans="2:15" x14ac:dyDescent="0.25">
      <c r="B19" s="876"/>
      <c r="C19" s="876"/>
      <c r="D19" s="876"/>
      <c r="F19" s="492"/>
      <c r="J19" s="418"/>
    </row>
    <row r="20" spans="2:15" x14ac:dyDescent="0.25">
      <c r="B20" s="876"/>
      <c r="C20" s="876"/>
      <c r="D20" s="876"/>
      <c r="F20" s="492"/>
      <c r="J20" s="418"/>
    </row>
    <row r="21" spans="2:15" x14ac:dyDescent="0.25">
      <c r="B21" s="876"/>
      <c r="C21" s="876"/>
      <c r="D21" s="876"/>
      <c r="F21" s="492"/>
      <c r="J21" s="418"/>
    </row>
    <row r="22" spans="2:15" x14ac:dyDescent="0.25">
      <c r="B22" s="876"/>
      <c r="C22" s="876"/>
      <c r="D22" s="876"/>
      <c r="F22" s="492"/>
      <c r="J22" s="418"/>
    </row>
    <row r="23" spans="2:15" x14ac:dyDescent="0.25">
      <c r="B23" s="876"/>
      <c r="C23" s="876"/>
      <c r="D23" s="876"/>
      <c r="F23" s="492"/>
      <c r="J23" s="418"/>
    </row>
    <row r="24" spans="2:15" x14ac:dyDescent="0.25">
      <c r="B24" s="876"/>
      <c r="C24" s="876"/>
      <c r="D24" s="876"/>
      <c r="F24" s="492"/>
      <c r="J24" s="418"/>
    </row>
    <row r="25" spans="2:15" x14ac:dyDescent="0.25">
      <c r="B25" s="876"/>
      <c r="C25" s="876"/>
      <c r="D25" s="876"/>
      <c r="F25" s="492"/>
      <c r="J25" s="418"/>
    </row>
    <row r="26" spans="2:15" x14ac:dyDescent="0.25">
      <c r="B26" s="876"/>
      <c r="C26" s="876"/>
      <c r="D26" s="876"/>
      <c r="F26" s="492"/>
      <c r="J26" s="418"/>
    </row>
    <row r="27" spans="2:15" x14ac:dyDescent="0.25">
      <c r="B27" s="876"/>
      <c r="C27" s="876"/>
      <c r="D27" s="876"/>
      <c r="F27" s="492"/>
    </row>
    <row r="28" spans="2:15" ht="61.5" customHeight="1" x14ac:dyDescent="0.25">
      <c r="B28" s="175" t="s">
        <v>409</v>
      </c>
      <c r="C28" s="37" t="s">
        <v>414</v>
      </c>
      <c r="D28" s="192"/>
      <c r="F28" s="418" t="s">
        <v>1427</v>
      </c>
      <c r="J28" s="748"/>
      <c r="K28" s="29"/>
      <c r="L28" s="29"/>
      <c r="M28" s="29"/>
      <c r="N28" s="29"/>
      <c r="O28" s="29"/>
    </row>
    <row r="29" spans="2:15" ht="57.95" customHeight="1" x14ac:dyDescent="0.25">
      <c r="B29" s="175" t="s">
        <v>410</v>
      </c>
      <c r="C29" s="37" t="s">
        <v>414</v>
      </c>
      <c r="D29" s="668"/>
      <c r="J29" s="29"/>
      <c r="K29" s="29"/>
      <c r="L29" s="29"/>
      <c r="M29" s="29"/>
      <c r="N29" s="29"/>
      <c r="O29" s="29"/>
    </row>
    <row r="30" spans="2:15" ht="30" x14ac:dyDescent="0.25">
      <c r="B30" s="175" t="s">
        <v>411</v>
      </c>
      <c r="C30" s="37" t="s">
        <v>414</v>
      </c>
      <c r="D30" s="192"/>
      <c r="E30" s="609" t="s">
        <v>417</v>
      </c>
      <c r="F30" s="418" t="s">
        <v>1428</v>
      </c>
    </row>
    <row r="31" spans="2:15" ht="30" x14ac:dyDescent="0.25">
      <c r="B31" s="175" t="s">
        <v>1705</v>
      </c>
      <c r="C31" s="37" t="s">
        <v>414</v>
      </c>
      <c r="D31" s="3"/>
      <c r="F31" s="418" t="s">
        <v>1644</v>
      </c>
    </row>
    <row r="32" spans="2:15" ht="60" x14ac:dyDescent="0.25">
      <c r="B32" s="175" t="s">
        <v>412</v>
      </c>
      <c r="C32" s="37" t="s">
        <v>414</v>
      </c>
      <c r="D32" s="668"/>
    </row>
    <row r="33" spans="2:10" ht="45" x14ac:dyDescent="0.25">
      <c r="B33" s="175" t="s">
        <v>413</v>
      </c>
      <c r="C33" s="37" t="s">
        <v>414</v>
      </c>
      <c r="D33" s="668"/>
    </row>
    <row r="35" spans="2:10" x14ac:dyDescent="0.25">
      <c r="B35" s="175" t="s">
        <v>416</v>
      </c>
      <c r="C35" t="str">
        <f>IF(AND(C28="MET",C29="MET",C30="MET",C31="MET",C32="MET",C33="MET"),"Expenditure must be capitalised","Expenditure must be recognised as an expense")</f>
        <v>Expenditure must be capitalised</v>
      </c>
    </row>
    <row r="37" spans="2:10" x14ac:dyDescent="0.25">
      <c r="B37" s="610" t="s">
        <v>1943</v>
      </c>
    </row>
    <row r="38" spans="2:10" x14ac:dyDescent="0.25">
      <c r="B38" s="418" t="s">
        <v>1706</v>
      </c>
      <c r="C38" s="16"/>
      <c r="D38" s="1"/>
      <c r="E38" s="1"/>
      <c r="F38" s="1"/>
      <c r="G38" s="16"/>
    </row>
    <row r="39" spans="2:10" x14ac:dyDescent="0.25">
      <c r="B39" s="418" t="s">
        <v>1945</v>
      </c>
      <c r="D39" s="1"/>
      <c r="F39" s="1"/>
    </row>
    <row r="40" spans="2:10" x14ac:dyDescent="0.25">
      <c r="B40" s="1" t="s">
        <v>419</v>
      </c>
      <c r="C40" s="16" t="s">
        <v>141</v>
      </c>
      <c r="D40" s="1"/>
      <c r="E40" s="1" t="s">
        <v>1940</v>
      </c>
      <c r="F40" s="1"/>
      <c r="G40" s="16" t="s">
        <v>141</v>
      </c>
    </row>
    <row r="41" spans="2:10" x14ac:dyDescent="0.25">
      <c r="B41" s="3"/>
      <c r="C41" s="3"/>
      <c r="E41" s="711"/>
      <c r="F41" s="3"/>
      <c r="G41" s="27"/>
    </row>
    <row r="42" spans="2:10" x14ac:dyDescent="0.25">
      <c r="B42" s="3"/>
      <c r="C42" s="3"/>
      <c r="E42" s="3"/>
      <c r="F42" s="3"/>
      <c r="G42" s="3"/>
      <c r="J42" s="418" t="s">
        <v>418</v>
      </c>
    </row>
    <row r="43" spans="2:10" x14ac:dyDescent="0.25">
      <c r="B43" s="3"/>
      <c r="C43" s="3"/>
      <c r="E43" s="3"/>
      <c r="F43" s="3"/>
      <c r="G43" s="3"/>
      <c r="J43" s="418" t="s">
        <v>1842</v>
      </c>
    </row>
    <row r="44" spans="2:10" s="418" customFormat="1" x14ac:dyDescent="0.25"/>
    <row r="45" spans="2:10" x14ac:dyDescent="0.25">
      <c r="B45" t="s">
        <v>1430</v>
      </c>
      <c r="C45">
        <f>SUM(C41:C43)</f>
        <v>0</v>
      </c>
      <c r="G45" s="10">
        <f>SUM(G41:G43)</f>
        <v>0</v>
      </c>
    </row>
    <row r="46" spans="2:10" x14ac:dyDescent="0.25">
      <c r="B46" s="3"/>
      <c r="C46" s="3"/>
    </row>
    <row r="48" spans="2:10" ht="15.75" thickBot="1" x14ac:dyDescent="0.3">
      <c r="B48" s="418" t="s">
        <v>1944</v>
      </c>
    </row>
    <row r="49" spans="2:8" x14ac:dyDescent="0.25">
      <c r="B49" s="73" t="s">
        <v>518</v>
      </c>
      <c r="C49" s="62"/>
    </row>
    <row r="50" spans="2:8" x14ac:dyDescent="0.25">
      <c r="B50" s="63"/>
      <c r="C50" s="66"/>
    </row>
    <row r="51" spans="2:8" x14ac:dyDescent="0.25">
      <c r="B51" s="63" t="s">
        <v>169</v>
      </c>
      <c r="C51" s="124" t="s">
        <v>170</v>
      </c>
    </row>
    <row r="52" spans="2:8" x14ac:dyDescent="0.25">
      <c r="B52" s="63" t="s">
        <v>168</v>
      </c>
      <c r="C52" s="125" t="e">
        <f>IF(C51="years",1/C53,1/(C53/12))</f>
        <v>#DIV/0!</v>
      </c>
      <c r="G52" s="746"/>
      <c r="H52" s="747"/>
    </row>
    <row r="53" spans="2:8" x14ac:dyDescent="0.25">
      <c r="B53" s="63" t="s">
        <v>187</v>
      </c>
      <c r="C53" s="98"/>
      <c r="G53" s="181"/>
      <c r="H53" s="181"/>
    </row>
    <row r="54" spans="2:8" x14ac:dyDescent="0.25">
      <c r="B54" s="63" t="s">
        <v>269</v>
      </c>
      <c r="C54" s="624"/>
      <c r="G54" s="181"/>
      <c r="H54" s="181"/>
    </row>
    <row r="55" spans="2:8" x14ac:dyDescent="0.25">
      <c r="B55" s="63" t="s">
        <v>270</v>
      </c>
      <c r="C55" s="624"/>
      <c r="E55" s="12"/>
      <c r="G55" s="181"/>
      <c r="H55" s="181"/>
    </row>
    <row r="56" spans="2:8" x14ac:dyDescent="0.25">
      <c r="B56" s="63" t="s">
        <v>173</v>
      </c>
      <c r="C56" s="625"/>
      <c r="G56" s="181"/>
      <c r="H56" s="181"/>
    </row>
    <row r="57" spans="2:8" x14ac:dyDescent="0.25">
      <c r="B57" s="63" t="s">
        <v>174</v>
      </c>
      <c r="C57" s="179" t="e">
        <f>IF(C51="months",C52/12,C52)</f>
        <v>#DIV/0!</v>
      </c>
      <c r="E57" s="418" t="s">
        <v>1868</v>
      </c>
      <c r="G57" s="181"/>
      <c r="H57" s="181"/>
    </row>
    <row r="58" spans="2:8" x14ac:dyDescent="0.25">
      <c r="B58" s="63" t="s">
        <v>177</v>
      </c>
      <c r="C58" s="76"/>
    </row>
    <row r="59" spans="2:8" x14ac:dyDescent="0.25">
      <c r="B59" s="63" t="s">
        <v>149</v>
      </c>
      <c r="C59" s="76">
        <v>0</v>
      </c>
      <c r="E59" s="418" t="s">
        <v>884</v>
      </c>
    </row>
    <row r="60" spans="2:8" x14ac:dyDescent="0.25">
      <c r="B60" s="63"/>
      <c r="C60" s="66"/>
    </row>
    <row r="61" spans="2:8" x14ac:dyDescent="0.25">
      <c r="B61" s="63" t="s">
        <v>178</v>
      </c>
      <c r="C61" s="77" t="e">
        <f>C58-(C58-C59)*(C57*C56)</f>
        <v>#DIV/0!</v>
      </c>
    </row>
    <row r="62" spans="2:8" x14ac:dyDescent="0.25">
      <c r="B62" s="63" t="s">
        <v>420</v>
      </c>
      <c r="C62" s="69" t="e">
        <f>C58-C61</f>
        <v>#DIV/0!</v>
      </c>
    </row>
    <row r="63" spans="2:8" ht="15.75" thickBot="1" x14ac:dyDescent="0.3">
      <c r="B63" s="70" t="s">
        <v>421</v>
      </c>
      <c r="C63" s="108" t="e">
        <f>(C58-C59)/C53</f>
        <v>#DIV/0!</v>
      </c>
    </row>
    <row r="66" spans="2:12" ht="15.75" thickBot="1" x14ac:dyDescent="0.3"/>
    <row r="67" spans="2:12" x14ac:dyDescent="0.25">
      <c r="B67" s="111" t="s">
        <v>179</v>
      </c>
      <c r="C67" s="112"/>
      <c r="D67" s="113"/>
      <c r="G67" s="884" t="s">
        <v>206</v>
      </c>
      <c r="H67" s="885"/>
      <c r="I67" s="885"/>
      <c r="J67" s="885"/>
      <c r="K67" s="61"/>
      <c r="L67" s="62"/>
    </row>
    <row r="68" spans="2:12" x14ac:dyDescent="0.25">
      <c r="B68" s="63"/>
      <c r="C68" s="64"/>
      <c r="D68" s="66"/>
      <c r="G68" s="886"/>
      <c r="H68" s="887"/>
      <c r="I68" s="887"/>
      <c r="J68" s="887"/>
      <c r="K68" s="64"/>
      <c r="L68" s="66"/>
    </row>
    <row r="69" spans="2:12" x14ac:dyDescent="0.25">
      <c r="B69" s="63" t="s">
        <v>423</v>
      </c>
      <c r="C69" s="94"/>
      <c r="D69" s="66"/>
      <c r="G69" s="886"/>
      <c r="H69" s="887"/>
      <c r="I69" s="887"/>
      <c r="J69" s="887"/>
      <c r="K69" s="83"/>
      <c r="L69" s="66"/>
    </row>
    <row r="70" spans="2:12" x14ac:dyDescent="0.25">
      <c r="B70" s="63" t="s">
        <v>180</v>
      </c>
      <c r="C70" s="103" t="e">
        <f>C62</f>
        <v>#DIV/0!</v>
      </c>
      <c r="D70" s="66"/>
      <c r="G70" s="63" t="s">
        <v>204</v>
      </c>
      <c r="H70" s="64"/>
      <c r="I70" s="64"/>
      <c r="J70" s="64"/>
      <c r="K70" s="68"/>
      <c r="L70" s="66"/>
    </row>
    <row r="71" spans="2:12" x14ac:dyDescent="0.25">
      <c r="B71" s="63" t="s">
        <v>178</v>
      </c>
      <c r="C71" s="104" t="e">
        <f>C69-C70</f>
        <v>#DIV/0!</v>
      </c>
      <c r="D71" s="66"/>
      <c r="G71" s="63" t="s">
        <v>424</v>
      </c>
      <c r="H71" s="64"/>
      <c r="I71" s="64"/>
      <c r="J71" s="64"/>
      <c r="K71" s="68"/>
      <c r="L71" s="66"/>
    </row>
    <row r="72" spans="2:12" x14ac:dyDescent="0.25">
      <c r="B72" s="63"/>
      <c r="C72" s="64"/>
      <c r="D72" s="66"/>
      <c r="G72" s="63" t="s">
        <v>205</v>
      </c>
      <c r="H72" s="64"/>
      <c r="I72" s="64"/>
      <c r="J72" s="64"/>
      <c r="K72" s="83">
        <f>K70-K71</f>
        <v>0</v>
      </c>
      <c r="L72" s="66"/>
    </row>
    <row r="73" spans="2:12" x14ac:dyDescent="0.25">
      <c r="B73" s="63" t="s">
        <v>181</v>
      </c>
      <c r="C73" s="94"/>
      <c r="D73" s="66"/>
      <c r="G73" s="63"/>
      <c r="H73" s="64"/>
      <c r="I73" s="64"/>
      <c r="J73" s="64"/>
      <c r="K73" s="64"/>
      <c r="L73" s="66"/>
    </row>
    <row r="74" spans="2:12" ht="15.75" thickBot="1" x14ac:dyDescent="0.3">
      <c r="B74" s="70" t="s">
        <v>182</v>
      </c>
      <c r="C74" s="33" t="e">
        <f>C73-C71</f>
        <v>#DIV/0!</v>
      </c>
      <c r="D74" s="80"/>
      <c r="G74" s="63" t="s">
        <v>425</v>
      </c>
      <c r="H74" s="64"/>
      <c r="I74" s="64"/>
      <c r="J74" s="64"/>
      <c r="K74" s="17" t="e">
        <f>C74</f>
        <v>#DIV/0!</v>
      </c>
      <c r="L74" s="66"/>
    </row>
    <row r="75" spans="2:12" x14ac:dyDescent="0.25">
      <c r="B75" s="418" t="s">
        <v>902</v>
      </c>
      <c r="G75" s="63"/>
      <c r="H75" s="64"/>
      <c r="I75" s="64"/>
      <c r="J75" s="64"/>
      <c r="K75" s="64"/>
      <c r="L75" s="66"/>
    </row>
    <row r="76" spans="2:12" x14ac:dyDescent="0.25">
      <c r="B76" s="574" t="s">
        <v>1642</v>
      </c>
      <c r="G76" s="63"/>
      <c r="H76" s="64"/>
      <c r="I76" s="64"/>
      <c r="J76" s="64"/>
      <c r="K76" s="64"/>
      <c r="L76" s="66"/>
    </row>
    <row r="77" spans="2:12" x14ac:dyDescent="0.25">
      <c r="B77" s="574"/>
      <c r="G77" s="63"/>
      <c r="H77" s="64"/>
      <c r="I77" s="64"/>
      <c r="J77" s="64"/>
      <c r="K77" s="64"/>
      <c r="L77" s="66"/>
    </row>
    <row r="78" spans="2:12" ht="15.75" thickBot="1" x14ac:dyDescent="0.3">
      <c r="B78" s="114" t="s">
        <v>268</v>
      </c>
      <c r="C78" s="17"/>
      <c r="D78" s="64"/>
      <c r="G78" s="63"/>
      <c r="H78" s="64"/>
      <c r="I78" s="64"/>
      <c r="J78" s="64"/>
      <c r="K78" s="64"/>
      <c r="L78" s="66"/>
    </row>
    <row r="79" spans="2:12" x14ac:dyDescent="0.25">
      <c r="B79" s="60"/>
      <c r="C79" s="106" t="s">
        <v>161</v>
      </c>
      <c r="D79" s="107" t="s">
        <v>153</v>
      </c>
      <c r="G79" s="63"/>
      <c r="H79" s="99" t="s">
        <v>161</v>
      </c>
      <c r="I79" s="99" t="s">
        <v>153</v>
      </c>
      <c r="J79" s="64"/>
      <c r="K79" s="64"/>
      <c r="L79" s="66"/>
    </row>
    <row r="80" spans="2:12" x14ac:dyDescent="0.25">
      <c r="B80" s="63" t="s">
        <v>184</v>
      </c>
      <c r="C80" s="104" t="e">
        <f>C70</f>
        <v>#DIV/0!</v>
      </c>
      <c r="D80" s="66"/>
      <c r="G80" s="63" t="s">
        <v>184</v>
      </c>
      <c r="H80" s="101" t="e">
        <f>C70</f>
        <v>#DIV/0!</v>
      </c>
      <c r="I80" s="64"/>
      <c r="J80" s="64"/>
      <c r="K80" s="64"/>
      <c r="L80" s="66"/>
    </row>
    <row r="81" spans="2:12" x14ac:dyDescent="0.25">
      <c r="B81" s="63" t="e">
        <f>IF(C73&lt;C71,"Cr "&amp;B69,"DR "&amp;B69)</f>
        <v>#DIV/0!</v>
      </c>
      <c r="C81" s="17" t="e">
        <f>IF(C70&lt;C74,C74-C70,0)</f>
        <v>#DIV/0!</v>
      </c>
      <c r="D81" s="77" t="e">
        <f>IF(C70&gt;C74,C70-C74,0)</f>
        <v>#DIV/0!</v>
      </c>
      <c r="G81" s="63" t="s">
        <v>186</v>
      </c>
      <c r="H81" s="101" t="e">
        <f>C74-C70</f>
        <v>#DIV/0!</v>
      </c>
      <c r="I81" s="64"/>
      <c r="J81" s="64"/>
      <c r="K81" s="64"/>
      <c r="L81" s="66"/>
    </row>
    <row r="82" spans="2:12" x14ac:dyDescent="0.25">
      <c r="B82" s="63" t="e">
        <f>IF(C74&lt;0,"DR SPL","CR Revaluation Reserve")</f>
        <v>#DIV/0!</v>
      </c>
      <c r="C82" s="64"/>
      <c r="D82" s="69" t="e">
        <f>C74</f>
        <v>#DIV/0!</v>
      </c>
      <c r="G82" s="63" t="s">
        <v>185</v>
      </c>
      <c r="H82" s="64"/>
      <c r="I82" s="17" t="e">
        <f>IF(K72&lt;K74,K74-K72,0)</f>
        <v>#DIV/0!</v>
      </c>
      <c r="J82" s="64"/>
      <c r="K82" s="64"/>
      <c r="L82" s="66"/>
    </row>
    <row r="83" spans="2:12" x14ac:dyDescent="0.25">
      <c r="B83" s="63"/>
      <c r="C83" s="64"/>
      <c r="D83" s="66"/>
      <c r="G83" s="63" t="s">
        <v>208</v>
      </c>
      <c r="H83" s="64"/>
      <c r="I83" s="83" t="e">
        <f>IF(K72&lt;K74,K72,K74)</f>
        <v>#DIV/0!</v>
      </c>
      <c r="J83" s="64"/>
      <c r="K83" s="64"/>
      <c r="L83" s="66"/>
    </row>
    <row r="84" spans="2:12" x14ac:dyDescent="0.25">
      <c r="B84" s="63"/>
      <c r="C84" s="64"/>
      <c r="D84" s="66"/>
      <c r="G84" s="63"/>
      <c r="H84" s="64"/>
      <c r="I84" s="64"/>
      <c r="J84" s="64"/>
      <c r="K84" s="64"/>
      <c r="L84" s="66"/>
    </row>
    <row r="85" spans="2:12" ht="15.75" thickBot="1" x14ac:dyDescent="0.3">
      <c r="B85" s="70" t="s">
        <v>188</v>
      </c>
      <c r="C85" s="71"/>
      <c r="D85" s="108" t="e">
        <f>D82/(C53-C56)</f>
        <v>#DIV/0!</v>
      </c>
      <c r="G85" s="63"/>
      <c r="H85" s="64"/>
      <c r="I85" s="64"/>
      <c r="J85" s="64"/>
      <c r="K85" s="64"/>
      <c r="L85" s="66"/>
    </row>
    <row r="86" spans="2:12" ht="15.75" thickBot="1" x14ac:dyDescent="0.3">
      <c r="G86" s="70"/>
      <c r="H86" s="71"/>
      <c r="I86" s="71"/>
      <c r="J86" s="71"/>
      <c r="K86" s="71"/>
      <c r="L86" s="80"/>
    </row>
    <row r="88" spans="2:12" ht="15.75" thickBot="1" x14ac:dyDescent="0.3"/>
    <row r="89" spans="2:12" x14ac:dyDescent="0.25">
      <c r="B89" s="111" t="s">
        <v>882</v>
      </c>
      <c r="C89" s="112"/>
      <c r="D89" s="113"/>
    </row>
    <row r="90" spans="2:12" x14ac:dyDescent="0.25">
      <c r="B90" s="63"/>
      <c r="C90" s="99" t="s">
        <v>161</v>
      </c>
      <c r="D90" s="100" t="s">
        <v>153</v>
      </c>
    </row>
    <row r="91" spans="2:12" x14ac:dyDescent="0.25">
      <c r="B91" s="63" t="s">
        <v>685</v>
      </c>
      <c r="C91" s="64" t="e">
        <f>IF(C74&lt;0,-C74," ")</f>
        <v>#DIV/0!</v>
      </c>
      <c r="D91" s="66"/>
    </row>
    <row r="92" spans="2:12" ht="15.75" thickBot="1" x14ac:dyDescent="0.3">
      <c r="B92" s="70" t="s">
        <v>883</v>
      </c>
      <c r="C92" s="71"/>
      <c r="D92" s="80" t="e">
        <f>IF(C74&lt;0,-C74," ")</f>
        <v>#DIV/0!</v>
      </c>
    </row>
    <row r="94" spans="2:12" ht="15.75" thickBot="1" x14ac:dyDescent="0.3"/>
    <row r="95" spans="2:12" x14ac:dyDescent="0.25">
      <c r="B95" s="111" t="s">
        <v>1643</v>
      </c>
      <c r="C95" s="112"/>
      <c r="D95" s="113"/>
    </row>
    <row r="96" spans="2:12" x14ac:dyDescent="0.25">
      <c r="B96" s="63"/>
      <c r="C96" s="64"/>
      <c r="D96" s="66"/>
    </row>
    <row r="97" spans="2:6" x14ac:dyDescent="0.25">
      <c r="B97" s="63" t="s">
        <v>201</v>
      </c>
      <c r="C97" s="64"/>
      <c r="D97" s="76"/>
      <c r="F97" s="418" t="s">
        <v>903</v>
      </c>
    </row>
    <row r="98" spans="2:6" x14ac:dyDescent="0.25">
      <c r="B98" s="63" t="s">
        <v>200</v>
      </c>
      <c r="C98" s="64"/>
      <c r="D98" s="76"/>
    </row>
    <row r="99" spans="2:6" x14ac:dyDescent="0.25">
      <c r="B99" s="63"/>
      <c r="C99" s="64"/>
      <c r="D99" s="77">
        <f>D97-D98</f>
        <v>0</v>
      </c>
    </row>
    <row r="100" spans="2:6" x14ac:dyDescent="0.25">
      <c r="B100" s="63"/>
      <c r="C100" s="64"/>
      <c r="D100" s="66"/>
    </row>
    <row r="101" spans="2:6" x14ac:dyDescent="0.25">
      <c r="B101" s="63" t="s">
        <v>202</v>
      </c>
      <c r="C101" s="64"/>
      <c r="D101" s="76"/>
    </row>
    <row r="102" spans="2:6" x14ac:dyDescent="0.25">
      <c r="B102" s="63"/>
      <c r="C102" s="64"/>
      <c r="D102" s="66"/>
    </row>
    <row r="103" spans="2:6" x14ac:dyDescent="0.25">
      <c r="B103" s="63"/>
      <c r="C103" s="64"/>
      <c r="D103" s="66"/>
    </row>
    <row r="104" spans="2:6" x14ac:dyDescent="0.25">
      <c r="B104" s="63"/>
      <c r="C104" s="64"/>
      <c r="D104" s="66"/>
    </row>
    <row r="105" spans="2:6" x14ac:dyDescent="0.25">
      <c r="B105" s="63"/>
      <c r="C105" s="99" t="s">
        <v>161</v>
      </c>
      <c r="D105" s="100" t="s">
        <v>153</v>
      </c>
    </row>
    <row r="106" spans="2:6" x14ac:dyDescent="0.25">
      <c r="B106" s="63" t="s">
        <v>199</v>
      </c>
      <c r="C106" s="109">
        <f>IF(D101&gt;D99,D99,D101)</f>
        <v>0</v>
      </c>
      <c r="D106" s="81"/>
    </row>
    <row r="107" spans="2:6" x14ac:dyDescent="0.25">
      <c r="B107" s="63" t="s">
        <v>275</v>
      </c>
      <c r="C107" s="109">
        <f>IF(D101&gt;D99,D101-D99,0)</f>
        <v>0</v>
      </c>
      <c r="D107" s="81"/>
    </row>
    <row r="108" spans="2:6" x14ac:dyDescent="0.25">
      <c r="B108" s="63" t="s">
        <v>265</v>
      </c>
      <c r="C108" s="101" t="e">
        <f>C70</f>
        <v>#DIV/0!</v>
      </c>
      <c r="D108" s="110"/>
    </row>
    <row r="109" spans="2:6" x14ac:dyDescent="0.25">
      <c r="B109" s="63" t="s">
        <v>266</v>
      </c>
      <c r="C109" s="109"/>
      <c r="D109" s="76">
        <f>C69-C73</f>
        <v>0</v>
      </c>
    </row>
    <row r="110" spans="2:6" x14ac:dyDescent="0.25">
      <c r="B110" s="63"/>
      <c r="C110" s="64"/>
      <c r="D110" s="66"/>
    </row>
    <row r="111" spans="2:6" x14ac:dyDescent="0.25">
      <c r="B111" s="63" t="s">
        <v>189</v>
      </c>
      <c r="C111" s="64"/>
      <c r="D111" s="66"/>
    </row>
    <row r="112" spans="2:6" ht="15.75" thickBot="1" x14ac:dyDescent="0.3">
      <c r="B112" s="70"/>
      <c r="C112" s="71"/>
      <c r="D112" s="80"/>
    </row>
  </sheetData>
  <mergeCells count="2">
    <mergeCell ref="G67:J69"/>
    <mergeCell ref="B18:D27"/>
  </mergeCells>
  <hyperlinks>
    <hyperlink ref="A1" location="Main!A1" display="Main" xr:uid="{CE3B1ABA-E01A-48F9-9316-7D49D4B9C4C7}"/>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C3:C7</xm:sqref>
        </x14:dataValidation>
        <x14:dataValidation type="list" allowBlank="1" showInputMessage="1" showErrorMessage="1" xr:uid="{13DE3ED2-E925-4EE8-B049-9ACB04CD9D6A}">
          <x14:formula1>
            <xm:f>Inputs!$B$14:$B$15</xm:f>
          </x14:formula1>
          <xm:sqref>C28:C33</xm:sqref>
        </x14:dataValidation>
        <x14:dataValidation type="list" allowBlank="1" showInputMessage="1" showErrorMessage="1" xr:uid="{D801382E-994D-4444-8931-6F254E2ECD41}">
          <x14:formula1>
            <xm:f>Inputs!$B$8:$B$9</xm:f>
          </x14:formula1>
          <xm:sqref>C51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A1:Q40"/>
  <sheetViews>
    <sheetView zoomScaleNormal="100" workbookViewId="0"/>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1:17" x14ac:dyDescent="0.25">
      <c r="A1" s="161" t="s">
        <v>1984</v>
      </c>
    </row>
    <row r="2" spans="1:17" x14ac:dyDescent="0.25">
      <c r="B2" t="s">
        <v>1118</v>
      </c>
      <c r="E2" s="42">
        <v>44651</v>
      </c>
    </row>
    <row r="3" spans="1:17" x14ac:dyDescent="0.25">
      <c r="B3" t="s">
        <v>1119</v>
      </c>
      <c r="D3" s="41">
        <f>EOMONTH(E2,-5)</f>
        <v>44500</v>
      </c>
      <c r="E3" s="559">
        <v>44483</v>
      </c>
      <c r="F3" s="418" t="s">
        <v>1120</v>
      </c>
      <c r="M3" t="s">
        <v>1121</v>
      </c>
      <c r="O3" s="3"/>
      <c r="Q3" t="s">
        <v>1715</v>
      </c>
    </row>
    <row r="4" spans="1:17" x14ac:dyDescent="0.25">
      <c r="B4" t="s">
        <v>1122</v>
      </c>
      <c r="D4" s="41">
        <f>EOMONTH(E3,3)</f>
        <v>44592</v>
      </c>
      <c r="E4" s="42">
        <v>44575</v>
      </c>
      <c r="M4" t="s">
        <v>89</v>
      </c>
      <c r="O4" s="3">
        <v>194</v>
      </c>
      <c r="Q4" s="418" t="s">
        <v>1129</v>
      </c>
    </row>
    <row r="5" spans="1:17" x14ac:dyDescent="0.25">
      <c r="B5" t="s">
        <v>1123</v>
      </c>
      <c r="D5" s="41">
        <f>EOMONTH(E4,3)</f>
        <v>44681</v>
      </c>
      <c r="E5" s="42">
        <v>44665</v>
      </c>
      <c r="H5" s="41"/>
      <c r="O5" s="3"/>
      <c r="Q5" s="418" t="s">
        <v>1173</v>
      </c>
    </row>
    <row r="6" spans="1:17" x14ac:dyDescent="0.25">
      <c r="B6" t="s">
        <v>1124</v>
      </c>
      <c r="D6" s="41">
        <f>EOMONTH(D5,3)</f>
        <v>44773</v>
      </c>
      <c r="E6" s="42">
        <v>44756</v>
      </c>
      <c r="O6">
        <f>SUM(O3:O5)</f>
        <v>194</v>
      </c>
      <c r="Q6" s="418"/>
    </row>
    <row r="7" spans="1:17" x14ac:dyDescent="0.25">
      <c r="D7" s="41"/>
      <c r="M7" t="s">
        <v>1126</v>
      </c>
      <c r="O7" s="3">
        <f>O6*0.19</f>
        <v>36.86</v>
      </c>
      <c r="Q7" s="418" t="s">
        <v>1174</v>
      </c>
    </row>
    <row r="8" spans="1:17" x14ac:dyDescent="0.25">
      <c r="B8" t="s">
        <v>1717</v>
      </c>
      <c r="D8" s="41"/>
    </row>
    <row r="9" spans="1:17" x14ac:dyDescent="0.25">
      <c r="B9" s="418" t="s">
        <v>1172</v>
      </c>
      <c r="G9" t="s">
        <v>1125</v>
      </c>
      <c r="J9" s="788">
        <f>+D11</f>
        <v>2250</v>
      </c>
      <c r="K9" s="802"/>
    </row>
    <row r="10" spans="1:17" x14ac:dyDescent="0.25">
      <c r="B10" t="s">
        <v>1127</v>
      </c>
      <c r="D10" s="788">
        <v>4500</v>
      </c>
      <c r="E10" s="802"/>
      <c r="G10" t="s">
        <v>1128</v>
      </c>
      <c r="J10" s="788">
        <v>2000</v>
      </c>
      <c r="K10" s="802"/>
      <c r="M10" t="s">
        <v>1132</v>
      </c>
      <c r="O10" s="3">
        <f>+O7</f>
        <v>36.86</v>
      </c>
    </row>
    <row r="11" spans="1:17" x14ac:dyDescent="0.25">
      <c r="B11" t="s">
        <v>1130</v>
      </c>
      <c r="D11" s="788">
        <f>0.5*D10</f>
        <v>2250</v>
      </c>
      <c r="E11" s="802"/>
      <c r="G11" t="s">
        <v>1131</v>
      </c>
      <c r="J11" s="822">
        <f>J10-J9</f>
        <v>-250</v>
      </c>
      <c r="K11" s="802"/>
    </row>
    <row r="12" spans="1:17" x14ac:dyDescent="0.25">
      <c r="D12" s="802"/>
      <c r="E12" s="802"/>
      <c r="J12" s="802"/>
      <c r="K12" s="802"/>
    </row>
    <row r="13" spans="1:17" x14ac:dyDescent="0.25">
      <c r="B13" t="s">
        <v>1133</v>
      </c>
      <c r="D13" s="802">
        <f>D10</f>
        <v>4500</v>
      </c>
      <c r="E13" s="802"/>
      <c r="J13" s="802"/>
      <c r="K13" s="802"/>
    </row>
    <row r="14" spans="1:17" x14ac:dyDescent="0.25">
      <c r="B14" t="s">
        <v>390</v>
      </c>
      <c r="D14" s="802"/>
      <c r="E14" s="802">
        <f>D11</f>
        <v>2250</v>
      </c>
      <c r="G14" t="str">
        <f>IF(J11&lt;0,"DR SPL - Taxation","CR SPL - Taxation")</f>
        <v>DR SPL - Taxation</v>
      </c>
      <c r="J14" s="802">
        <f>IF($J$11&lt;0,-$J$11,0)</f>
        <v>250</v>
      </c>
      <c r="K14" s="802">
        <f>IF($J$11&gt;0,$J$11,0)</f>
        <v>0</v>
      </c>
      <c r="M14" t="s">
        <v>1134</v>
      </c>
      <c r="O14">
        <f>O10</f>
        <v>36.86</v>
      </c>
    </row>
    <row r="15" spans="1:17" x14ac:dyDescent="0.25">
      <c r="B15" t="s">
        <v>1135</v>
      </c>
      <c r="D15" s="802"/>
      <c r="E15" s="802">
        <f>D10-D11</f>
        <v>2250</v>
      </c>
      <c r="G15" t="str">
        <f>IF(J11&lt;0,"CR Current tax payable","DR Current tax payable")</f>
        <v>CR Current tax payable</v>
      </c>
      <c r="J15" s="802">
        <f>IF($J$11&gt;0,$J$11,0)</f>
        <v>0</v>
      </c>
      <c r="K15" s="802">
        <f>IF($J$11&lt;0,-$J$11,0)</f>
        <v>250</v>
      </c>
      <c r="M15" t="s">
        <v>1136</v>
      </c>
      <c r="P15">
        <f>O10</f>
        <v>36.86</v>
      </c>
    </row>
    <row r="17" spans="2:8" x14ac:dyDescent="0.25">
      <c r="G17" t="s">
        <v>1716</v>
      </c>
    </row>
    <row r="18" spans="2:8" x14ac:dyDescent="0.25">
      <c r="B18" s="418"/>
      <c r="C18" s="418"/>
      <c r="D18" s="418"/>
      <c r="E18" s="418"/>
      <c r="G18" s="418" t="s">
        <v>1627</v>
      </c>
    </row>
    <row r="19" spans="2:8" x14ac:dyDescent="0.25">
      <c r="G19" s="418" t="s">
        <v>1626</v>
      </c>
    </row>
    <row r="20" spans="2:8" x14ac:dyDescent="0.25">
      <c r="B20" s="418"/>
      <c r="C20" s="418"/>
      <c r="D20" s="418"/>
      <c r="E20" s="418"/>
      <c r="G20" s="418" t="s">
        <v>1171</v>
      </c>
    </row>
    <row r="21" spans="2:8" x14ac:dyDescent="0.25">
      <c r="B21" s="418"/>
      <c r="C21" s="418"/>
      <c r="D21" s="418"/>
    </row>
    <row r="22" spans="2:8" x14ac:dyDescent="0.25">
      <c r="B22" s="418"/>
      <c r="C22" s="418"/>
      <c r="D22" s="418"/>
      <c r="E22" s="418"/>
    </row>
    <row r="23" spans="2:8" x14ac:dyDescent="0.25">
      <c r="B23" s="418"/>
      <c r="C23" s="418"/>
      <c r="D23" s="418"/>
      <c r="E23" s="418"/>
    </row>
    <row r="24" spans="2:8" x14ac:dyDescent="0.25">
      <c r="B24" s="612" t="s">
        <v>1718</v>
      </c>
      <c r="D24" s="418"/>
      <c r="E24" s="418"/>
      <c r="F24" s="418"/>
    </row>
    <row r="25" spans="2:8" x14ac:dyDescent="0.25">
      <c r="B25" s="418" t="s">
        <v>1719</v>
      </c>
      <c r="C25" s="418"/>
      <c r="D25" s="418"/>
      <c r="F25" s="418"/>
      <c r="G25" s="418"/>
    </row>
    <row r="26" spans="2:8" x14ac:dyDescent="0.25">
      <c r="B26" s="418"/>
      <c r="C26" s="418"/>
      <c r="D26" s="418"/>
      <c r="E26" s="418"/>
    </row>
    <row r="27" spans="2:8" x14ac:dyDescent="0.25">
      <c r="B27" s="418"/>
      <c r="C27" s="418"/>
      <c r="D27" s="418"/>
      <c r="E27" s="418"/>
      <c r="F27" s="418"/>
      <c r="G27" s="418"/>
      <c r="H27" s="418"/>
    </row>
    <row r="28" spans="2:8" x14ac:dyDescent="0.25">
      <c r="B28" s="418"/>
      <c r="C28" s="418"/>
      <c r="D28" s="418"/>
      <c r="E28" s="418"/>
      <c r="F28" s="418"/>
      <c r="G28" s="418"/>
      <c r="H28" s="418"/>
    </row>
    <row r="29" spans="2:8" x14ac:dyDescent="0.25">
      <c r="B29" s="418"/>
      <c r="C29" s="418"/>
      <c r="D29" s="418"/>
      <c r="E29" s="418"/>
    </row>
    <row r="30" spans="2:8" x14ac:dyDescent="0.25">
      <c r="B30" s="418"/>
      <c r="C30" s="418"/>
      <c r="D30" s="418"/>
      <c r="E30" s="418"/>
    </row>
    <row r="31" spans="2:8" x14ac:dyDescent="0.25">
      <c r="B31" s="418"/>
      <c r="C31" s="418"/>
      <c r="D31" s="418"/>
      <c r="F31" s="418"/>
      <c r="H31" s="655"/>
    </row>
    <row r="32" spans="2:8" x14ac:dyDescent="0.25">
      <c r="B32" s="418"/>
      <c r="C32" s="418"/>
      <c r="D32" s="418"/>
    </row>
    <row r="33" spans="2:8" x14ac:dyDescent="0.25">
      <c r="B33" s="418"/>
      <c r="C33" s="418"/>
      <c r="D33" s="418"/>
      <c r="E33" s="418"/>
      <c r="F33" s="418"/>
      <c r="G33" s="418"/>
      <c r="H33" s="418"/>
    </row>
    <row r="34" spans="2:8" x14ac:dyDescent="0.25">
      <c r="B34" s="418"/>
      <c r="C34" s="418"/>
      <c r="D34" s="418"/>
      <c r="E34" s="418"/>
      <c r="F34" s="418"/>
      <c r="G34" s="418"/>
      <c r="H34" s="418"/>
    </row>
    <row r="35" spans="2:8" x14ac:dyDescent="0.25">
      <c r="B35" s="418"/>
      <c r="C35" s="418"/>
      <c r="D35" s="418"/>
      <c r="E35" s="418"/>
      <c r="F35" s="418"/>
      <c r="G35" s="418"/>
      <c r="H35" s="418"/>
    </row>
    <row r="36" spans="2:8" x14ac:dyDescent="0.25">
      <c r="B36" s="418"/>
      <c r="C36" s="418"/>
      <c r="D36" s="418"/>
      <c r="E36" s="418"/>
    </row>
    <row r="37" spans="2:8" x14ac:dyDescent="0.25">
      <c r="B37" s="418"/>
      <c r="C37" s="418"/>
      <c r="D37" s="418"/>
      <c r="E37" s="418"/>
    </row>
    <row r="38" spans="2:8" x14ac:dyDescent="0.25">
      <c r="B38" s="418"/>
      <c r="D38" s="418"/>
    </row>
    <row r="39" spans="2:8" x14ac:dyDescent="0.25">
      <c r="D39" s="418"/>
    </row>
    <row r="40" spans="2:8" x14ac:dyDescent="0.25">
      <c r="B40" s="418"/>
    </row>
  </sheetData>
  <hyperlinks>
    <hyperlink ref="A1" location="Main!A1" display="Main" xr:uid="{3D372E43-E7E2-434D-87FA-3B3AB56365BF}"/>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AA91"/>
  <sheetViews>
    <sheetView zoomScale="70" zoomScaleNormal="70" workbookViewId="0"/>
  </sheetViews>
  <sheetFormatPr defaultRowHeight="15" x14ac:dyDescent="0.25"/>
  <cols>
    <col min="2" max="2" width="24.5703125" customWidth="1"/>
    <col min="3" max="3" width="19.42578125" customWidth="1"/>
    <col min="4" max="4" width="14.42578125" bestFit="1" customWidth="1"/>
    <col min="5" max="5" width="36.5703125" customWidth="1"/>
    <col min="6" max="6" width="19.7109375" bestFit="1" customWidth="1"/>
  </cols>
  <sheetData>
    <row r="1" spans="1:6" x14ac:dyDescent="0.25">
      <c r="A1" s="161" t="s">
        <v>1984</v>
      </c>
    </row>
    <row r="3" spans="1:6" x14ac:dyDescent="0.25">
      <c r="B3" s="1" t="s">
        <v>1491</v>
      </c>
    </row>
    <row r="4" spans="1:6" x14ac:dyDescent="0.25">
      <c r="B4" t="s">
        <v>1489</v>
      </c>
      <c r="C4" s="640" t="s">
        <v>1488</v>
      </c>
    </row>
    <row r="5" spans="1:6" x14ac:dyDescent="0.25">
      <c r="B5" s="1"/>
      <c r="C5" s="1"/>
      <c r="D5" s="1"/>
      <c r="E5" s="1"/>
    </row>
    <row r="7" spans="1:6" x14ac:dyDescent="0.25">
      <c r="B7" t="s">
        <v>12</v>
      </c>
      <c r="C7" t="s">
        <v>217</v>
      </c>
      <c r="D7" t="s">
        <v>1487</v>
      </c>
      <c r="E7" s="2" t="str">
        <f>IF($C$4="DTA","Deductible temporary difference","Taxable temporary difference")</f>
        <v>Taxable temporary difference</v>
      </c>
      <c r="F7" s="2" t="str">
        <f>IF($C$4="DTA","DTA","DTL")</f>
        <v>DTL</v>
      </c>
    </row>
    <row r="8" spans="1:6" x14ac:dyDescent="0.25">
      <c r="C8" s="2" t="s">
        <v>10</v>
      </c>
      <c r="D8" s="2" t="s">
        <v>10</v>
      </c>
      <c r="E8" s="2" t="s">
        <v>10</v>
      </c>
      <c r="F8" s="2" t="s">
        <v>10</v>
      </c>
    </row>
    <row r="9" spans="1:6" x14ac:dyDescent="0.25">
      <c r="B9" s="3"/>
      <c r="C9" s="14">
        <v>900</v>
      </c>
      <c r="D9" s="14">
        <v>820</v>
      </c>
      <c r="E9" s="12">
        <f>C9-D9</f>
        <v>80</v>
      </c>
      <c r="F9" s="10"/>
    </row>
    <row r="10" spans="1:6" x14ac:dyDescent="0.25">
      <c r="B10" s="641">
        <v>41364</v>
      </c>
      <c r="C10" s="14">
        <v>40000000</v>
      </c>
      <c r="D10" s="14">
        <v>28000000</v>
      </c>
      <c r="E10" s="639">
        <f>IF(C4="DTA",-(C10-D10),C10-D10)</f>
        <v>12000000</v>
      </c>
      <c r="F10" s="638">
        <f>E10*0.17</f>
        <v>2040000.0000000002</v>
      </c>
    </row>
    <row r="11" spans="1:6" x14ac:dyDescent="0.25">
      <c r="B11" s="3"/>
      <c r="C11" s="3"/>
      <c r="D11" s="3"/>
    </row>
    <row r="12" spans="1:6" x14ac:dyDescent="0.25">
      <c r="F12" s="189">
        <f>F10-F9</f>
        <v>2040000.0000000002</v>
      </c>
    </row>
    <row r="13" spans="1:6" x14ac:dyDescent="0.25">
      <c r="F13" s="189"/>
    </row>
    <row r="14" spans="1:6" x14ac:dyDescent="0.25">
      <c r="B14" t="str" cm="1">
        <f t="array" ref="B14">_xlfn.IFS(AND($C$4="DTA",F12&gt;0),"DR DTA",AND($C$4="DTA",F12&lt;0),"CR DTA",AND($C$4="DTL",F12&gt;0),"CR DTL",AND($C$4="DTL",F12&lt;0),"DR DTL")</f>
        <v>CR DTL</v>
      </c>
      <c r="C14" s="11">
        <f>IF($F$12&gt;0,$F$12,0)</f>
        <v>2040000.0000000002</v>
      </c>
      <c r="D14" s="11"/>
    </row>
    <row r="15" spans="1:6" x14ac:dyDescent="0.25">
      <c r="B15" t="str" cm="1">
        <f t="array" ref="B15">_xlfn.IFS(AND($C$4="DTA",F12&gt;0),"CR SPL - Taxation",AND($C$4="DTA",F12&lt;0),"DR SPL - Taxation",AND($C$4="DTL",F12&gt;0),"DR SPL - Taxation",AND($C$4="DTL",F12&lt;0),"CR SPL - Taxation")</f>
        <v>DR SPL - Taxation</v>
      </c>
      <c r="C15" s="11">
        <f>IF($F$12&gt;0,$F$12,0)</f>
        <v>2040000.0000000002</v>
      </c>
    </row>
    <row r="18" spans="2:6" ht="15" customHeight="1" x14ac:dyDescent="0.25">
      <c r="B18" s="1" t="s">
        <v>661</v>
      </c>
    </row>
    <row r="19" spans="2:6" ht="15" customHeight="1" x14ac:dyDescent="0.25">
      <c r="B19" t="s">
        <v>1489</v>
      </c>
      <c r="C19" s="640" t="s">
        <v>1488</v>
      </c>
    </row>
    <row r="20" spans="2:6" ht="15" customHeight="1" x14ac:dyDescent="0.25"/>
    <row r="22" spans="2:6" x14ac:dyDescent="0.25">
      <c r="B22" t="s">
        <v>12</v>
      </c>
      <c r="C22" t="s">
        <v>217</v>
      </c>
      <c r="D22" t="s">
        <v>1487</v>
      </c>
      <c r="E22" s="2" t="str">
        <f>IF($C$4="DTA","Deductible temporary difference","Taxable temporary difference")</f>
        <v>Taxable temporary difference</v>
      </c>
      <c r="F22" s="2" t="str">
        <f>IF($C$4="DTA","DTA","DTL")</f>
        <v>DTL</v>
      </c>
    </row>
    <row r="23" spans="2:6" x14ac:dyDescent="0.25">
      <c r="C23" s="2" t="s">
        <v>10</v>
      </c>
      <c r="D23" s="2" t="s">
        <v>10</v>
      </c>
      <c r="E23" s="2" t="s">
        <v>10</v>
      </c>
      <c r="F23" s="2" t="s">
        <v>10</v>
      </c>
    </row>
    <row r="24" spans="2:6" x14ac:dyDescent="0.25">
      <c r="B24" s="3"/>
      <c r="C24" s="3"/>
      <c r="D24" s="3"/>
      <c r="F24" s="10"/>
    </row>
    <row r="25" spans="2:6" x14ac:dyDescent="0.25">
      <c r="B25" s="42"/>
      <c r="C25" s="14"/>
      <c r="D25" s="14">
        <v>0</v>
      </c>
      <c r="E25" s="639">
        <f>IF(C16="DTA",-(C25-D25),C25-D25)</f>
        <v>0</v>
      </c>
      <c r="F25" s="638">
        <f>E25*0.19</f>
        <v>0</v>
      </c>
    </row>
    <row r="26" spans="2:6" x14ac:dyDescent="0.25">
      <c r="B26" s="3"/>
      <c r="C26" s="3"/>
      <c r="D26" s="3"/>
    </row>
    <row r="27" spans="2:6" x14ac:dyDescent="0.25">
      <c r="F27" s="189">
        <f>F25-F24</f>
        <v>0</v>
      </c>
    </row>
    <row r="28" spans="2:6" x14ac:dyDescent="0.25">
      <c r="F28" s="189"/>
    </row>
    <row r="29" spans="2:6" x14ac:dyDescent="0.25">
      <c r="B29" t="e" cm="1">
        <f t="array" ref="B29">_xlfn.IFS(AND($C$4="DTA",F27&gt;0),"DR DTA",AND($C$4="DTA",F27&lt;0),"CR DTA",AND($C$4="DTL",F27&gt;0),"CR DTL",AND($C$4="DTL",F27&lt;0),"DR DTL")</f>
        <v>#N/A</v>
      </c>
      <c r="C29" s="11">
        <f>IF($F$27&gt;0,$F$27,0)</f>
        <v>0</v>
      </c>
      <c r="D29" s="11">
        <f>IF($F$27&lt;0,-$F$27,0)</f>
        <v>0</v>
      </c>
    </row>
    <row r="30" spans="2:6" x14ac:dyDescent="0.25">
      <c r="B30" t="e" cm="1">
        <f t="array" ref="B30">_xlfn.IFS(AND($C$4="DTA",F27&gt;0),"CR Retained earnings",AND($C$4="DTA",F27&lt;0),"DR Retained earnings",AND($C$4="DTL",F27&gt;0),"DR Retained earnings",AND($C$4="DTL",F27&lt;0),"CR Retained earnings")</f>
        <v>#N/A</v>
      </c>
      <c r="C30" s="11">
        <f>IF($F$27&lt;0,-$F$27,0)</f>
        <v>0</v>
      </c>
      <c r="D30" s="11">
        <f>IF($F$27&gt;0,$F$27,0)</f>
        <v>0</v>
      </c>
    </row>
    <row r="34" spans="2:6" x14ac:dyDescent="0.25">
      <c r="B34" s="1" t="s">
        <v>1492</v>
      </c>
    </row>
    <row r="35" spans="2:6" x14ac:dyDescent="0.25">
      <c r="B35" t="s">
        <v>1489</v>
      </c>
      <c r="C35" s="640" t="s">
        <v>1490</v>
      </c>
    </row>
    <row r="38" spans="2:6" x14ac:dyDescent="0.25">
      <c r="B38" t="s">
        <v>12</v>
      </c>
      <c r="C38" t="s">
        <v>217</v>
      </c>
      <c r="D38" t="s">
        <v>1487</v>
      </c>
      <c r="E38" s="2" t="str">
        <f>IF($C$35="DTA","Deductible temporary difference","Taxable temporary difference")</f>
        <v>Deductible temporary difference</v>
      </c>
      <c r="F38" s="2" t="str">
        <f>IF($C$35="DTA","DTA","DTL")</f>
        <v>DTA</v>
      </c>
    </row>
    <row r="39" spans="2:6" x14ac:dyDescent="0.25">
      <c r="C39" s="2" t="s">
        <v>10</v>
      </c>
      <c r="D39" s="2" t="s">
        <v>10</v>
      </c>
      <c r="E39" s="2" t="s">
        <v>10</v>
      </c>
      <c r="F39" s="2" t="s">
        <v>10</v>
      </c>
    </row>
    <row r="40" spans="2:6" x14ac:dyDescent="0.25">
      <c r="B40" s="3"/>
      <c r="C40" s="3"/>
      <c r="D40" s="3"/>
      <c r="F40" s="10"/>
    </row>
    <row r="41" spans="2:6" x14ac:dyDescent="0.25">
      <c r="B41" s="3"/>
      <c r="C41" s="14"/>
      <c r="D41" s="14">
        <v>0</v>
      </c>
      <c r="E41" s="639">
        <f>IF(C32="DTA",-(C41-D41),C41-D41)</f>
        <v>0</v>
      </c>
      <c r="F41" s="638">
        <f>E41*0.19</f>
        <v>0</v>
      </c>
    </row>
    <row r="42" spans="2:6" x14ac:dyDescent="0.25">
      <c r="B42" s="3"/>
      <c r="C42" s="3"/>
      <c r="D42" s="3"/>
    </row>
    <row r="43" spans="2:6" x14ac:dyDescent="0.25">
      <c r="F43" s="189">
        <f>F41-F40</f>
        <v>0</v>
      </c>
    </row>
    <row r="44" spans="2:6" x14ac:dyDescent="0.25">
      <c r="F44" s="189"/>
    </row>
    <row r="45" spans="2:6" x14ac:dyDescent="0.25">
      <c r="B45" t="e" cm="1">
        <f t="array" ref="B45">_xlfn.IFS(AND($C$35="DTA",F43&gt;0),"DR DTA",AND($C$35="DTA",F43&lt;0),"CR DTA",AND($C$35="DTL",F43&gt;0),"CR DTL",AND($C$35="DTL",F43&lt;0),"DR DTL")</f>
        <v>#N/A</v>
      </c>
      <c r="C45" s="11">
        <f>IF($F$43&gt;0,$F$43,0)</f>
        <v>0</v>
      </c>
      <c r="D45" s="11">
        <f>IF($F$12&lt;0,-$F$12,0)</f>
        <v>0</v>
      </c>
    </row>
    <row r="46" spans="2:6" x14ac:dyDescent="0.25">
      <c r="B46" t="e" cm="1">
        <f t="array" ref="B46">_xlfn.IFS(AND($C$35="DTA",F43&gt;0),"CR SPL - Taxation",AND($C$35="DTA",F43&lt;0),"DR SPL - Taxation",AND($C$35="DTL",F43&gt;0),"DR SPL - Taxation",AND($C$35="DTL",F43&lt;0),"CR SPL - Taxation")</f>
        <v>#N/A</v>
      </c>
      <c r="C46" s="11">
        <f>IF($F$43&lt;0,-$F$43,0)</f>
        <v>0</v>
      </c>
      <c r="D46" s="11">
        <f>IF($F$43&gt;0,$F$43,0)</f>
        <v>0</v>
      </c>
    </row>
    <row r="49" spans="2:24" x14ac:dyDescent="0.25">
      <c r="B49" s="1" t="s">
        <v>1493</v>
      </c>
    </row>
    <row r="50" spans="2:24" x14ac:dyDescent="0.25">
      <c r="B50" t="s">
        <v>1489</v>
      </c>
      <c r="C50" s="640" t="s">
        <v>1490</v>
      </c>
    </row>
    <row r="53" spans="2:24" x14ac:dyDescent="0.25">
      <c r="B53" t="s">
        <v>12</v>
      </c>
      <c r="C53" t="s">
        <v>217</v>
      </c>
      <c r="D53" t="s">
        <v>1487</v>
      </c>
      <c r="E53" s="2" t="str">
        <f>IF($C$35="DTA","Deductible temporary difference","Taxable temporary difference")</f>
        <v>Deductible temporary difference</v>
      </c>
      <c r="F53" s="2" t="str">
        <f>IF($C$35="DTA","DTA","DTL")</f>
        <v>DTA</v>
      </c>
    </row>
    <row r="54" spans="2:24" x14ac:dyDescent="0.25">
      <c r="C54" s="2" t="s">
        <v>10</v>
      </c>
      <c r="D54" s="2" t="s">
        <v>10</v>
      </c>
      <c r="E54" s="2" t="s">
        <v>10</v>
      </c>
      <c r="F54" s="2" t="s">
        <v>10</v>
      </c>
    </row>
    <row r="55" spans="2:24" x14ac:dyDescent="0.25">
      <c r="B55" s="3"/>
      <c r="C55" s="3"/>
      <c r="D55" s="3"/>
      <c r="F55" s="10"/>
    </row>
    <row r="56" spans="2:24" x14ac:dyDescent="0.25">
      <c r="B56" s="3"/>
      <c r="C56" s="14"/>
      <c r="D56" s="14">
        <v>0</v>
      </c>
      <c r="E56" s="639">
        <f>IF(C47="DTA",-(C56-D56),C56-D56)</f>
        <v>0</v>
      </c>
      <c r="F56" s="638">
        <f>E56*0.19</f>
        <v>0</v>
      </c>
    </row>
    <row r="57" spans="2:24" x14ac:dyDescent="0.25">
      <c r="B57" s="3"/>
      <c r="C57" s="3"/>
      <c r="D57" s="3"/>
    </row>
    <row r="58" spans="2:24" x14ac:dyDescent="0.25">
      <c r="F58" s="189">
        <f>F56-F55</f>
        <v>0</v>
      </c>
    </row>
    <row r="59" spans="2:24" x14ac:dyDescent="0.25">
      <c r="F59" s="189"/>
    </row>
    <row r="60" spans="2:24" x14ac:dyDescent="0.25">
      <c r="B60" t="e" cm="1">
        <f t="array" ref="B60">_xlfn.IFS(AND($C$35="DTA",F58&gt;0),"DR DTA",AND($C$35="DTA",F58&lt;0),"CR DTA",AND($C$35="DTL",F58&gt;0),"CR DTL",AND($C$35="DTL",F58&lt;0),"DR DTL")</f>
        <v>#N/A</v>
      </c>
      <c r="C60" s="11">
        <f>IF($F$58&gt;0,$F$58,0)</f>
        <v>0</v>
      </c>
      <c r="D60" s="11">
        <f>IF($F$58&lt;0,-$F$58,0)</f>
        <v>0</v>
      </c>
    </row>
    <row r="61" spans="2:24" ht="14.45" customHeight="1" x14ac:dyDescent="0.25">
      <c r="B61" t="e" cm="1">
        <f t="array" ref="B61">_xlfn.IFS(AND($C$35="DTA",F58&gt;0),"CR SPL - Taxation",AND($C$35="DTA",F58&lt;0),"DR SPL - Taxation",AND($C$35="DTL",F58&gt;0),"DR SPL - Taxation",AND($C$35="DTL",F58&lt;0),"CR SPL - Taxation")</f>
        <v>#N/A</v>
      </c>
      <c r="C61" s="11">
        <f>IF($F$58&lt;0,-$F$58,0)</f>
        <v>0</v>
      </c>
      <c r="D61" s="11">
        <f>IF($F$58&gt;0,$F$58,0)</f>
        <v>0</v>
      </c>
      <c r="I61" s="876" t="s">
        <v>1817</v>
      </c>
      <c r="J61" s="876"/>
      <c r="K61" s="876"/>
      <c r="L61" s="876"/>
      <c r="M61" s="876"/>
      <c r="N61" s="876"/>
      <c r="O61" s="876"/>
      <c r="P61" s="876"/>
      <c r="Q61" s="876"/>
      <c r="R61" s="876"/>
      <c r="S61" s="876"/>
      <c r="T61" s="876"/>
      <c r="U61" s="876"/>
      <c r="V61" s="876"/>
      <c r="W61" s="876"/>
      <c r="X61" s="876"/>
    </row>
    <row r="62" spans="2:24" x14ac:dyDescent="0.25">
      <c r="I62" s="876"/>
      <c r="J62" s="876"/>
      <c r="K62" s="876"/>
      <c r="L62" s="876"/>
      <c r="M62" s="876"/>
      <c r="N62" s="876"/>
      <c r="O62" s="876"/>
      <c r="P62" s="876"/>
      <c r="Q62" s="876"/>
      <c r="R62" s="876"/>
      <c r="S62" s="876"/>
      <c r="T62" s="876"/>
      <c r="U62" s="876"/>
      <c r="V62" s="876"/>
      <c r="W62" s="876"/>
      <c r="X62" s="876"/>
    </row>
    <row r="63" spans="2:24" x14ac:dyDescent="0.25">
      <c r="I63" s="876"/>
      <c r="J63" s="876"/>
      <c r="K63" s="876"/>
      <c r="L63" s="876"/>
      <c r="M63" s="876"/>
      <c r="N63" s="876"/>
      <c r="O63" s="876"/>
      <c r="P63" s="876"/>
      <c r="Q63" s="876"/>
      <c r="R63" s="876"/>
      <c r="S63" s="876"/>
      <c r="T63" s="876"/>
      <c r="U63" s="876"/>
      <c r="V63" s="876"/>
      <c r="W63" s="876"/>
      <c r="X63" s="876"/>
    </row>
    <row r="64" spans="2:24" ht="15.75" thickBot="1" x14ac:dyDescent="0.3">
      <c r="I64" s="876"/>
      <c r="J64" s="876"/>
      <c r="K64" s="876"/>
      <c r="L64" s="876"/>
      <c r="M64" s="876"/>
      <c r="N64" s="876"/>
      <c r="O64" s="876"/>
      <c r="P64" s="876"/>
      <c r="Q64" s="876"/>
      <c r="R64" s="876"/>
      <c r="S64" s="876"/>
      <c r="T64" s="876"/>
      <c r="U64" s="876"/>
      <c r="V64" s="876"/>
      <c r="W64" s="876"/>
      <c r="X64" s="876"/>
    </row>
    <row r="65" spans="2:27" x14ac:dyDescent="0.25">
      <c r="B65" s="60"/>
      <c r="C65" s="61"/>
      <c r="D65" s="61"/>
      <c r="E65" s="61"/>
      <c r="F65" s="61"/>
      <c r="G65" s="62"/>
      <c r="I65" s="876" t="str">
        <f>"As there are £"&amp;SUMIF(E68:E77,"&gt;0")&amp;" of taxable temporary differences as at …, all deductible differences can be recognised"</f>
        <v>As there are £0 of taxable temporary differences as at …, all deductible differences can be recognised</v>
      </c>
      <c r="J65" s="876"/>
      <c r="K65" s="876"/>
      <c r="L65" s="876"/>
      <c r="M65" s="876"/>
      <c r="N65" s="876"/>
      <c r="O65" s="876"/>
      <c r="P65" s="876"/>
      <c r="Q65" s="876"/>
      <c r="R65" s="876"/>
      <c r="S65" s="876"/>
      <c r="T65" s="876"/>
      <c r="U65" s="876"/>
      <c r="V65" s="876"/>
      <c r="W65" s="876"/>
      <c r="X65" s="876"/>
    </row>
    <row r="66" spans="2:27" x14ac:dyDescent="0.25">
      <c r="B66" s="63" t="s">
        <v>1623</v>
      </c>
      <c r="C66" s="51">
        <v>0.25</v>
      </c>
      <c r="D66" s="64"/>
      <c r="E66" s="64"/>
      <c r="F66" s="64"/>
      <c r="G66" s="66"/>
      <c r="I66" s="876"/>
      <c r="J66" s="876"/>
      <c r="K66" s="876"/>
      <c r="L66" s="876"/>
      <c r="M66" s="876"/>
      <c r="N66" s="876"/>
      <c r="O66" s="876"/>
      <c r="P66" s="876"/>
      <c r="Q66" s="876"/>
      <c r="R66" s="876"/>
      <c r="S66" s="876"/>
      <c r="T66" s="876"/>
      <c r="U66" s="876"/>
      <c r="V66" s="876"/>
      <c r="W66" s="876"/>
      <c r="X66" s="876"/>
    </row>
    <row r="67" spans="2:27" x14ac:dyDescent="0.25">
      <c r="B67" s="63"/>
      <c r="C67" s="150" t="s">
        <v>217</v>
      </c>
      <c r="D67" s="150" t="s">
        <v>1487</v>
      </c>
      <c r="E67" s="150" t="s">
        <v>1499</v>
      </c>
      <c r="F67" s="150" t="s">
        <v>1814</v>
      </c>
      <c r="G67" s="66"/>
      <c r="I67" s="876"/>
      <c r="J67" s="876"/>
      <c r="K67" s="876"/>
      <c r="L67" s="876"/>
      <c r="M67" s="876"/>
      <c r="N67" s="876"/>
      <c r="O67" s="876"/>
      <c r="P67" s="876"/>
      <c r="Q67" s="876"/>
      <c r="R67" s="876"/>
      <c r="S67" s="876"/>
      <c r="T67" s="876"/>
      <c r="U67" s="876"/>
      <c r="V67" s="876"/>
      <c r="W67" s="876"/>
      <c r="X67" s="876"/>
    </row>
    <row r="68" spans="2:27" x14ac:dyDescent="0.25">
      <c r="B68" s="63" t="s">
        <v>1504</v>
      </c>
      <c r="C68" s="799"/>
      <c r="D68" s="799"/>
      <c r="E68" s="841">
        <f t="shared" ref="E68:E74" si="0">C68-D68</f>
        <v>0</v>
      </c>
      <c r="F68" s="823">
        <f t="shared" ref="F68:F74" si="1">E68*$C$66</f>
        <v>0</v>
      </c>
      <c r="G68" s="66"/>
    </row>
    <row r="69" spans="2:27" x14ac:dyDescent="0.25">
      <c r="B69" s="63" t="s">
        <v>1495</v>
      </c>
      <c r="C69" s="799"/>
      <c r="D69" s="799"/>
      <c r="E69" s="841">
        <f t="shared" si="0"/>
        <v>0</v>
      </c>
      <c r="F69" s="823">
        <f t="shared" si="1"/>
        <v>0</v>
      </c>
      <c r="G69" s="66"/>
    </row>
    <row r="70" spans="2:27" x14ac:dyDescent="0.25">
      <c r="B70" s="63" t="s">
        <v>1496</v>
      </c>
      <c r="C70" s="799"/>
      <c r="D70" s="799"/>
      <c r="E70" s="841">
        <f t="shared" si="0"/>
        <v>0</v>
      </c>
      <c r="F70" s="823">
        <f t="shared" si="1"/>
        <v>0</v>
      </c>
      <c r="G70" s="66"/>
      <c r="H70" s="418"/>
    </row>
    <row r="71" spans="2:27" x14ac:dyDescent="0.25">
      <c r="B71" s="63" t="s">
        <v>1497</v>
      </c>
      <c r="C71" s="799"/>
      <c r="D71" s="799"/>
      <c r="E71" s="841">
        <f>C71-D71</f>
        <v>0</v>
      </c>
      <c r="F71" s="823">
        <f t="shared" si="1"/>
        <v>0</v>
      </c>
      <c r="G71" s="66"/>
      <c r="I71" s="418" t="s">
        <v>1816</v>
      </c>
    </row>
    <row r="72" spans="2:27" x14ac:dyDescent="0.25">
      <c r="B72" s="63" t="s">
        <v>1498</v>
      </c>
      <c r="C72" s="799"/>
      <c r="D72" s="799"/>
      <c r="E72" s="841">
        <f>C72-D72</f>
        <v>0</v>
      </c>
      <c r="F72" s="823">
        <f t="shared" si="1"/>
        <v>0</v>
      </c>
      <c r="G72" s="66"/>
      <c r="I72" s="418" t="s">
        <v>1649</v>
      </c>
    </row>
    <row r="73" spans="2:27" x14ac:dyDescent="0.25">
      <c r="B73" s="63" t="s">
        <v>1114</v>
      </c>
      <c r="C73" s="799"/>
      <c r="D73" s="799"/>
      <c r="E73" s="841">
        <f t="shared" si="0"/>
        <v>0</v>
      </c>
      <c r="F73" s="823">
        <f t="shared" si="1"/>
        <v>0</v>
      </c>
      <c r="G73" s="66"/>
      <c r="I73" s="418" t="s">
        <v>1815</v>
      </c>
    </row>
    <row r="74" spans="2:27" ht="14.45" customHeight="1" x14ac:dyDescent="0.25">
      <c r="B74" s="63" t="s">
        <v>1132</v>
      </c>
      <c r="C74" s="799"/>
      <c r="D74" s="799"/>
      <c r="E74" s="841">
        <f t="shared" si="0"/>
        <v>0</v>
      </c>
      <c r="F74" s="823">
        <f t="shared" si="1"/>
        <v>0</v>
      </c>
      <c r="G74" s="66"/>
      <c r="I74" s="876" t="str">
        <f>"Tax losses can also be recognised to the extent of the existence of taxable temporary differences. From above, £"&amp;SUMIF(E68:E77,"&gt;0")+SUMIF(E68:E73,"&lt;0")&amp;" of taxable losses would be covered by such differences. This would leave … of losses, creating a potential DTA."</f>
        <v>Tax losses can also be recognised to the extent of the existence of taxable temporary differences. From above, £0 of taxable losses would be covered by such differences. This would leave … of losses, creating a potential DTA.</v>
      </c>
      <c r="J74" s="876"/>
      <c r="K74" s="876"/>
      <c r="L74" s="876"/>
      <c r="M74" s="876"/>
      <c r="N74" s="876"/>
      <c r="O74" s="876"/>
      <c r="P74" s="876"/>
      <c r="Q74" s="876"/>
      <c r="R74" s="876"/>
      <c r="S74" s="876"/>
      <c r="T74" s="876"/>
      <c r="U74" s="876"/>
      <c r="V74" s="876"/>
      <c r="W74" s="876"/>
      <c r="X74" s="876"/>
    </row>
    <row r="75" spans="2:27" x14ac:dyDescent="0.25">
      <c r="B75" s="63"/>
      <c r="C75" s="824"/>
      <c r="D75" s="824"/>
      <c r="E75" s="841"/>
      <c r="F75" s="842">
        <f>SUM(F68:F74)</f>
        <v>0</v>
      </c>
      <c r="G75" s="66"/>
      <c r="I75" s="876"/>
      <c r="J75" s="876"/>
      <c r="K75" s="876"/>
      <c r="L75" s="876"/>
      <c r="M75" s="876"/>
      <c r="N75" s="876"/>
      <c r="O75" s="876"/>
      <c r="P75" s="876"/>
      <c r="Q75" s="876"/>
      <c r="R75" s="876"/>
      <c r="S75" s="876"/>
      <c r="T75" s="876"/>
      <c r="U75" s="876"/>
      <c r="V75" s="876"/>
      <c r="W75" s="876"/>
      <c r="X75" s="876"/>
    </row>
    <row r="76" spans="2:27" x14ac:dyDescent="0.25">
      <c r="B76" s="63"/>
      <c r="C76" s="824"/>
      <c r="D76" s="824"/>
      <c r="E76" s="824"/>
      <c r="F76" s="824"/>
      <c r="G76" s="66"/>
      <c r="I76" s="876"/>
      <c r="J76" s="876"/>
      <c r="K76" s="876"/>
      <c r="L76" s="876"/>
      <c r="M76" s="876"/>
      <c r="N76" s="876"/>
      <c r="O76" s="876"/>
      <c r="P76" s="876"/>
      <c r="Q76" s="876"/>
      <c r="R76" s="876"/>
      <c r="S76" s="876"/>
      <c r="T76" s="876"/>
      <c r="U76" s="876"/>
      <c r="V76" s="876"/>
      <c r="W76" s="876"/>
      <c r="X76" s="876"/>
      <c r="Z76" s="418" t="s">
        <v>1647</v>
      </c>
    </row>
    <row r="77" spans="2:27" x14ac:dyDescent="0.25">
      <c r="B77" s="63" t="s">
        <v>1712</v>
      </c>
      <c r="C77" s="799"/>
      <c r="D77" s="799"/>
      <c r="E77" s="841">
        <f>C77-D77</f>
        <v>0</v>
      </c>
      <c r="F77" s="843">
        <f>E77*$C$66</f>
        <v>0</v>
      </c>
      <c r="G77" s="66"/>
      <c r="I77" s="877" t="s">
        <v>1818</v>
      </c>
      <c r="J77" s="877"/>
      <c r="K77" s="877"/>
      <c r="L77" s="877"/>
      <c r="M77" s="877"/>
      <c r="N77" s="877"/>
      <c r="O77" s="877"/>
      <c r="P77" s="877"/>
      <c r="Q77" s="877"/>
      <c r="R77" s="877"/>
      <c r="S77" s="877"/>
      <c r="T77" s="877"/>
      <c r="U77" s="877"/>
      <c r="V77" s="877"/>
      <c r="W77" s="877"/>
      <c r="X77" s="877"/>
      <c r="AA77" s="492" t="s">
        <v>1501</v>
      </c>
    </row>
    <row r="78" spans="2:27" x14ac:dyDescent="0.25">
      <c r="B78" s="63"/>
      <c r="C78" s="824"/>
      <c r="D78" s="824"/>
      <c r="E78" s="824"/>
      <c r="F78" s="824"/>
      <c r="G78" s="66"/>
      <c r="I78" s="877"/>
      <c r="J78" s="877"/>
      <c r="K78" s="877"/>
      <c r="L78" s="877"/>
      <c r="M78" s="877"/>
      <c r="N78" s="877"/>
      <c r="O78" s="877"/>
      <c r="P78" s="877"/>
      <c r="Q78" s="877"/>
      <c r="R78" s="877"/>
      <c r="S78" s="877"/>
      <c r="T78" s="877"/>
      <c r="U78" s="877"/>
      <c r="V78" s="877"/>
      <c r="W78" s="877"/>
      <c r="X78" s="877"/>
      <c r="AA78" s="418" t="s">
        <v>1502</v>
      </c>
    </row>
    <row r="79" spans="2:27" x14ac:dyDescent="0.25">
      <c r="B79" s="63" t="s">
        <v>1624</v>
      </c>
      <c r="C79" s="824"/>
      <c r="D79" s="827"/>
      <c r="E79" s="824"/>
      <c r="F79" s="824"/>
      <c r="G79" s="66"/>
      <c r="I79" s="877"/>
      <c r="J79" s="877"/>
      <c r="K79" s="877"/>
      <c r="L79" s="877"/>
      <c r="M79" s="877"/>
      <c r="N79" s="877"/>
      <c r="O79" s="877"/>
      <c r="P79" s="877"/>
      <c r="Q79" s="877"/>
      <c r="R79" s="877"/>
      <c r="S79" s="877"/>
      <c r="T79" s="877"/>
      <c r="U79" s="877"/>
      <c r="V79" s="877"/>
      <c r="W79" s="877"/>
      <c r="X79" s="877"/>
      <c r="AA79" s="418" t="s">
        <v>1503</v>
      </c>
    </row>
    <row r="80" spans="2:27" x14ac:dyDescent="0.25">
      <c r="B80" s="63" t="s">
        <v>1713</v>
      </c>
      <c r="C80" s="824"/>
      <c r="D80" s="844">
        <f>F77-D79</f>
        <v>0</v>
      </c>
      <c r="E80" s="824"/>
      <c r="F80" s="824"/>
      <c r="G80" s="66"/>
      <c r="AA80" s="418" t="s">
        <v>1648</v>
      </c>
    </row>
    <row r="81" spans="2:11" x14ac:dyDescent="0.25">
      <c r="B81" s="63"/>
      <c r="C81" s="824"/>
      <c r="D81" s="824"/>
      <c r="E81" s="824"/>
      <c r="F81" s="824"/>
      <c r="G81" s="66"/>
    </row>
    <row r="82" spans="2:11" x14ac:dyDescent="0.25">
      <c r="B82" s="63" t="s">
        <v>1500</v>
      </c>
      <c r="C82" s="824"/>
      <c r="D82" s="845">
        <f>F77+F75</f>
        <v>0</v>
      </c>
      <c r="E82" s="824"/>
      <c r="F82" s="824"/>
      <c r="G82" s="66"/>
    </row>
    <row r="83" spans="2:11" x14ac:dyDescent="0.25">
      <c r="B83" s="63" t="s">
        <v>1505</v>
      </c>
      <c r="C83" s="824"/>
      <c r="D83" s="799"/>
      <c r="E83" s="824"/>
      <c r="F83" s="824"/>
      <c r="G83" s="66"/>
    </row>
    <row r="84" spans="2:11" x14ac:dyDescent="0.25">
      <c r="B84" s="63"/>
      <c r="C84" s="824"/>
      <c r="D84" s="824"/>
      <c r="E84" s="824"/>
      <c r="F84" s="824"/>
      <c r="G84" s="66"/>
    </row>
    <row r="85" spans="2:11" x14ac:dyDescent="0.25">
      <c r="B85" s="63" t="s">
        <v>1494</v>
      </c>
      <c r="C85" s="824"/>
      <c r="D85" s="823">
        <f>D82-D83</f>
        <v>0</v>
      </c>
      <c r="E85" s="824"/>
      <c r="F85" s="824"/>
      <c r="G85" s="66"/>
      <c r="I85" s="418" t="s">
        <v>1975</v>
      </c>
    </row>
    <row r="86" spans="2:11" x14ac:dyDescent="0.25">
      <c r="B86" s="63"/>
      <c r="C86" s="824"/>
      <c r="D86" s="824"/>
      <c r="E86" s="824"/>
      <c r="F86" s="824"/>
      <c r="G86" s="66"/>
      <c r="K86" s="418"/>
    </row>
    <row r="87" spans="2:11" x14ac:dyDescent="0.25">
      <c r="B87" s="63"/>
      <c r="C87" s="824"/>
      <c r="D87" s="824"/>
      <c r="E87" s="824"/>
      <c r="F87" s="824"/>
      <c r="G87" s="66"/>
      <c r="I87" s="418"/>
    </row>
    <row r="88" spans="2:11" x14ac:dyDescent="0.25">
      <c r="B88" s="47" t="str">
        <f>IF(D85&lt;0,"DR DTL/DTA","CR DTL/DTA")</f>
        <v>CR DTL/DTA</v>
      </c>
      <c r="C88" s="824">
        <f>IF(D85&lt;0,-D85,0)</f>
        <v>0</v>
      </c>
      <c r="D88" s="824">
        <f>IF(D85&gt;0,D85,0)</f>
        <v>0</v>
      </c>
      <c r="E88" s="824"/>
      <c r="F88" s="824"/>
      <c r="G88" s="66"/>
      <c r="I88" s="418"/>
    </row>
    <row r="89" spans="2:11" x14ac:dyDescent="0.25">
      <c r="B89" s="47" t="str">
        <f>IF((F77-D79)&lt;0,"CR Revaluation surplus","DR Revaluation surplus")</f>
        <v>DR Revaluation surplus</v>
      </c>
      <c r="C89" s="824">
        <f>IF((F77-D79)&lt;0,0,F77-D79)</f>
        <v>0</v>
      </c>
      <c r="D89" s="824">
        <f>IF((F77-D79)&gt;0,0,-(F77-D79))</f>
        <v>0</v>
      </c>
      <c r="E89" s="824"/>
      <c r="F89" s="824"/>
      <c r="G89" s="66"/>
      <c r="I89" s="418"/>
    </row>
    <row r="90" spans="2:11" x14ac:dyDescent="0.25">
      <c r="B90" s="47" t="s">
        <v>1813</v>
      </c>
      <c r="C90" s="827">
        <f>IF(D85&gt;0,D88+D89-C89-C88,0)</f>
        <v>0</v>
      </c>
      <c r="D90" s="827">
        <f>IF(D85&lt;0,C88+C89-D88-D89,0)</f>
        <v>0</v>
      </c>
      <c r="E90" s="824"/>
      <c r="F90" s="824"/>
      <c r="G90" s="66"/>
      <c r="I90" s="418" t="s">
        <v>1714</v>
      </c>
    </row>
    <row r="91" spans="2:11" ht="15.75" thickBot="1" x14ac:dyDescent="0.3">
      <c r="B91" s="70"/>
      <c r="C91" s="71"/>
      <c r="D91" s="71"/>
      <c r="E91" s="71"/>
      <c r="F91" s="71"/>
      <c r="G91" s="80"/>
    </row>
  </sheetData>
  <mergeCells count="4">
    <mergeCell ref="I61:X64"/>
    <mergeCell ref="I65:X67"/>
    <mergeCell ref="I77:X79"/>
    <mergeCell ref="I74:X76"/>
  </mergeCells>
  <phoneticPr fontId="3" type="noConversion"/>
  <hyperlinks>
    <hyperlink ref="A1" location="Main!A1" display="Main" xr:uid="{B0118D68-E270-40BA-91F3-0D5EF2A73CF1}"/>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A1:N55"/>
  <sheetViews>
    <sheetView zoomScale="85" zoomScaleNormal="85" workbookViewId="0"/>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1:14" x14ac:dyDescent="0.25">
      <c r="A1" s="161" t="s">
        <v>1984</v>
      </c>
    </row>
    <row r="2" spans="1:14" x14ac:dyDescent="0.25">
      <c r="F2" s="418" t="s">
        <v>886</v>
      </c>
    </row>
    <row r="3" spans="1:14" x14ac:dyDescent="0.25">
      <c r="B3" s="1" t="s">
        <v>426</v>
      </c>
      <c r="C3" s="16" t="s">
        <v>427</v>
      </c>
      <c r="D3" s="16" t="s">
        <v>428</v>
      </c>
      <c r="E3" s="16" t="s">
        <v>431</v>
      </c>
      <c r="F3" s="16" t="s">
        <v>432</v>
      </c>
      <c r="G3" s="16" t="s">
        <v>429</v>
      </c>
      <c r="H3" s="16" t="s">
        <v>443</v>
      </c>
      <c r="I3" s="16" t="s">
        <v>450</v>
      </c>
      <c r="J3" s="16" t="s">
        <v>430</v>
      </c>
      <c r="L3" s="180" t="s">
        <v>435</v>
      </c>
      <c r="M3" s="16" t="s">
        <v>457</v>
      </c>
      <c r="N3" s="16" t="s">
        <v>459</v>
      </c>
    </row>
    <row r="4" spans="1:14" x14ac:dyDescent="0.25">
      <c r="C4" s="15" t="s">
        <v>141</v>
      </c>
      <c r="D4" s="15" t="s">
        <v>141</v>
      </c>
      <c r="E4" s="15" t="s">
        <v>141</v>
      </c>
      <c r="F4" s="15" t="s">
        <v>141</v>
      </c>
      <c r="G4" s="15" t="s">
        <v>141</v>
      </c>
      <c r="H4" s="15" t="s">
        <v>141</v>
      </c>
      <c r="I4" s="15" t="s">
        <v>141</v>
      </c>
      <c r="J4" s="15" t="s">
        <v>141</v>
      </c>
      <c r="L4" s="15" t="s">
        <v>141</v>
      </c>
      <c r="M4" s="15" t="s">
        <v>141</v>
      </c>
      <c r="N4" s="15" t="s">
        <v>141</v>
      </c>
    </row>
    <row r="5" spans="1:14" x14ac:dyDescent="0.25">
      <c r="B5" s="749" t="s">
        <v>1966</v>
      </c>
      <c r="C5" s="751">
        <v>0</v>
      </c>
      <c r="D5" s="751"/>
      <c r="E5" s="751">
        <v>0</v>
      </c>
      <c r="F5" s="751">
        <v>19</v>
      </c>
      <c r="G5" s="14">
        <v>42</v>
      </c>
      <c r="H5" s="14">
        <v>0</v>
      </c>
      <c r="I5" s="750">
        <v>45</v>
      </c>
      <c r="J5" s="12">
        <f>SUM(C5:I5)</f>
        <v>106</v>
      </c>
      <c r="K5" s="418"/>
      <c r="L5" s="3"/>
      <c r="M5" s="751"/>
      <c r="N5" s="14">
        <v>0</v>
      </c>
    </row>
    <row r="6" spans="1:14" x14ac:dyDescent="0.25">
      <c r="B6" s="749" t="s">
        <v>1967</v>
      </c>
      <c r="C6" s="751">
        <v>135</v>
      </c>
      <c r="D6" s="751"/>
      <c r="E6" s="751">
        <v>24</v>
      </c>
      <c r="F6" s="751">
        <v>11</v>
      </c>
      <c r="G6" s="14"/>
      <c r="H6" s="14">
        <v>12</v>
      </c>
      <c r="I6" s="750">
        <v>60</v>
      </c>
      <c r="J6" s="12">
        <f>SUM(C6:I6)</f>
        <v>242</v>
      </c>
      <c r="K6" s="418"/>
      <c r="L6" s="3"/>
      <c r="M6" s="751">
        <v>15</v>
      </c>
      <c r="N6" s="3"/>
    </row>
    <row r="7" spans="1:14" x14ac:dyDescent="0.25">
      <c r="B7" s="749" t="s">
        <v>1968</v>
      </c>
      <c r="C7" s="751">
        <v>114</v>
      </c>
      <c r="D7" s="751"/>
      <c r="E7" s="751">
        <v>23</v>
      </c>
      <c r="F7" s="751">
        <v>12</v>
      </c>
      <c r="G7" s="14"/>
      <c r="H7" s="14">
        <v>10</v>
      </c>
      <c r="I7" s="750">
        <v>90</v>
      </c>
      <c r="J7" s="12">
        <f>SUM(C7:I7)</f>
        <v>249</v>
      </c>
      <c r="K7" s="418" t="s">
        <v>439</v>
      </c>
      <c r="L7" s="27"/>
      <c r="M7" s="751">
        <v>24</v>
      </c>
      <c r="N7" s="3"/>
    </row>
    <row r="8" spans="1:14" x14ac:dyDescent="0.25">
      <c r="B8" s="749" t="s">
        <v>1969</v>
      </c>
      <c r="C8" s="751">
        <v>45</v>
      </c>
      <c r="D8" s="751"/>
      <c r="E8" s="751">
        <v>8</v>
      </c>
      <c r="F8" s="751">
        <v>3</v>
      </c>
      <c r="G8" s="14"/>
      <c r="H8" s="14">
        <v>4</v>
      </c>
      <c r="I8" s="750">
        <v>0</v>
      </c>
      <c r="J8" s="12">
        <f t="shared" ref="J8:J9" si="0">SUM(C8:I8)</f>
        <v>60</v>
      </c>
      <c r="K8" s="418"/>
      <c r="L8" s="27">
        <f>19+10</f>
        <v>29</v>
      </c>
      <c r="M8" s="751">
        <v>9</v>
      </c>
      <c r="N8" s="3"/>
    </row>
    <row r="9" spans="1:14" x14ac:dyDescent="0.25">
      <c r="B9" s="749"/>
      <c r="C9" s="751"/>
      <c r="D9" s="751"/>
      <c r="E9" s="751"/>
      <c r="F9" s="751"/>
      <c r="G9" s="751"/>
      <c r="H9" s="14"/>
      <c r="I9" s="750"/>
      <c r="J9" s="12">
        <f t="shared" si="0"/>
        <v>0</v>
      </c>
      <c r="K9" s="418"/>
      <c r="L9" s="27"/>
      <c r="M9" s="751"/>
      <c r="N9" s="3"/>
    </row>
    <row r="10" spans="1:14" x14ac:dyDescent="0.25">
      <c r="B10" s="749"/>
      <c r="C10" s="751"/>
      <c r="D10" s="751"/>
      <c r="E10" s="751"/>
      <c r="F10" s="751"/>
      <c r="G10" s="751"/>
      <c r="H10" s="14"/>
      <c r="I10" s="750"/>
      <c r="J10" s="12">
        <f>SUM(C10:I10)</f>
        <v>0</v>
      </c>
      <c r="K10" s="418"/>
      <c r="L10" s="3"/>
      <c r="M10" s="751"/>
      <c r="N10" s="3"/>
    </row>
    <row r="11" spans="1:14" x14ac:dyDescent="0.25">
      <c r="B11" s="749"/>
      <c r="C11" s="751"/>
      <c r="D11" s="751"/>
      <c r="E11" s="751"/>
      <c r="F11" s="751"/>
      <c r="G11" s="14"/>
      <c r="H11" s="14"/>
      <c r="I11" s="750"/>
      <c r="J11" s="12">
        <f>SUM(C11:I11)</f>
        <v>0</v>
      </c>
      <c r="K11" s="418"/>
      <c r="L11" s="3"/>
      <c r="M11" s="751"/>
      <c r="N11" s="3"/>
    </row>
    <row r="12" spans="1:14" x14ac:dyDescent="0.25">
      <c r="C12" s="11">
        <f t="shared" ref="C12:I12" si="1">SUM(C5:C11)</f>
        <v>294</v>
      </c>
      <c r="D12" s="11">
        <f t="shared" si="1"/>
        <v>0</v>
      </c>
      <c r="E12" s="11">
        <f t="shared" si="1"/>
        <v>55</v>
      </c>
      <c r="F12" s="11">
        <f t="shared" si="1"/>
        <v>45</v>
      </c>
      <c r="G12" s="11">
        <f t="shared" si="1"/>
        <v>42</v>
      </c>
      <c r="H12" s="11">
        <f>SUM(H5:H11)</f>
        <v>26</v>
      </c>
      <c r="I12" s="11">
        <f t="shared" si="1"/>
        <v>195</v>
      </c>
      <c r="J12" s="12">
        <f>SUM(J5:J11)</f>
        <v>657</v>
      </c>
      <c r="L12" s="11">
        <f>SUM(L5:L10)</f>
        <v>29</v>
      </c>
      <c r="M12" s="11">
        <f>SUM(M5:M11)</f>
        <v>48</v>
      </c>
      <c r="N12" s="11">
        <f>SUM(N5:N10)</f>
        <v>0</v>
      </c>
    </row>
    <row r="14" spans="1:14" ht="15.75" thickBot="1" x14ac:dyDescent="0.3">
      <c r="M14" s="418" t="s">
        <v>1832</v>
      </c>
    </row>
    <row r="15" spans="1:14" x14ac:dyDescent="0.25">
      <c r="B15" s="60" t="s">
        <v>456</v>
      </c>
      <c r="C15" s="61"/>
      <c r="D15" s="62"/>
      <c r="G15" s="195"/>
    </row>
    <row r="16" spans="1:14" x14ac:dyDescent="0.25">
      <c r="B16" s="78" t="s">
        <v>448</v>
      </c>
      <c r="C16" s="64"/>
      <c r="D16" s="66"/>
    </row>
    <row r="17" spans="2:12" x14ac:dyDescent="0.25">
      <c r="B17" s="63" t="s">
        <v>427</v>
      </c>
      <c r="C17" s="64"/>
      <c r="D17" s="69">
        <f>C12</f>
        <v>294</v>
      </c>
    </row>
    <row r="18" spans="2:12" x14ac:dyDescent="0.25">
      <c r="B18" s="63" t="s">
        <v>428</v>
      </c>
      <c r="C18" s="64"/>
      <c r="D18" s="69">
        <f>D12</f>
        <v>0</v>
      </c>
    </row>
    <row r="19" spans="2:12" ht="15.75" thickBot="1" x14ac:dyDescent="0.3">
      <c r="B19" s="63" t="s">
        <v>436</v>
      </c>
      <c r="C19" s="64"/>
      <c r="D19" s="69">
        <f>E12</f>
        <v>55</v>
      </c>
    </row>
    <row r="20" spans="2:12" x14ac:dyDescent="0.25">
      <c r="B20" s="63" t="s">
        <v>432</v>
      </c>
      <c r="C20" s="64"/>
      <c r="D20" s="69">
        <f>F12</f>
        <v>45</v>
      </c>
      <c r="F20" s="60" t="s">
        <v>452</v>
      </c>
      <c r="G20" s="61"/>
      <c r="H20" s="61"/>
      <c r="I20" s="61"/>
      <c r="J20" s="62"/>
      <c r="L20" s="492" t="s">
        <v>1831</v>
      </c>
    </row>
    <row r="21" spans="2:12" x14ac:dyDescent="0.25">
      <c r="B21" s="47" t="s">
        <v>434</v>
      </c>
      <c r="C21" s="64"/>
      <c r="D21" s="69">
        <f>+G12</f>
        <v>42</v>
      </c>
      <c r="F21" s="63"/>
      <c r="G21" s="64"/>
      <c r="H21" s="64"/>
      <c r="I21" s="64"/>
      <c r="J21" s="66"/>
    </row>
    <row r="22" spans="2:12" ht="15.75" thickBot="1" x14ac:dyDescent="0.3">
      <c r="B22" s="63"/>
      <c r="C22" s="64"/>
      <c r="D22" s="182">
        <f>SUM(D17:D21)</f>
        <v>436</v>
      </c>
      <c r="F22" s="63"/>
      <c r="G22" s="17">
        <f>D22+H12+I12</f>
        <v>657</v>
      </c>
      <c r="H22" s="64" t="s">
        <v>453</v>
      </c>
      <c r="I22" s="64"/>
      <c r="J22" s="66"/>
    </row>
    <row r="23" spans="2:12" ht="16.5" thickTop="1" thickBot="1" x14ac:dyDescent="0.3">
      <c r="B23" s="63"/>
      <c r="C23" s="64"/>
      <c r="D23" s="66"/>
      <c r="F23" s="70"/>
      <c r="G23" s="71"/>
      <c r="H23" s="71"/>
      <c r="I23" s="71"/>
      <c r="J23" s="80"/>
    </row>
    <row r="24" spans="2:12" ht="15.75" thickBot="1" x14ac:dyDescent="0.3">
      <c r="B24" s="78" t="s">
        <v>438</v>
      </c>
      <c r="C24" s="64"/>
      <c r="D24" s="66"/>
    </row>
    <row r="25" spans="2:12" x14ac:dyDescent="0.25">
      <c r="B25" s="63" t="s">
        <v>427</v>
      </c>
      <c r="C25" s="64"/>
      <c r="D25" s="77">
        <f>SUMIF($K$5:$K$11,"Highest paid director",C5:C11)</f>
        <v>114</v>
      </c>
      <c r="F25" s="185" t="s">
        <v>437</v>
      </c>
      <c r="G25" s="61"/>
      <c r="H25" s="61"/>
      <c r="I25" s="61"/>
      <c r="J25" s="62"/>
    </row>
    <row r="26" spans="2:12" x14ac:dyDescent="0.25">
      <c r="B26" s="63" t="s">
        <v>428</v>
      </c>
      <c r="C26" s="64"/>
      <c r="D26" s="77">
        <f>SUMIF($K$5:$K$11,"Highest paid director",D5:D11)</f>
        <v>0</v>
      </c>
      <c r="F26" s="63" t="s">
        <v>454</v>
      </c>
      <c r="G26" s="64"/>
      <c r="H26" s="64"/>
      <c r="I26" s="646" t="str">
        <f>IF(G22&gt;200,"Yes","No")</f>
        <v>Yes</v>
      </c>
      <c r="J26" s="66"/>
    </row>
    <row r="27" spans="2:12" ht="15.75" thickBot="1" x14ac:dyDescent="0.3">
      <c r="B27" s="63" t="s">
        <v>436</v>
      </c>
      <c r="C27" s="64"/>
      <c r="D27" s="77">
        <f>SUMIF($K$5:$K$11,"Highest paid director",E5:E11)</f>
        <v>23</v>
      </c>
      <c r="F27" s="70" t="s">
        <v>416</v>
      </c>
      <c r="G27" s="71"/>
      <c r="H27" s="71"/>
      <c r="I27" s="186" t="str">
        <f>IF(I26="Yes","Disclose Highest Paid Director","Do not disclose highest  paid director")</f>
        <v>Disclose Highest Paid Director</v>
      </c>
      <c r="J27" s="80"/>
    </row>
    <row r="28" spans="2:12" x14ac:dyDescent="0.25">
      <c r="B28" s="63" t="s">
        <v>432</v>
      </c>
      <c r="C28" s="64"/>
      <c r="D28" s="77">
        <f>SUMIF($K$5:$K$11,"Highest paid director",F5:F11)</f>
        <v>12</v>
      </c>
    </row>
    <row r="29" spans="2:12" x14ac:dyDescent="0.25">
      <c r="B29" s="183" t="s">
        <v>449</v>
      </c>
      <c r="C29" s="64"/>
      <c r="D29" s="77">
        <f>SUMIF($K$5:$K$11,"Highest paid director",I5:I11)</f>
        <v>90</v>
      </c>
    </row>
    <row r="30" spans="2:12" x14ac:dyDescent="0.25">
      <c r="B30" s="63" t="s">
        <v>444</v>
      </c>
      <c r="C30" s="64"/>
      <c r="D30" s="77">
        <f>SUMIF($K$5:$K$11,"Highest paid director",H5:H11)</f>
        <v>10</v>
      </c>
    </row>
    <row r="31" spans="2:12" x14ac:dyDescent="0.25">
      <c r="B31" s="47" t="s">
        <v>440</v>
      </c>
      <c r="C31" s="64"/>
      <c r="D31" s="77">
        <f>SUMIF($K$5:$K$11,"Highest paid director",G5:G11)</f>
        <v>0</v>
      </c>
    </row>
    <row r="32" spans="2:12" ht="15.75" thickBot="1" x14ac:dyDescent="0.3">
      <c r="B32" s="177" t="s">
        <v>448</v>
      </c>
      <c r="C32" s="71"/>
      <c r="D32" s="184">
        <f>SUM(D25:D31)</f>
        <v>249</v>
      </c>
    </row>
    <row r="33" spans="2:6" ht="15.75" thickBot="1" x14ac:dyDescent="0.3"/>
    <row r="34" spans="2:6" x14ac:dyDescent="0.25">
      <c r="B34" s="73" t="s">
        <v>441</v>
      </c>
      <c r="C34" s="61"/>
      <c r="D34" s="61"/>
      <c r="E34" s="62"/>
    </row>
    <row r="35" spans="2:6" x14ac:dyDescent="0.25">
      <c r="B35" s="63" t="s">
        <v>451</v>
      </c>
      <c r="C35" s="64"/>
      <c r="D35" s="64"/>
      <c r="E35" s="66"/>
    </row>
    <row r="36" spans="2:6" x14ac:dyDescent="0.25">
      <c r="B36" s="63" t="s">
        <v>433</v>
      </c>
      <c r="C36" s="64"/>
      <c r="D36" s="17">
        <f>D22</f>
        <v>436</v>
      </c>
      <c r="E36" s="66"/>
    </row>
    <row r="37" spans="2:6" x14ac:dyDescent="0.25">
      <c r="B37" s="63" t="s">
        <v>442</v>
      </c>
      <c r="C37" s="64"/>
      <c r="D37" s="17">
        <f>H12</f>
        <v>26</v>
      </c>
      <c r="E37" s="66"/>
    </row>
    <row r="38" spans="2:6" x14ac:dyDescent="0.25">
      <c r="B38" s="63" t="s">
        <v>445</v>
      </c>
      <c r="C38" s="64"/>
      <c r="D38" s="17">
        <f>M12</f>
        <v>48</v>
      </c>
      <c r="E38" s="66"/>
      <c r="F38" s="418" t="s">
        <v>458</v>
      </c>
    </row>
    <row r="39" spans="2:6" ht="15.75" thickBot="1" x14ac:dyDescent="0.3">
      <c r="B39" s="78" t="s">
        <v>446</v>
      </c>
      <c r="C39" s="64"/>
      <c r="D39" s="92">
        <f>SUM(D36:D38)</f>
        <v>510</v>
      </c>
      <c r="E39" s="66"/>
    </row>
    <row r="40" spans="2:6" ht="15.75" thickTop="1" x14ac:dyDescent="0.25">
      <c r="B40" s="63"/>
      <c r="C40" s="64"/>
      <c r="D40" s="64"/>
      <c r="E40" s="66"/>
    </row>
    <row r="41" spans="2:6" x14ac:dyDescent="0.25">
      <c r="B41" s="183"/>
      <c r="C41" s="149"/>
      <c r="D41" s="167"/>
      <c r="E41" s="66"/>
    </row>
    <row r="42" spans="2:6" x14ac:dyDescent="0.25">
      <c r="B42" s="63" t="str">
        <f>COUNT(M5:M10)&amp;" directors are members of the defined contribution pension scheme"</f>
        <v>3 directors are members of the defined contribution pension scheme</v>
      </c>
      <c r="C42" s="64"/>
      <c r="D42" s="64"/>
      <c r="E42" s="66"/>
    </row>
    <row r="43" spans="2:6" x14ac:dyDescent="0.25">
      <c r="B43" s="63" t="str">
        <f>COUNT(N5:N11)&amp;" directors are members of the defined benefit pension scheme"</f>
        <v>1 directors are members of the defined benefit pension scheme</v>
      </c>
      <c r="C43" s="64"/>
      <c r="D43" s="64"/>
      <c r="E43" s="66"/>
    </row>
    <row r="44" spans="2:6" x14ac:dyDescent="0.25">
      <c r="B44" s="63"/>
      <c r="C44" s="64"/>
      <c r="D44" s="64"/>
      <c r="E44" s="66"/>
    </row>
    <row r="45" spans="2:6" x14ac:dyDescent="0.25">
      <c r="B45" s="63" t="s">
        <v>447</v>
      </c>
      <c r="C45" s="64"/>
      <c r="D45" s="64"/>
      <c r="E45" s="66"/>
    </row>
    <row r="46" spans="2:6" x14ac:dyDescent="0.25">
      <c r="B46" s="63" t="s">
        <v>448</v>
      </c>
      <c r="C46" s="64"/>
      <c r="D46" s="83">
        <f>D32</f>
        <v>249</v>
      </c>
      <c r="E46" s="66"/>
    </row>
    <row r="47" spans="2:6" x14ac:dyDescent="0.25">
      <c r="B47" s="63" t="s">
        <v>445</v>
      </c>
      <c r="C47" s="64"/>
      <c r="D47" s="83">
        <f>SUMIF(K5:K11,"Highest paid director",M5:M11)</f>
        <v>24</v>
      </c>
      <c r="E47" s="66"/>
    </row>
    <row r="48" spans="2:6" ht="15.75" thickBot="1" x14ac:dyDescent="0.3">
      <c r="B48" s="78" t="s">
        <v>455</v>
      </c>
      <c r="C48" s="64"/>
      <c r="D48" s="92">
        <f>SUM(D46:D47)</f>
        <v>273</v>
      </c>
      <c r="E48" s="66"/>
    </row>
    <row r="49" spans="2:5" ht="15.75" thickTop="1" x14ac:dyDescent="0.25">
      <c r="B49" s="78"/>
      <c r="C49" s="64"/>
      <c r="D49" s="17"/>
      <c r="E49" s="66"/>
    </row>
    <row r="50" spans="2:5" x14ac:dyDescent="0.25">
      <c r="B50" s="47" t="str">
        <f>COUNTIF(H5:H11,"&gt;0")&amp;" of the directors have share options accruing at the year end. The exercies date of these options is xx/xx/xx"</f>
        <v>3 of the directors have share options accruing at the year end. The exercies date of these options is xx/xx/xx</v>
      </c>
      <c r="C50" s="3"/>
      <c r="D50" s="3"/>
      <c r="E50" s="3"/>
    </row>
    <row r="51" spans="2:5" ht="15" customHeight="1" x14ac:dyDescent="0.25">
      <c r="B51" s="820" t="str">
        <f>"Compensation for loss of office of a director amounted to £"&amp;L12&amp;" which consisted of …"</f>
        <v>Compensation for loss of office of a director amounted to £29 which consisted of …</v>
      </c>
      <c r="C51" s="755"/>
      <c r="D51" s="755"/>
      <c r="E51" s="756"/>
    </row>
    <row r="52" spans="2:5" ht="13.5" customHeight="1" x14ac:dyDescent="0.25">
      <c r="B52" s="754"/>
      <c r="C52" s="755"/>
      <c r="D52" s="755"/>
      <c r="E52" s="756"/>
    </row>
    <row r="53" spans="2:5" s="181" customFormat="1" ht="15" customHeight="1" x14ac:dyDescent="0.25">
      <c r="B53" s="821" t="s">
        <v>885</v>
      </c>
      <c r="C53" s="752"/>
      <c r="D53" s="752"/>
      <c r="E53" s="753"/>
    </row>
    <row r="54" spans="2:5" x14ac:dyDescent="0.25">
      <c r="B54" s="47" t="s">
        <v>1833</v>
      </c>
      <c r="C54" s="48"/>
      <c r="D54" s="68"/>
      <c r="E54" s="98">
        <f>SUMIF(K5:K11,"Highest paid director",N5:N11)</f>
        <v>0</v>
      </c>
    </row>
    <row r="55" spans="2:5" ht="15.75" thickBot="1" x14ac:dyDescent="0.3">
      <c r="B55" s="70"/>
      <c r="C55" s="71"/>
      <c r="D55" s="71"/>
      <c r="E55" s="80"/>
    </row>
  </sheetData>
  <hyperlinks>
    <hyperlink ref="A1" location="Main!A1" display="Main" xr:uid="{473E34AA-9E6F-46F8-ABC5-82A91C0FB5F0}"/>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284B71-996A-4FE3-8251-0F45684C3D17}">
          <x14:formula1>
            <xm:f>Inputs!$B$17</xm:f>
          </x14:formula1>
          <xm:sqref>K5:K11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K185"/>
  <sheetViews>
    <sheetView zoomScale="90" zoomScaleNormal="90" zoomScaleSheetLayoutView="50" workbookViewId="0"/>
  </sheetViews>
  <sheetFormatPr defaultRowHeight="15" x14ac:dyDescent="0.25"/>
  <cols>
    <col min="2" max="2" width="7.7109375" style="1" customWidth="1"/>
    <col min="3" max="3" width="59" customWidth="1"/>
    <col min="4" max="4" width="26.28515625" customWidth="1"/>
    <col min="5" max="5" width="25.42578125" customWidth="1"/>
    <col min="6" max="6" width="34.85546875" customWidth="1"/>
    <col min="7" max="8" width="31.140625" customWidth="1"/>
    <col min="9" max="9" width="25.85546875" customWidth="1"/>
    <col min="10" max="10" width="10.5703125" bestFit="1" customWidth="1"/>
    <col min="11" max="11" width="20.42578125" bestFit="1" customWidth="1"/>
    <col min="12" max="13" width="13.140625" bestFit="1" customWidth="1"/>
  </cols>
  <sheetData>
    <row r="1" spans="1:10" ht="15.75" thickBot="1" x14ac:dyDescent="0.3">
      <c r="A1" s="161" t="s">
        <v>1984</v>
      </c>
      <c r="J1" s="492" t="s">
        <v>1378</v>
      </c>
    </row>
    <row r="2" spans="1:10" ht="15.75" thickBot="1" x14ac:dyDescent="0.3">
      <c r="B2" s="1">
        <v>1</v>
      </c>
      <c r="C2" s="155" t="s">
        <v>340</v>
      </c>
      <c r="D2" s="152"/>
      <c r="E2" s="152"/>
      <c r="F2" s="153"/>
      <c r="J2" s="418" t="s">
        <v>1882</v>
      </c>
    </row>
    <row r="3" spans="1:10" ht="15" customHeight="1" x14ac:dyDescent="0.25">
      <c r="C3" s="888" t="s">
        <v>587</v>
      </c>
      <c r="D3" s="889"/>
      <c r="E3" s="889"/>
      <c r="F3" s="890"/>
      <c r="J3" s="418" t="s">
        <v>1883</v>
      </c>
    </row>
    <row r="4" spans="1:10" ht="24.75" customHeight="1" x14ac:dyDescent="0.25">
      <c r="C4" s="891" t="s">
        <v>1893</v>
      </c>
      <c r="D4" s="892"/>
      <c r="E4" s="892"/>
      <c r="F4" s="893"/>
      <c r="J4" s="492" t="s">
        <v>1382</v>
      </c>
    </row>
    <row r="5" spans="1:10" ht="22.5" customHeight="1" x14ac:dyDescent="0.25">
      <c r="C5" s="894" t="s">
        <v>384</v>
      </c>
      <c r="D5" s="895"/>
      <c r="E5" s="895"/>
      <c r="F5" s="896"/>
      <c r="J5" s="418" t="s">
        <v>1885</v>
      </c>
    </row>
    <row r="6" spans="1:10" ht="25.5" customHeight="1" x14ac:dyDescent="0.25">
      <c r="C6" s="891" t="s">
        <v>1891</v>
      </c>
      <c r="D6" s="892"/>
      <c r="E6" s="892"/>
      <c r="F6" s="893"/>
      <c r="J6" s="418" t="s">
        <v>1380</v>
      </c>
    </row>
    <row r="7" spans="1:10" x14ac:dyDescent="0.25">
      <c r="C7" s="903" t="s">
        <v>385</v>
      </c>
      <c r="D7" s="904"/>
      <c r="E7" s="904"/>
      <c r="F7" s="905"/>
      <c r="J7" s="418" t="s">
        <v>1381</v>
      </c>
    </row>
    <row r="8" spans="1:10" ht="35.25" customHeight="1" x14ac:dyDescent="0.25">
      <c r="C8" s="897" t="s">
        <v>1892</v>
      </c>
      <c r="D8" s="898"/>
      <c r="E8" s="898"/>
      <c r="F8" s="899"/>
    </row>
    <row r="9" spans="1:10" x14ac:dyDescent="0.25">
      <c r="C9" s="903" t="s">
        <v>386</v>
      </c>
      <c r="D9" s="904"/>
      <c r="E9" s="904"/>
      <c r="F9" s="905"/>
      <c r="G9" s="900" t="s">
        <v>1880</v>
      </c>
      <c r="H9" s="877"/>
      <c r="I9" s="877"/>
    </row>
    <row r="10" spans="1:10" ht="29.25" customHeight="1" x14ac:dyDescent="0.25">
      <c r="C10" s="897" t="s">
        <v>1889</v>
      </c>
      <c r="D10" s="898"/>
      <c r="E10" s="898"/>
      <c r="F10" s="899"/>
      <c r="G10" s="900"/>
      <c r="H10" s="877"/>
      <c r="I10" s="877"/>
    </row>
    <row r="11" spans="1:10" x14ac:dyDescent="0.25">
      <c r="C11" s="903" t="s">
        <v>387</v>
      </c>
      <c r="D11" s="904"/>
      <c r="E11" s="904"/>
      <c r="F11" s="905"/>
      <c r="G11" s="901" t="s">
        <v>1881</v>
      </c>
      <c r="H11" s="902"/>
      <c r="I11" s="902"/>
    </row>
    <row r="12" spans="1:10" ht="36" customHeight="1" thickBot="1" x14ac:dyDescent="0.3">
      <c r="C12" s="912" t="s">
        <v>1890</v>
      </c>
      <c r="D12" s="913"/>
      <c r="E12" s="913"/>
      <c r="F12" s="914"/>
      <c r="G12" s="901"/>
      <c r="H12" s="902"/>
      <c r="I12" s="902"/>
    </row>
    <row r="13" spans="1:10" x14ac:dyDescent="0.25">
      <c r="C13" s="730" t="s">
        <v>1888</v>
      </c>
      <c r="D13" s="162"/>
      <c r="E13" s="162"/>
      <c r="F13" s="162"/>
    </row>
    <row r="14" spans="1:10" ht="15.75" thickBot="1" x14ac:dyDescent="0.3"/>
    <row r="15" spans="1:10" ht="15.75" thickBot="1" x14ac:dyDescent="0.3">
      <c r="B15" s="1">
        <v>2</v>
      </c>
      <c r="C15" s="155" t="s">
        <v>319</v>
      </c>
      <c r="D15" s="152"/>
      <c r="E15" s="152"/>
      <c r="F15" s="153"/>
      <c r="G15" t="s">
        <v>320</v>
      </c>
    </row>
    <row r="16" spans="1:10" x14ac:dyDescent="0.25">
      <c r="C16" s="906" t="s">
        <v>1756</v>
      </c>
      <c r="D16" s="907"/>
      <c r="E16" s="907"/>
      <c r="F16" s="908"/>
    </row>
    <row r="17" spans="2:11" ht="15.75" thickBot="1" x14ac:dyDescent="0.3">
      <c r="C17" s="909"/>
      <c r="D17" s="910"/>
      <c r="E17" s="910"/>
      <c r="F17" s="911"/>
    </row>
    <row r="18" spans="2:11" ht="15.75" thickBot="1" x14ac:dyDescent="0.3">
      <c r="I18" s="418" t="s">
        <v>1884</v>
      </c>
    </row>
    <row r="19" spans="2:11" ht="15.75" thickBot="1" x14ac:dyDescent="0.3">
      <c r="B19" s="1">
        <v>3</v>
      </c>
      <c r="C19" s="155" t="s">
        <v>339</v>
      </c>
      <c r="D19" s="152"/>
      <c r="E19" s="153"/>
      <c r="I19" s="155" t="s">
        <v>393</v>
      </c>
      <c r="J19" s="171"/>
      <c r="K19" s="153"/>
    </row>
    <row r="20" spans="2:11" x14ac:dyDescent="0.25">
      <c r="C20" s="60"/>
      <c r="D20" s="61"/>
      <c r="E20" s="62" t="s">
        <v>141</v>
      </c>
      <c r="F20" s="418" t="s">
        <v>1901</v>
      </c>
      <c r="G20" s="8"/>
      <c r="H20" s="8"/>
      <c r="I20" s="170" t="s">
        <v>394</v>
      </c>
      <c r="J20" s="172"/>
      <c r="K20" s="62" t="s">
        <v>395</v>
      </c>
    </row>
    <row r="21" spans="2:11" x14ac:dyDescent="0.25">
      <c r="C21" s="63" t="s">
        <v>322</v>
      </c>
      <c r="D21" s="64"/>
      <c r="E21" s="76"/>
      <c r="F21" s="418" t="s">
        <v>923</v>
      </c>
      <c r="G21" s="8"/>
      <c r="H21" s="8"/>
      <c r="I21" s="731">
        <v>0.5</v>
      </c>
      <c r="J21" s="68">
        <f>9900*9-4.5*100</f>
        <v>88650</v>
      </c>
      <c r="K21" s="77">
        <f>I21*J21</f>
        <v>44325</v>
      </c>
    </row>
    <row r="22" spans="2:11" x14ac:dyDescent="0.25">
      <c r="C22" s="63" t="s">
        <v>323</v>
      </c>
      <c r="D22" s="64"/>
      <c r="E22" s="76"/>
      <c r="F22" s="418" t="s">
        <v>1704</v>
      </c>
      <c r="G22" s="8"/>
      <c r="H22" s="8"/>
      <c r="I22" s="731">
        <v>0.35</v>
      </c>
      <c r="J22" s="68">
        <f>9800*9-4.5*200</f>
        <v>87300</v>
      </c>
      <c r="K22" s="77">
        <f>I22*J22</f>
        <v>30554.999999999996</v>
      </c>
    </row>
    <row r="23" spans="2:11" ht="15.75" thickBot="1" x14ac:dyDescent="0.3">
      <c r="C23" s="63" t="s">
        <v>321</v>
      </c>
      <c r="D23" s="64"/>
      <c r="E23" s="77">
        <f>SUM(E21:E22)</f>
        <v>0</v>
      </c>
      <c r="F23" s="418" t="s">
        <v>924</v>
      </c>
      <c r="I23" s="732">
        <v>0.15</v>
      </c>
      <c r="J23" s="733">
        <f>9700*9-4.5*300</f>
        <v>85950</v>
      </c>
      <c r="K23" s="97">
        <f>I23*J23</f>
        <v>12892.5</v>
      </c>
    </row>
    <row r="24" spans="2:11" x14ac:dyDescent="0.25">
      <c r="C24" s="63"/>
      <c r="D24" s="64"/>
      <c r="E24" s="77"/>
      <c r="F24" s="418" t="s">
        <v>1595</v>
      </c>
      <c r="K24" s="189">
        <f>SUM(K21:K23)</f>
        <v>87772.5</v>
      </c>
    </row>
    <row r="25" spans="2:11" ht="15.75" thickBot="1" x14ac:dyDescent="0.3">
      <c r="C25" s="70" t="s">
        <v>248</v>
      </c>
      <c r="D25" s="71"/>
      <c r="E25" s="651"/>
    </row>
    <row r="26" spans="2:11" ht="15.75" thickBot="1" x14ac:dyDescent="0.3">
      <c r="C26" s="64"/>
      <c r="D26" s="64"/>
    </row>
    <row r="27" spans="2:11" ht="15.75" thickBot="1" x14ac:dyDescent="0.3">
      <c r="B27" s="1">
        <v>4</v>
      </c>
      <c r="C27" s="155" t="s">
        <v>1860</v>
      </c>
      <c r="D27" s="152"/>
      <c r="E27" s="153"/>
    </row>
    <row r="28" spans="2:11" x14ac:dyDescent="0.25">
      <c r="C28" s="727" t="str">
        <f>"The transaction price of £"&amp;E23&amp;" is allocated in its entirety to the single performance obligation, being…"</f>
        <v>The transaction price of £0 is allocated in its entirety to the single performance obligation, being…</v>
      </c>
      <c r="D28" s="61"/>
      <c r="E28" s="62"/>
      <c r="I28" s="418" t="s">
        <v>1757</v>
      </c>
    </row>
    <row r="29" spans="2:11" x14ac:dyDescent="0.25">
      <c r="C29" s="63"/>
      <c r="D29" s="64"/>
      <c r="E29" s="66"/>
    </row>
    <row r="30" spans="2:11" x14ac:dyDescent="0.25">
      <c r="C30" s="63"/>
      <c r="D30" s="64"/>
      <c r="E30" s="66"/>
    </row>
    <row r="31" spans="2:11" ht="15.75" thickBot="1" x14ac:dyDescent="0.3">
      <c r="C31" s="70"/>
      <c r="D31" s="71"/>
      <c r="E31" s="80"/>
    </row>
    <row r="32" spans="2:11" ht="15.75" thickBot="1" x14ac:dyDescent="0.3"/>
    <row r="33" spans="2:9" ht="15.75" thickBot="1" x14ac:dyDescent="0.3">
      <c r="B33" s="1">
        <v>5</v>
      </c>
      <c r="C33" s="155" t="s">
        <v>341</v>
      </c>
      <c r="D33" s="152"/>
      <c r="E33" s="153"/>
    </row>
    <row r="34" spans="2:9" x14ac:dyDescent="0.25">
      <c r="C34" s="60"/>
      <c r="D34" s="61"/>
      <c r="E34" s="62"/>
    </row>
    <row r="35" spans="2:9" x14ac:dyDescent="0.25">
      <c r="C35" s="63" t="s">
        <v>368</v>
      </c>
      <c r="D35" s="48"/>
      <c r="E35" s="66"/>
      <c r="G35" s="418" t="s">
        <v>1596</v>
      </c>
      <c r="H35" s="418"/>
    </row>
    <row r="36" spans="2:9" x14ac:dyDescent="0.25">
      <c r="C36" s="63"/>
      <c r="D36" s="64"/>
      <c r="E36" s="66"/>
      <c r="G36" s="418" t="s">
        <v>1597</v>
      </c>
      <c r="H36" s="418"/>
    </row>
    <row r="37" spans="2:9" x14ac:dyDescent="0.25">
      <c r="C37" s="121" t="str">
        <f>IF(D35="Recognised at a point in time","Date"," ")</f>
        <v xml:space="preserve"> </v>
      </c>
      <c r="D37" s="64"/>
      <c r="E37" s="69" t="str">
        <f>IF(D35="Recognised at a point in time","Revenue recognised"," ")</f>
        <v xml:space="preserve"> </v>
      </c>
      <c r="G37" s="418" t="s">
        <v>1598</v>
      </c>
      <c r="H37" s="418"/>
    </row>
    <row r="38" spans="2:9" x14ac:dyDescent="0.25">
      <c r="C38" s="169">
        <v>44012</v>
      </c>
      <c r="D38" s="64"/>
      <c r="E38" s="69">
        <f>IF(D35="Recognised at a point in time",E23*E25,0)</f>
        <v>0</v>
      </c>
      <c r="G38" s="418" t="s">
        <v>1599</v>
      </c>
      <c r="H38" s="418"/>
    </row>
    <row r="39" spans="2:9" x14ac:dyDescent="0.25">
      <c r="C39" s="163"/>
      <c r="D39" s="64"/>
      <c r="E39" s="66"/>
    </row>
    <row r="40" spans="2:9" x14ac:dyDescent="0.25">
      <c r="C40" s="163" t="s">
        <v>365</v>
      </c>
      <c r="D40" s="64"/>
      <c r="E40" s="66"/>
      <c r="G40" s="418" t="str">
        <f>"The expected value of revenue to recognise is estimated using stage of completion, which is calculated on "&amp;E41&amp;" to date as a proportion of the estimated total"</f>
        <v>The expected value of revenue to recognise is estimated using stage of completion, which is calculated on  to date as a proportion of the estimated total</v>
      </c>
      <c r="H40" s="418"/>
    </row>
    <row r="41" spans="2:9" x14ac:dyDescent="0.25">
      <c r="C41" s="163" t="s">
        <v>1687</v>
      </c>
      <c r="D41" s="64"/>
      <c r="E41" s="164"/>
      <c r="G41" s="418" t="s">
        <v>926</v>
      </c>
      <c r="H41" s="418"/>
    </row>
    <row r="42" spans="2:9" x14ac:dyDescent="0.25">
      <c r="C42" s="163" t="str">
        <f>E41&amp;" to date"</f>
        <v xml:space="preserve"> to date</v>
      </c>
      <c r="D42" s="64"/>
      <c r="E42" s="76"/>
      <c r="G42" s="11"/>
      <c r="H42" s="11"/>
      <c r="I42" s="10"/>
    </row>
    <row r="43" spans="2:9" x14ac:dyDescent="0.25">
      <c r="C43" s="163" t="s">
        <v>366</v>
      </c>
      <c r="D43" s="64"/>
      <c r="E43" s="76"/>
      <c r="G43" s="735" t="s">
        <v>1903</v>
      </c>
      <c r="H43" s="11"/>
      <c r="I43" s="10"/>
    </row>
    <row r="44" spans="2:9" x14ac:dyDescent="0.25">
      <c r="C44" s="163" t="s">
        <v>367</v>
      </c>
      <c r="D44" s="64"/>
      <c r="E44" s="69">
        <f>IF(D35="Recognised over time",E42/E43,0)</f>
        <v>0</v>
      </c>
      <c r="F44" t="str">
        <f>"(="&amp;E42&amp;"/"&amp;E43&amp;")"</f>
        <v>(=/)</v>
      </c>
    </row>
    <row r="45" spans="2:9" x14ac:dyDescent="0.25">
      <c r="C45" s="163"/>
      <c r="D45" s="64"/>
      <c r="E45" s="66"/>
    </row>
    <row r="46" spans="2:9" ht="15.75" thickBot="1" x14ac:dyDescent="0.3">
      <c r="C46" s="165" t="s">
        <v>342</v>
      </c>
      <c r="D46" s="71"/>
      <c r="E46" s="108">
        <f>E44*E23*E25</f>
        <v>0</v>
      </c>
    </row>
    <row r="47" spans="2:9" x14ac:dyDescent="0.25">
      <c r="C47" s="41"/>
      <c r="G47" s="12"/>
      <c r="H47" s="12"/>
    </row>
    <row r="48" spans="2:9" ht="15.75" thickBot="1" x14ac:dyDescent="0.3">
      <c r="G48" s="12"/>
      <c r="H48" s="12"/>
    </row>
    <row r="49" spans="2:8" ht="15.75" thickBot="1" x14ac:dyDescent="0.3">
      <c r="B49" s="1">
        <v>5</v>
      </c>
      <c r="C49" s="155" t="s">
        <v>341</v>
      </c>
      <c r="D49" s="152"/>
      <c r="E49" s="153"/>
      <c r="G49" s="12"/>
      <c r="H49" s="12"/>
    </row>
    <row r="50" spans="2:8" x14ac:dyDescent="0.25">
      <c r="C50" t="s">
        <v>1688</v>
      </c>
      <c r="D50" s="36"/>
      <c r="G50" s="418" t="str">
        <f>"Up until the point that the variable consideration conditions were met there was an entitlement to a consideration of £"&amp;E21</f>
        <v>Up until the point that the variable consideration conditions were met there was an entitlement to a consideration of £</v>
      </c>
    </row>
    <row r="51" spans="2:8" x14ac:dyDescent="0.25">
      <c r="C51" t="s">
        <v>1895</v>
      </c>
      <c r="D51" s="14"/>
      <c r="G51" s="418" t="str">
        <f>"Invoices were therefore correctly raised at this amount. However, the transaction price must be recorded at £"&amp;E23&amp;" as the criteria has been met"</f>
        <v>Invoices were therefore correctly raised at this amount. However, the transaction price must be recorded at £0 as the criteria has been met</v>
      </c>
    </row>
    <row r="52" spans="2:8" x14ac:dyDescent="0.25">
      <c r="C52" t="s">
        <v>1894</v>
      </c>
      <c r="D52" s="14"/>
      <c r="G52" s="418" t="s">
        <v>1902</v>
      </c>
    </row>
    <row r="53" spans="2:8" x14ac:dyDescent="0.25">
      <c r="C53" t="s">
        <v>383</v>
      </c>
      <c r="D53" s="87">
        <f>D52-D51</f>
        <v>0</v>
      </c>
    </row>
    <row r="54" spans="2:8" x14ac:dyDescent="0.25">
      <c r="F54" s="12"/>
      <c r="G54" s="418" t="str">
        <f>"Amounts invoiced should be recognised at £"&amp;D52&amp;" in trade receivables, as there is an enforceable right to payment at this amount"</f>
        <v>Amounts invoiced should be recognised at £ in trade receivables, as there is an enforceable right to payment at this amount</v>
      </c>
    </row>
    <row r="55" spans="2:8" x14ac:dyDescent="0.25">
      <c r="D55" s="13" t="s">
        <v>161</v>
      </c>
      <c r="E55" s="13" t="s">
        <v>153</v>
      </c>
      <c r="G55" s="418" t="s">
        <v>925</v>
      </c>
    </row>
    <row r="56" spans="2:8" x14ac:dyDescent="0.25">
      <c r="D56" s="13" t="s">
        <v>141</v>
      </c>
      <c r="E56" s="13" t="s">
        <v>141</v>
      </c>
      <c r="G56" s="418" t="s">
        <v>927</v>
      </c>
    </row>
    <row r="57" spans="2:8" x14ac:dyDescent="0.25">
      <c r="C57" t="str">
        <f>IF(D51&gt;0,"DR Trade Receivables"," ")</f>
        <v xml:space="preserve"> </v>
      </c>
      <c r="D57" s="11">
        <f>D51</f>
        <v>0</v>
      </c>
      <c r="E57" s="11"/>
    </row>
    <row r="58" spans="2:8" x14ac:dyDescent="0.25">
      <c r="C58" t="s">
        <v>325</v>
      </c>
      <c r="E58" s="11">
        <f>IF(E38&lt;&gt;0,E38,E46)</f>
        <v>0</v>
      </c>
    </row>
    <row r="59" spans="2:8" x14ac:dyDescent="0.25">
      <c r="C59" t="str" cm="1">
        <f t="array" ref="C59">_xlfn.IFS(AND(D50="Yes",D53&gt;0),"DR Contract asset",AND(D50="Yes",D53&lt;0),"CR Refund liability",OR(D50="No",D53=0)," ")</f>
        <v xml:space="preserve"> </v>
      </c>
      <c r="D59" s="11">
        <f>IF(D57&lt;E58,E58-D57,0)</f>
        <v>0</v>
      </c>
      <c r="E59" s="11" t="b">
        <f>IF(D57&gt;E58,D57-E58)</f>
        <v>0</v>
      </c>
      <c r="G59" s="492" t="s">
        <v>1640</v>
      </c>
    </row>
    <row r="60" spans="2:8" x14ac:dyDescent="0.25">
      <c r="D60" s="11"/>
      <c r="E60" s="11"/>
      <c r="G60" s="418" t="s">
        <v>1641</v>
      </c>
    </row>
    <row r="61" spans="2:8" x14ac:dyDescent="0.25">
      <c r="C61" s="1" t="s">
        <v>369</v>
      </c>
      <c r="D61" s="11"/>
      <c r="E61" s="11"/>
      <c r="G61" s="418"/>
    </row>
    <row r="62" spans="2:8" x14ac:dyDescent="0.25">
      <c r="D62" s="11"/>
      <c r="E62" s="11"/>
    </row>
    <row r="63" spans="2:8" x14ac:dyDescent="0.25">
      <c r="C63" t="s">
        <v>372</v>
      </c>
      <c r="D63" s="14"/>
      <c r="G63" s="418" t="s">
        <v>326</v>
      </c>
    </row>
    <row r="64" spans="2:8" x14ac:dyDescent="0.25">
      <c r="D64" s="11"/>
      <c r="E64" s="11"/>
      <c r="G64" s="418" t="s">
        <v>1374</v>
      </c>
    </row>
    <row r="65" spans="3:10" x14ac:dyDescent="0.25">
      <c r="C65" t="s">
        <v>370</v>
      </c>
      <c r="D65" s="11">
        <f>D63</f>
        <v>0</v>
      </c>
      <c r="E65" s="11"/>
    </row>
    <row r="66" spans="3:10" x14ac:dyDescent="0.25">
      <c r="C66" t="s">
        <v>371</v>
      </c>
      <c r="D66" s="11"/>
      <c r="E66" s="11">
        <f>D63</f>
        <v>0</v>
      </c>
      <c r="G66" s="12"/>
      <c r="H66" s="12"/>
    </row>
    <row r="67" spans="3:10" x14ac:dyDescent="0.25">
      <c r="D67" s="11"/>
    </row>
    <row r="69" spans="3:10" ht="15.75" thickBot="1" x14ac:dyDescent="0.3"/>
    <row r="70" spans="3:10" ht="15.75" thickBot="1" x14ac:dyDescent="0.3">
      <c r="C70" s="155" t="s">
        <v>588</v>
      </c>
      <c r="D70" s="152"/>
      <c r="E70" s="152"/>
      <c r="F70" s="152"/>
      <c r="G70" s="153"/>
      <c r="H70" t="s">
        <v>327</v>
      </c>
    </row>
    <row r="71" spans="3:10" x14ac:dyDescent="0.25">
      <c r="C71" s="490" t="s">
        <v>921</v>
      </c>
      <c r="D71" s="149"/>
      <c r="E71" s="149"/>
      <c r="F71" s="149"/>
      <c r="G71" s="149"/>
      <c r="H71" s="149"/>
    </row>
    <row r="72" spans="3:10" x14ac:dyDescent="0.25">
      <c r="C72" s="490" t="s">
        <v>1684</v>
      </c>
      <c r="D72" s="149"/>
      <c r="E72" s="149"/>
      <c r="F72" s="149"/>
      <c r="G72" s="149"/>
      <c r="H72" s="149"/>
    </row>
    <row r="73" spans="3:10" x14ac:dyDescent="0.25">
      <c r="C73" s="490" t="s">
        <v>922</v>
      </c>
      <c r="D73" s="181"/>
      <c r="E73" s="181"/>
      <c r="F73" s="181"/>
      <c r="G73" s="181"/>
      <c r="H73" s="181"/>
    </row>
    <row r="74" spans="3:10" ht="15.75" thickBot="1" x14ac:dyDescent="0.3">
      <c r="C74" s="181"/>
      <c r="D74" s="181"/>
      <c r="E74" s="21"/>
      <c r="F74" s="181"/>
      <c r="G74" s="181"/>
      <c r="H74" s="181"/>
    </row>
    <row r="75" spans="3:10" x14ac:dyDescent="0.25">
      <c r="C75" s="60" t="s">
        <v>193</v>
      </c>
      <c r="D75" s="168"/>
      <c r="E75" s="12"/>
      <c r="J75" s="418" t="s">
        <v>1377</v>
      </c>
    </row>
    <row r="76" spans="3:10" x14ac:dyDescent="0.25">
      <c r="C76" s="63" t="s">
        <v>1685</v>
      </c>
      <c r="D76" s="76"/>
      <c r="E76" s="12"/>
      <c r="J76" s="418" t="s">
        <v>1376</v>
      </c>
    </row>
    <row r="77" spans="3:10" x14ac:dyDescent="0.25">
      <c r="C77" s="63" t="s">
        <v>335</v>
      </c>
      <c r="D77" s="98"/>
      <c r="E77" s="12"/>
    </row>
    <row r="78" spans="3:10" x14ac:dyDescent="0.25">
      <c r="C78" s="63" t="s">
        <v>336</v>
      </c>
      <c r="D78" s="66"/>
      <c r="E78" s="12"/>
    </row>
    <row r="79" spans="3:10" ht="15.75" thickBot="1" x14ac:dyDescent="0.3">
      <c r="C79" s="151" t="s">
        <v>1896</v>
      </c>
      <c r="D79" s="97">
        <f>D76/(1+D75)^D77</f>
        <v>0</v>
      </c>
      <c r="E79" s="734" t="str">
        <f>"=("&amp;D76&amp;"/(1+"&amp;D75&amp;")^"&amp;D77&amp;")"</f>
        <v>=(/(1+)^)</v>
      </c>
    </row>
    <row r="80" spans="3:10" ht="15.75" thickBot="1" x14ac:dyDescent="0.3"/>
    <row r="81" spans="3:10" x14ac:dyDescent="0.25">
      <c r="C81" s="73" t="s">
        <v>330</v>
      </c>
      <c r="D81" s="61"/>
      <c r="E81" s="61"/>
      <c r="F81" s="61"/>
      <c r="G81" s="62"/>
      <c r="H81" s="64"/>
      <c r="I81" s="418" t="s">
        <v>1686</v>
      </c>
    </row>
    <row r="82" spans="3:10" x14ac:dyDescent="0.25">
      <c r="C82" s="78" t="s">
        <v>12</v>
      </c>
      <c r="D82" s="150" t="s">
        <v>331</v>
      </c>
      <c r="E82" s="150" t="s">
        <v>332</v>
      </c>
      <c r="F82" s="150" t="s">
        <v>333</v>
      </c>
      <c r="G82" s="132" t="s">
        <v>334</v>
      </c>
      <c r="H82" s="150"/>
      <c r="J82" s="114"/>
    </row>
    <row r="83" spans="3:10" x14ac:dyDescent="0.25">
      <c r="C83" s="63"/>
      <c r="D83" s="147" t="s">
        <v>10</v>
      </c>
      <c r="E83" s="147" t="s">
        <v>10</v>
      </c>
      <c r="F83" s="147" t="s">
        <v>10</v>
      </c>
      <c r="G83" s="148" t="s">
        <v>10</v>
      </c>
      <c r="H83" s="147"/>
    </row>
    <row r="84" spans="3:10" x14ac:dyDescent="0.25">
      <c r="C84" s="489"/>
      <c r="D84" s="17">
        <f>D76/(1+D75)^D77</f>
        <v>0</v>
      </c>
      <c r="E84" s="17">
        <f>D84*$D$75</f>
        <v>0</v>
      </c>
      <c r="F84" s="64">
        <f>$D$78</f>
        <v>0</v>
      </c>
      <c r="G84" s="69">
        <f>D84+E84-F84</f>
        <v>0</v>
      </c>
      <c r="H84" s="17"/>
    </row>
    <row r="85" spans="3:10" x14ac:dyDescent="0.25">
      <c r="C85" s="489"/>
      <c r="D85" s="17">
        <f>IF(G84&gt;=$D$76,0,G84)</f>
        <v>0</v>
      </c>
      <c r="E85" s="17">
        <f>D85*$D$75</f>
        <v>0</v>
      </c>
      <c r="F85" s="64">
        <f>$D$78</f>
        <v>0</v>
      </c>
      <c r="G85" s="69">
        <f>D85+E85-F85</f>
        <v>0</v>
      </c>
      <c r="H85" s="17"/>
    </row>
    <row r="86" spans="3:10" x14ac:dyDescent="0.25">
      <c r="C86" s="666"/>
      <c r="D86" s="17">
        <f>IF(G85&gt;=$D$76,0,G85)</f>
        <v>0</v>
      </c>
      <c r="E86" s="17">
        <f>D86*$D$75</f>
        <v>0</v>
      </c>
      <c r="F86" s="64">
        <f>$D$78</f>
        <v>0</v>
      </c>
      <c r="G86" s="69">
        <f>D86+E86-F86</f>
        <v>0</v>
      </c>
      <c r="H86" s="17"/>
    </row>
    <row r="87" spans="3:10" ht="15.75" thickBot="1" x14ac:dyDescent="0.3">
      <c r="C87" s="667"/>
      <c r="D87" s="105">
        <f>IF(G86&gt;=$D$76,0,G86)</f>
        <v>0</v>
      </c>
      <c r="E87" s="105">
        <f>D87*$D$75</f>
        <v>0</v>
      </c>
      <c r="F87" s="71">
        <f>$D$78</f>
        <v>0</v>
      </c>
      <c r="G87" s="108">
        <f>D87+E87-F87</f>
        <v>0</v>
      </c>
      <c r="H87" s="17"/>
    </row>
    <row r="88" spans="3:10" x14ac:dyDescent="0.25">
      <c r="C88" s="12"/>
    </row>
    <row r="89" spans="3:10" x14ac:dyDescent="0.25">
      <c r="C89" s="1" t="s">
        <v>346</v>
      </c>
    </row>
    <row r="90" spans="3:10" x14ac:dyDescent="0.25">
      <c r="C90" s="1"/>
      <c r="D90" s="13" t="s">
        <v>161</v>
      </c>
      <c r="E90" s="13" t="s">
        <v>153</v>
      </c>
    </row>
    <row r="91" spans="3:10" x14ac:dyDescent="0.25">
      <c r="C91" s="1"/>
      <c r="D91" s="13" t="s">
        <v>141</v>
      </c>
      <c r="E91" s="13" t="s">
        <v>141</v>
      </c>
      <c r="G91" s="12"/>
      <c r="H91" s="12"/>
    </row>
    <row r="92" spans="3:10" x14ac:dyDescent="0.25">
      <c r="C92" t="s">
        <v>324</v>
      </c>
      <c r="D92" s="12">
        <f>D84</f>
        <v>0</v>
      </c>
    </row>
    <row r="93" spans="3:10" x14ac:dyDescent="0.25">
      <c r="C93" t="s">
        <v>329</v>
      </c>
      <c r="E93" s="12">
        <f>D84</f>
        <v>0</v>
      </c>
    </row>
    <row r="94" spans="3:10" x14ac:dyDescent="0.25">
      <c r="E94" s="12"/>
    </row>
    <row r="95" spans="3:10" x14ac:dyDescent="0.25">
      <c r="C95" s="418" t="str">
        <f>"Finance income for the period ended […]  = "&amp;D75*100&amp;"% * £"&amp;D84&amp;" = £"&amp;D96</f>
        <v>Finance income for the period ended […]  = 0% * £0 = £0</v>
      </c>
    </row>
    <row r="96" spans="3:10" x14ac:dyDescent="0.25">
      <c r="C96" t="s">
        <v>324</v>
      </c>
      <c r="D96" s="12">
        <f>E84-F84</f>
        <v>0</v>
      </c>
    </row>
    <row r="97" spans="3:5" x14ac:dyDescent="0.25">
      <c r="C97" t="s">
        <v>337</v>
      </c>
      <c r="E97" s="12">
        <f>E84</f>
        <v>0</v>
      </c>
    </row>
    <row r="98" spans="3:5" x14ac:dyDescent="0.25">
      <c r="C98" t="s">
        <v>338</v>
      </c>
      <c r="D98">
        <f>F84</f>
        <v>0</v>
      </c>
    </row>
    <row r="100" spans="3:5" x14ac:dyDescent="0.25">
      <c r="C100" t="s">
        <v>324</v>
      </c>
      <c r="D100" s="12">
        <f>E85-F85</f>
        <v>0</v>
      </c>
    </row>
    <row r="101" spans="3:5" x14ac:dyDescent="0.25">
      <c r="C101" t="s">
        <v>337</v>
      </c>
      <c r="E101" s="12">
        <f>E85</f>
        <v>0</v>
      </c>
    </row>
    <row r="102" spans="3:5" x14ac:dyDescent="0.25">
      <c r="C102" t="s">
        <v>338</v>
      </c>
      <c r="D102">
        <f>F85</f>
        <v>0</v>
      </c>
    </row>
    <row r="105" spans="3:5" ht="15.75" thickBot="1" x14ac:dyDescent="0.3"/>
    <row r="106" spans="3:5" ht="15.75" thickBot="1" x14ac:dyDescent="0.3">
      <c r="C106" s="155" t="s">
        <v>373</v>
      </c>
      <c r="D106" s="152"/>
      <c r="E106" s="153"/>
    </row>
    <row r="107" spans="3:5" x14ac:dyDescent="0.25">
      <c r="C107" s="63"/>
      <c r="D107" s="140" t="s">
        <v>10</v>
      </c>
      <c r="E107" s="66"/>
    </row>
    <row r="108" spans="3:5" x14ac:dyDescent="0.25">
      <c r="C108" s="63" t="s">
        <v>328</v>
      </c>
      <c r="D108" s="166">
        <f>E23</f>
        <v>0</v>
      </c>
      <c r="E108" s="66"/>
    </row>
    <row r="109" spans="3:5" x14ac:dyDescent="0.25">
      <c r="C109" s="63" t="s">
        <v>342</v>
      </c>
      <c r="D109" s="167">
        <f>E46</f>
        <v>0</v>
      </c>
      <c r="E109" s="66"/>
    </row>
    <row r="110" spans="3:5" x14ac:dyDescent="0.25">
      <c r="C110" s="63" t="s">
        <v>343</v>
      </c>
      <c r="D110" s="156">
        <f>D108-D109</f>
        <v>0</v>
      </c>
      <c r="E110" s="66"/>
    </row>
    <row r="111" spans="3:5" x14ac:dyDescent="0.25">
      <c r="C111" s="63"/>
      <c r="D111" s="64"/>
      <c r="E111" s="66"/>
    </row>
    <row r="112" spans="3:5" x14ac:dyDescent="0.25">
      <c r="C112" s="63" t="s">
        <v>344</v>
      </c>
      <c r="D112" s="48"/>
      <c r="E112" s="66"/>
    </row>
    <row r="113" spans="3:8" ht="15.75" thickBot="1" x14ac:dyDescent="0.3">
      <c r="C113" s="63" t="s">
        <v>345</v>
      </c>
      <c r="D113" s="157">
        <f>IF(D110-D112&lt;0,D112-D110,0)</f>
        <v>0</v>
      </c>
      <c r="E113" s="66"/>
    </row>
    <row r="114" spans="3:8" ht="15.75" thickTop="1" x14ac:dyDescent="0.25">
      <c r="C114" s="63"/>
      <c r="D114" s="608"/>
      <c r="E114" s="66"/>
    </row>
    <row r="115" spans="3:8" x14ac:dyDescent="0.25">
      <c r="C115" s="493" t="s">
        <v>1371</v>
      </c>
      <c r="D115" s="608"/>
      <c r="E115" s="66"/>
    </row>
    <row r="116" spans="3:8" x14ac:dyDescent="0.25">
      <c r="C116" s="493" t="s">
        <v>1372</v>
      </c>
      <c r="D116" s="608"/>
      <c r="E116" s="66"/>
    </row>
    <row r="117" spans="3:8" x14ac:dyDescent="0.25">
      <c r="C117" s="493" t="s">
        <v>1375</v>
      </c>
      <c r="D117" s="608"/>
      <c r="E117" s="66"/>
    </row>
    <row r="118" spans="3:8" x14ac:dyDescent="0.25">
      <c r="C118" s="63"/>
      <c r="D118" s="64"/>
      <c r="E118" s="66"/>
    </row>
    <row r="119" spans="3:8" x14ac:dyDescent="0.25">
      <c r="C119" s="63"/>
      <c r="D119" s="99" t="s">
        <v>161</v>
      </c>
      <c r="E119" s="100" t="s">
        <v>153</v>
      </c>
    </row>
    <row r="120" spans="3:8" x14ac:dyDescent="0.25">
      <c r="C120" s="63"/>
      <c r="D120" s="99" t="s">
        <v>141</v>
      </c>
      <c r="E120" s="100" t="s">
        <v>141</v>
      </c>
    </row>
    <row r="121" spans="3:8" x14ac:dyDescent="0.25">
      <c r="C121" s="63" t="s">
        <v>306</v>
      </c>
      <c r="D121" s="64">
        <f>IF(D113&lt;&gt;0,D113,0)</f>
        <v>0</v>
      </c>
      <c r="E121" s="66"/>
    </row>
    <row r="122" spans="3:8" x14ac:dyDescent="0.25">
      <c r="C122" s="63" t="s">
        <v>374</v>
      </c>
      <c r="D122" s="64"/>
      <c r="E122" s="66">
        <f>IF(D113&lt;&gt;0,D113,0)</f>
        <v>0</v>
      </c>
    </row>
    <row r="123" spans="3:8" x14ac:dyDescent="0.25">
      <c r="C123" s="63"/>
      <c r="D123" s="64"/>
      <c r="E123" s="66"/>
    </row>
    <row r="124" spans="3:8" x14ac:dyDescent="0.25">
      <c r="C124" s="63"/>
      <c r="D124" s="64"/>
      <c r="E124" s="66"/>
    </row>
    <row r="125" spans="3:8" ht="15.75" thickBot="1" x14ac:dyDescent="0.3">
      <c r="C125" s="70"/>
      <c r="D125" s="71"/>
      <c r="E125" s="80"/>
    </row>
    <row r="126" spans="3:8" ht="15.75" thickBot="1" x14ac:dyDescent="0.3"/>
    <row r="127" spans="3:8" ht="15.75" thickBot="1" x14ac:dyDescent="0.3">
      <c r="C127" s="155" t="s">
        <v>388</v>
      </c>
      <c r="D127" s="152"/>
      <c r="E127" s="153"/>
    </row>
    <row r="128" spans="3:8" x14ac:dyDescent="0.25">
      <c r="C128" t="s">
        <v>392</v>
      </c>
      <c r="D128" s="3"/>
      <c r="G128" s="492" t="s">
        <v>1600</v>
      </c>
      <c r="H128" s="492"/>
    </row>
    <row r="129" spans="3:9" x14ac:dyDescent="0.25">
      <c r="C129" t="s">
        <v>389</v>
      </c>
      <c r="D129" s="3"/>
      <c r="G129" s="418" t="s">
        <v>1601</v>
      </c>
      <c r="H129" s="418"/>
    </row>
    <row r="130" spans="3:9" x14ac:dyDescent="0.25">
      <c r="G130" s="418" t="s">
        <v>1602</v>
      </c>
      <c r="H130" s="418"/>
    </row>
    <row r="132" spans="3:9" x14ac:dyDescent="0.25">
      <c r="C132" t="s">
        <v>306</v>
      </c>
      <c r="D132">
        <f>D128</f>
        <v>0</v>
      </c>
    </row>
    <row r="133" spans="3:9" x14ac:dyDescent="0.25">
      <c r="C133" t="s">
        <v>391</v>
      </c>
      <c r="D133">
        <f>D129</f>
        <v>0</v>
      </c>
      <c r="G133" s="418" t="s">
        <v>1373</v>
      </c>
      <c r="H133" s="418"/>
    </row>
    <row r="134" spans="3:9" x14ac:dyDescent="0.25">
      <c r="C134" t="s">
        <v>390</v>
      </c>
      <c r="E134">
        <f>D128+D129</f>
        <v>0</v>
      </c>
    </row>
    <row r="136" spans="3:9" ht="15.75" thickBot="1" x14ac:dyDescent="0.3"/>
    <row r="137" spans="3:9" ht="15.75" thickBot="1" x14ac:dyDescent="0.3">
      <c r="C137" s="155" t="s">
        <v>1154</v>
      </c>
      <c r="D137" s="152"/>
      <c r="E137" s="153"/>
    </row>
    <row r="138" spans="3:9" x14ac:dyDescent="0.25">
      <c r="C138" s="729" t="s">
        <v>1886</v>
      </c>
      <c r="D138" s="728"/>
      <c r="E138" s="728"/>
    </row>
    <row r="139" spans="3:9" x14ac:dyDescent="0.25">
      <c r="C139" s="490" t="s">
        <v>1689</v>
      </c>
      <c r="D139" s="149"/>
      <c r="E139" s="149"/>
      <c r="I139" s="418" t="s">
        <v>1887</v>
      </c>
    </row>
    <row r="140" spans="3:9" x14ac:dyDescent="0.25">
      <c r="C140" s="418" t="s">
        <v>1690</v>
      </c>
      <c r="D140" s="149"/>
      <c r="E140" s="149"/>
    </row>
    <row r="141" spans="3:9" x14ac:dyDescent="0.25">
      <c r="C141" t="s">
        <v>1691</v>
      </c>
      <c r="E141" s="14"/>
    </row>
    <row r="142" spans="3:9" x14ac:dyDescent="0.25">
      <c r="C142" t="s">
        <v>1155</v>
      </c>
      <c r="E142" s="14">
        <v>11000</v>
      </c>
    </row>
    <row r="143" spans="3:9" x14ac:dyDescent="0.25">
      <c r="C143" t="s">
        <v>1692</v>
      </c>
      <c r="E143" s="14"/>
      <c r="G143" s="418"/>
      <c r="H143" s="418"/>
      <c r="I143" s="492" t="s">
        <v>1378</v>
      </c>
    </row>
    <row r="144" spans="3:9" x14ac:dyDescent="0.25">
      <c r="F144" s="418"/>
      <c r="I144" s="418" t="s">
        <v>1382</v>
      </c>
    </row>
    <row r="145" spans="3:9" x14ac:dyDescent="0.25">
      <c r="C145" t="s">
        <v>1159</v>
      </c>
      <c r="D145" s="11">
        <f>IF(E141&lt;&gt;0,E141,E142)</f>
        <v>11000</v>
      </c>
      <c r="E145" s="11"/>
      <c r="F145" s="418" t="s">
        <v>1156</v>
      </c>
      <c r="I145" s="418" t="s">
        <v>1379</v>
      </c>
    </row>
    <row r="146" spans="3:9" x14ac:dyDescent="0.25">
      <c r="C146" t="s">
        <v>329</v>
      </c>
      <c r="D146" s="11"/>
      <c r="E146" s="11">
        <f>IF(E141&lt;&gt;0,E141,E142)</f>
        <v>11000</v>
      </c>
      <c r="I146" s="418" t="s">
        <v>1380</v>
      </c>
    </row>
    <row r="147" spans="3:9" x14ac:dyDescent="0.25">
      <c r="D147" s="11"/>
      <c r="E147" s="11"/>
      <c r="I147" s="418" t="s">
        <v>1381</v>
      </c>
    </row>
    <row r="148" spans="3:9" x14ac:dyDescent="0.25">
      <c r="C148" t="s">
        <v>1157</v>
      </c>
      <c r="D148" s="11">
        <f>E143</f>
        <v>0</v>
      </c>
      <c r="E148" s="11"/>
    </row>
    <row r="149" spans="3:9" x14ac:dyDescent="0.25">
      <c r="C149" t="s">
        <v>1158</v>
      </c>
      <c r="D149" s="11"/>
      <c r="E149" s="11">
        <f>E143</f>
        <v>0</v>
      </c>
    </row>
    <row r="154" spans="3:9" x14ac:dyDescent="0.25">
      <c r="C154" s="1" t="s">
        <v>1693</v>
      </c>
    </row>
    <row r="155" spans="3:9" x14ac:dyDescent="0.25">
      <c r="C155" s="418" t="s">
        <v>1701</v>
      </c>
    </row>
    <row r="156" spans="3:9" x14ac:dyDescent="0.25">
      <c r="C156" t="s">
        <v>1700</v>
      </c>
    </row>
    <row r="157" spans="3:9" x14ac:dyDescent="0.25">
      <c r="C157" t="s">
        <v>1694</v>
      </c>
      <c r="D157" s="14"/>
    </row>
    <row r="158" spans="3:9" x14ac:dyDescent="0.25">
      <c r="C158" t="s">
        <v>1695</v>
      </c>
      <c r="D158" s="3"/>
    </row>
    <row r="159" spans="3:9" x14ac:dyDescent="0.25">
      <c r="C159" t="s">
        <v>1696</v>
      </c>
      <c r="D159" s="3"/>
    </row>
    <row r="161" spans="3:4" x14ac:dyDescent="0.25">
      <c r="C161" t="s">
        <v>1697</v>
      </c>
      <c r="D161" s="12" t="e">
        <f>D157/D158</f>
        <v>#DIV/0!</v>
      </c>
    </row>
    <row r="162" spans="3:4" x14ac:dyDescent="0.25">
      <c r="C162" t="s">
        <v>1698</v>
      </c>
      <c r="D162" s="12" t="e">
        <f>D157/D159</f>
        <v>#DIV/0!</v>
      </c>
    </row>
    <row r="163" spans="3:4" x14ac:dyDescent="0.25">
      <c r="C163" t="s">
        <v>1699</v>
      </c>
      <c r="D163" s="531" t="e">
        <f>D162-D161</f>
        <v>#DIV/0!</v>
      </c>
    </row>
    <row r="164" spans="3:4" x14ac:dyDescent="0.25">
      <c r="D164" s="17"/>
    </row>
    <row r="165" spans="3:4" x14ac:dyDescent="0.25">
      <c r="C165" s="418" t="s">
        <v>1702</v>
      </c>
    </row>
    <row r="166" spans="3:4" x14ac:dyDescent="0.25">
      <c r="C166" s="3" t="s">
        <v>324</v>
      </c>
      <c r="D166" s="12" t="e">
        <f>D163</f>
        <v>#DIV/0!</v>
      </c>
    </row>
    <row r="167" spans="3:4" x14ac:dyDescent="0.25">
      <c r="C167" s="3" t="s">
        <v>1703</v>
      </c>
      <c r="D167" s="12" t="e">
        <f>D163</f>
        <v>#DIV/0!</v>
      </c>
    </row>
    <row r="178" spans="3:5" x14ac:dyDescent="0.25">
      <c r="C178" t="s">
        <v>1897</v>
      </c>
      <c r="D178">
        <v>100</v>
      </c>
    </row>
    <row r="179" spans="3:5" x14ac:dyDescent="0.25">
      <c r="C179" t="s">
        <v>306</v>
      </c>
      <c r="D179">
        <v>100</v>
      </c>
    </row>
    <row r="181" spans="3:5" x14ac:dyDescent="0.25">
      <c r="C181" t="s">
        <v>306</v>
      </c>
      <c r="D181">
        <v>8</v>
      </c>
    </row>
    <row r="182" spans="3:5" x14ac:dyDescent="0.25">
      <c r="C182" t="s">
        <v>1898</v>
      </c>
    </row>
    <row r="184" spans="3:5" x14ac:dyDescent="0.25">
      <c r="C184" t="s">
        <v>1899</v>
      </c>
      <c r="E184">
        <v>145</v>
      </c>
    </row>
    <row r="185" spans="3:5" x14ac:dyDescent="0.25">
      <c r="C185" t="s">
        <v>1900</v>
      </c>
      <c r="D185">
        <v>145</v>
      </c>
    </row>
  </sheetData>
  <mergeCells count="13">
    <mergeCell ref="G9:I10"/>
    <mergeCell ref="G11:I12"/>
    <mergeCell ref="C7:F7"/>
    <mergeCell ref="C11:F11"/>
    <mergeCell ref="C16:F17"/>
    <mergeCell ref="C12:F12"/>
    <mergeCell ref="C10:F10"/>
    <mergeCell ref="C9:F9"/>
    <mergeCell ref="C3:F3"/>
    <mergeCell ref="C4:F4"/>
    <mergeCell ref="C5:F5"/>
    <mergeCell ref="C6:F6"/>
    <mergeCell ref="C8:F8"/>
  </mergeCells>
  <phoneticPr fontId="3" type="noConversion"/>
  <hyperlinks>
    <hyperlink ref="A1" location="Main!A1" display="Main" xr:uid="{01D7C071-664E-4F92-A7B6-729D6B864EC8}"/>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D35</xm:sqref>
        </x14:dataValidation>
        <x14:dataValidation type="list" allowBlank="1" showInputMessage="1" showErrorMessage="1" xr:uid="{8628383E-1B75-4BE3-9BD2-0D297BAB6516}">
          <x14:formula1>
            <xm:f>Inputs!$B$5:$B$6</xm:f>
          </x14:formula1>
          <xm:sqref>D50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X94"/>
  <sheetViews>
    <sheetView zoomScale="60" zoomScaleNormal="60" workbookViewId="0"/>
  </sheetViews>
  <sheetFormatPr defaultRowHeight="15" x14ac:dyDescent="0.25"/>
  <cols>
    <col min="2" max="2" width="40.140625" customWidth="1"/>
    <col min="3" max="3" width="14.140625" bestFit="1" customWidth="1"/>
    <col min="4" max="4" width="22.42578125" customWidth="1"/>
    <col min="5" max="5" width="31.140625" customWidth="1"/>
    <col min="9" max="9" width="10.5703125" customWidth="1"/>
    <col min="11" max="11" width="11.7109375" bestFit="1" customWidth="1"/>
    <col min="12" max="13" width="11.5703125" bestFit="1" customWidth="1"/>
    <col min="14" max="14" width="12.5703125" customWidth="1"/>
    <col min="15" max="15" width="14.85546875" customWidth="1"/>
  </cols>
  <sheetData>
    <row r="1" spans="1:24" x14ac:dyDescent="0.25">
      <c r="A1" s="161" t="s">
        <v>1984</v>
      </c>
    </row>
    <row r="2" spans="1:24" x14ac:dyDescent="0.25">
      <c r="D2" s="15" t="s">
        <v>464</v>
      </c>
    </row>
    <row r="3" spans="1:24" ht="84.6" customHeight="1" x14ac:dyDescent="0.25">
      <c r="B3" s="175" t="s">
        <v>461</v>
      </c>
      <c r="C3" s="3" t="s">
        <v>147</v>
      </c>
      <c r="D3" s="192"/>
      <c r="E3" s="609" t="s">
        <v>1385</v>
      </c>
      <c r="F3" s="611" t="s">
        <v>1388</v>
      </c>
      <c r="G3" s="418"/>
      <c r="O3" s="876" t="s">
        <v>1790</v>
      </c>
      <c r="P3" s="915"/>
      <c r="Q3" s="915"/>
      <c r="R3" s="915"/>
      <c r="S3" s="915"/>
      <c r="T3" s="915"/>
      <c r="U3" s="915"/>
      <c r="V3" s="915"/>
      <c r="W3" s="915"/>
      <c r="X3" s="915"/>
    </row>
    <row r="4" spans="1:24" ht="68.099999999999994" customHeight="1" x14ac:dyDescent="0.25">
      <c r="B4" s="175" t="s">
        <v>462</v>
      </c>
      <c r="C4" s="3" t="s">
        <v>147</v>
      </c>
      <c r="D4" s="192"/>
      <c r="F4" s="418" t="s">
        <v>1545</v>
      </c>
    </row>
    <row r="5" spans="1:24" ht="59.1" customHeight="1" x14ac:dyDescent="0.25">
      <c r="B5" s="175" t="s">
        <v>463</v>
      </c>
      <c r="C5" s="3" t="s">
        <v>147</v>
      </c>
      <c r="D5" s="192"/>
      <c r="F5" s="418" t="s">
        <v>1546</v>
      </c>
    </row>
    <row r="6" spans="1:24" x14ac:dyDescent="0.25">
      <c r="V6" s="418"/>
    </row>
    <row r="7" spans="1:24" x14ac:dyDescent="0.25">
      <c r="B7" s="610" t="s">
        <v>1386</v>
      </c>
      <c r="F7" s="418" t="s">
        <v>1778</v>
      </c>
      <c r="V7" s="418"/>
    </row>
    <row r="8" spans="1:24" x14ac:dyDescent="0.25">
      <c r="B8" s="610" t="s">
        <v>1540</v>
      </c>
      <c r="V8" s="418"/>
    </row>
    <row r="9" spans="1:24" x14ac:dyDescent="0.25">
      <c r="B9" s="175" t="s">
        <v>465</v>
      </c>
      <c r="C9" s="27">
        <v>3500</v>
      </c>
    </row>
    <row r="11" spans="1:24" x14ac:dyDescent="0.25">
      <c r="I11" t="s">
        <v>1779</v>
      </c>
      <c r="L11" t="s">
        <v>1783</v>
      </c>
      <c r="M11" s="11" t="s">
        <v>1780</v>
      </c>
      <c r="N11" s="11" t="s">
        <v>177</v>
      </c>
      <c r="O11" s="11" t="s">
        <v>1781</v>
      </c>
      <c r="P11" s="11" t="s">
        <v>1782</v>
      </c>
    </row>
    <row r="12" spans="1:24" x14ac:dyDescent="0.25">
      <c r="B12" t="s">
        <v>466</v>
      </c>
      <c r="M12" s="11"/>
      <c r="N12" s="11" t="s">
        <v>141</v>
      </c>
      <c r="O12" t="s">
        <v>10</v>
      </c>
      <c r="P12" t="s">
        <v>10</v>
      </c>
    </row>
    <row r="13" spans="1:24" x14ac:dyDescent="0.25">
      <c r="B13" t="s">
        <v>468</v>
      </c>
      <c r="C13" t="s">
        <v>197</v>
      </c>
      <c r="E13" t="s">
        <v>394</v>
      </c>
      <c r="F13" t="s">
        <v>469</v>
      </c>
      <c r="I13" s="3"/>
      <c r="J13" s="3"/>
      <c r="L13" s="3"/>
      <c r="M13" s="3"/>
      <c r="N13" s="365"/>
    </row>
    <row r="14" spans="1:24" x14ac:dyDescent="0.25">
      <c r="B14" s="174">
        <v>1</v>
      </c>
      <c r="C14" s="14"/>
      <c r="D14" s="418" t="str">
        <f ca="1">IFERROR(_xlfn.FORMULATEXT(C14)," ")</f>
        <v xml:space="preserve"> </v>
      </c>
      <c r="E14" s="187"/>
      <c r="F14" s="11">
        <f>E14*C14</f>
        <v>0</v>
      </c>
      <c r="I14" s="3"/>
      <c r="J14" s="3"/>
      <c r="L14" s="3"/>
      <c r="M14" s="3"/>
      <c r="N14" s="3"/>
    </row>
    <row r="15" spans="1:24" x14ac:dyDescent="0.25">
      <c r="B15" s="174">
        <v>2</v>
      </c>
      <c r="C15" s="14"/>
      <c r="D15" t="str">
        <f ca="1">IFERROR(_xlfn.FORMULATEXT(C15)," ")</f>
        <v xml:space="preserve"> </v>
      </c>
      <c r="E15" s="187"/>
      <c r="F15" s="11">
        <f>E15*C15</f>
        <v>0</v>
      </c>
      <c r="I15" s="3"/>
      <c r="J15" s="3"/>
      <c r="L15" s="3"/>
      <c r="M15" s="14"/>
      <c r="N15" s="14"/>
    </row>
    <row r="16" spans="1:24" x14ac:dyDescent="0.25">
      <c r="B16" s="174">
        <v>3</v>
      </c>
      <c r="C16" s="14"/>
      <c r="D16" t="str">
        <f ca="1">IFERROR(_xlfn.FORMULATEXT(C16)," ")</f>
        <v xml:space="preserve"> </v>
      </c>
      <c r="E16" s="187"/>
      <c r="F16" s="11">
        <f>E16*C16</f>
        <v>0</v>
      </c>
      <c r="I16" t="s">
        <v>1784</v>
      </c>
      <c r="L16" s="12"/>
      <c r="M16" s="12"/>
      <c r="N16" s="12"/>
      <c r="O16">
        <f>SUM(O13:O15)</f>
        <v>0</v>
      </c>
      <c r="P16">
        <f>SUM(P13:P15)</f>
        <v>0</v>
      </c>
    </row>
    <row r="17" spans="2:23" x14ac:dyDescent="0.25">
      <c r="F17" s="189">
        <f>SUM(F14:F16)</f>
        <v>0</v>
      </c>
    </row>
    <row r="18" spans="2:23" x14ac:dyDescent="0.25">
      <c r="E18" s="189"/>
      <c r="I18" t="s">
        <v>1785</v>
      </c>
      <c r="O18" s="3"/>
      <c r="P18" s="3"/>
    </row>
    <row r="19" spans="2:23" x14ac:dyDescent="0.25">
      <c r="B19" s="418" t="s">
        <v>958</v>
      </c>
      <c r="I19" t="s">
        <v>1786</v>
      </c>
      <c r="O19" s="3"/>
      <c r="P19" s="3"/>
    </row>
    <row r="20" spans="2:23" x14ac:dyDescent="0.25">
      <c r="B20" t="s">
        <v>470</v>
      </c>
      <c r="C20" s="11">
        <f>C9</f>
        <v>3500</v>
      </c>
      <c r="I20" t="s">
        <v>1787</v>
      </c>
      <c r="O20">
        <f>O18-O19</f>
        <v>0</v>
      </c>
      <c r="P20">
        <f>P18-P19</f>
        <v>0</v>
      </c>
    </row>
    <row r="21" spans="2:23" x14ac:dyDescent="0.25">
      <c r="B21" t="s">
        <v>467</v>
      </c>
      <c r="C21" s="188"/>
      <c r="I21" t="s">
        <v>1788</v>
      </c>
      <c r="O21">
        <f>O16-O20</f>
        <v>0</v>
      </c>
      <c r="P21">
        <f>P16-P20</f>
        <v>0</v>
      </c>
    </row>
    <row r="22" spans="2:23" x14ac:dyDescent="0.25">
      <c r="B22" t="s">
        <v>471</v>
      </c>
      <c r="C22" s="3"/>
      <c r="D22" t="s">
        <v>472</v>
      </c>
    </row>
    <row r="24" spans="2:23" x14ac:dyDescent="0.25">
      <c r="B24" t="s">
        <v>473</v>
      </c>
      <c r="C24" s="12">
        <f>C20/(1+C21)^C22</f>
        <v>3500</v>
      </c>
      <c r="D24" s="418" t="str">
        <f>"("&amp;C20&amp;"/(1 + "&amp;C21&amp;")^"&amp;C22&amp;")"</f>
        <v>(3500/(1 + )^)</v>
      </c>
      <c r="Q24" s="876" t="s">
        <v>1392</v>
      </c>
      <c r="R24" s="876"/>
      <c r="S24" s="876"/>
      <c r="T24" s="876"/>
      <c r="U24" s="876"/>
      <c r="V24" s="876"/>
      <c r="W24" s="876"/>
    </row>
    <row r="25" spans="2:23" x14ac:dyDescent="0.25">
      <c r="B25" t="s">
        <v>480</v>
      </c>
      <c r="C25" s="12">
        <f>C24*C21</f>
        <v>0</v>
      </c>
      <c r="Q25" s="876"/>
      <c r="R25" s="876"/>
      <c r="S25" s="876"/>
      <c r="T25" s="876"/>
      <c r="U25" s="876"/>
      <c r="V25" s="876"/>
      <c r="W25" s="876"/>
    </row>
    <row r="26" spans="2:23" x14ac:dyDescent="0.25">
      <c r="C26" s="12"/>
      <c r="Q26" s="876"/>
      <c r="R26" s="876"/>
      <c r="S26" s="876"/>
      <c r="T26" s="876"/>
      <c r="U26" s="876"/>
      <c r="V26" s="876"/>
      <c r="W26" s="876"/>
    </row>
    <row r="27" spans="2:23" x14ac:dyDescent="0.25">
      <c r="B27" s="418" t="s">
        <v>1387</v>
      </c>
      <c r="Q27" s="876"/>
      <c r="R27" s="876"/>
      <c r="S27" s="876"/>
      <c r="T27" s="876"/>
      <c r="U27" s="876"/>
      <c r="V27" s="876"/>
      <c r="W27" s="876"/>
    </row>
    <row r="28" spans="2:23" x14ac:dyDescent="0.25">
      <c r="B28" t="s">
        <v>474</v>
      </c>
      <c r="C28" s="12"/>
      <c r="Q28" s="876"/>
      <c r="R28" s="876"/>
      <c r="S28" s="876"/>
      <c r="T28" s="876"/>
      <c r="U28" s="876"/>
      <c r="V28" s="876"/>
      <c r="W28" s="876"/>
    </row>
    <row r="29" spans="2:23" x14ac:dyDescent="0.25">
      <c r="B29" t="s">
        <v>475</v>
      </c>
      <c r="C29" s="12">
        <f>C24</f>
        <v>3500</v>
      </c>
      <c r="Q29" s="876"/>
      <c r="R29" s="876"/>
      <c r="S29" s="876"/>
      <c r="T29" s="876"/>
      <c r="U29" s="876"/>
      <c r="V29" s="876"/>
      <c r="W29" s="876"/>
    </row>
    <row r="30" spans="2:23" x14ac:dyDescent="0.25">
      <c r="B30" t="s">
        <v>476</v>
      </c>
      <c r="D30" s="12">
        <f>C24</f>
        <v>3500</v>
      </c>
      <c r="Q30" s="492" t="s">
        <v>1752</v>
      </c>
    </row>
    <row r="31" spans="2:23" x14ac:dyDescent="0.25">
      <c r="D31" s="12"/>
      <c r="Q31" s="492" t="s">
        <v>1547</v>
      </c>
    </row>
    <row r="32" spans="2:23" x14ac:dyDescent="0.25">
      <c r="B32" s="418" t="s">
        <v>959</v>
      </c>
    </row>
    <row r="33" spans="2:17" x14ac:dyDescent="0.25">
      <c r="B33" t="s">
        <v>477</v>
      </c>
      <c r="Q33" s="418" t="s">
        <v>1753</v>
      </c>
    </row>
    <row r="34" spans="2:17" x14ac:dyDescent="0.25">
      <c r="B34" t="s">
        <v>478</v>
      </c>
      <c r="C34" s="12">
        <f>C25</f>
        <v>0</v>
      </c>
    </row>
    <row r="35" spans="2:17" x14ac:dyDescent="0.25">
      <c r="B35" t="s">
        <v>479</v>
      </c>
      <c r="D35" s="12">
        <f>C34</f>
        <v>0</v>
      </c>
    </row>
    <row r="37" spans="2:17" x14ac:dyDescent="0.25">
      <c r="B37" s="418"/>
    </row>
    <row r="38" spans="2:17" ht="15.75" thickBot="1" x14ac:dyDescent="0.3">
      <c r="B38" s="418" t="s">
        <v>914</v>
      </c>
    </row>
    <row r="39" spans="2:17" x14ac:dyDescent="0.25">
      <c r="B39" s="613" t="s">
        <v>1389</v>
      </c>
      <c r="C39" s="61"/>
      <c r="D39" s="62"/>
    </row>
    <row r="40" spans="2:17" x14ac:dyDescent="0.25">
      <c r="B40" s="614" t="s">
        <v>1390</v>
      </c>
      <c r="C40" s="48"/>
      <c r="D40" s="66"/>
    </row>
    <row r="41" spans="2:17" x14ac:dyDescent="0.25">
      <c r="B41" s="614" t="s">
        <v>467</v>
      </c>
      <c r="C41" s="51"/>
      <c r="D41" s="66"/>
    </row>
    <row r="42" spans="2:17" x14ac:dyDescent="0.25">
      <c r="B42" s="493"/>
      <c r="C42" s="64">
        <f>C41*C40</f>
        <v>0</v>
      </c>
      <c r="D42" s="66"/>
    </row>
    <row r="43" spans="2:17" x14ac:dyDescent="0.25">
      <c r="B43" s="493"/>
      <c r="C43" s="99" t="s">
        <v>161</v>
      </c>
      <c r="D43" s="190" t="s">
        <v>153</v>
      </c>
    </row>
    <row r="44" spans="2:17" x14ac:dyDescent="0.25">
      <c r="B44" s="493"/>
      <c r="C44" s="99" t="s">
        <v>141</v>
      </c>
      <c r="D44" s="190" t="s">
        <v>141</v>
      </c>
    </row>
    <row r="45" spans="2:17" x14ac:dyDescent="0.25">
      <c r="B45" s="614" t="s">
        <v>1391</v>
      </c>
      <c r="C45" s="64">
        <f>C42</f>
        <v>0</v>
      </c>
      <c r="D45" s="66"/>
    </row>
    <row r="46" spans="2:17" ht="15.75" thickBot="1" x14ac:dyDescent="0.3">
      <c r="B46" s="615" t="s">
        <v>479</v>
      </c>
      <c r="C46" s="71"/>
      <c r="D46" s="80">
        <f>C42</f>
        <v>0</v>
      </c>
    </row>
    <row r="47" spans="2:17" x14ac:dyDescent="0.25">
      <c r="B47" s="418"/>
    </row>
    <row r="48" spans="2:17" x14ac:dyDescent="0.25">
      <c r="B48" s="418" t="s">
        <v>1749</v>
      </c>
    </row>
    <row r="49" spans="2:4" x14ac:dyDescent="0.25">
      <c r="B49" s="418" t="s">
        <v>1750</v>
      </c>
    </row>
    <row r="50" spans="2:4" ht="15.75" thickBot="1" x14ac:dyDescent="0.3">
      <c r="B50" s="418" t="s">
        <v>1751</v>
      </c>
    </row>
    <row r="51" spans="2:4" x14ac:dyDescent="0.25">
      <c r="B51" s="73" t="s">
        <v>481</v>
      </c>
      <c r="C51" s="61"/>
      <c r="D51" s="62"/>
    </row>
    <row r="52" spans="2:4" x14ac:dyDescent="0.25">
      <c r="B52" s="63" t="s">
        <v>482</v>
      </c>
      <c r="C52" s="64"/>
      <c r="D52" s="76">
        <f>C40+C45</f>
        <v>0</v>
      </c>
    </row>
    <row r="53" spans="2:4" x14ac:dyDescent="0.25">
      <c r="B53" s="63" t="s">
        <v>483</v>
      </c>
      <c r="C53" s="64"/>
      <c r="D53" s="69">
        <f>D30</f>
        <v>3500</v>
      </c>
    </row>
    <row r="54" spans="2:4" x14ac:dyDescent="0.25">
      <c r="B54" s="63"/>
      <c r="C54" s="64"/>
      <c r="D54" s="191">
        <f>D53-D52</f>
        <v>3500</v>
      </c>
    </row>
    <row r="55" spans="2:4" x14ac:dyDescent="0.25">
      <c r="B55" s="63"/>
      <c r="C55" s="64"/>
      <c r="D55" s="69"/>
    </row>
    <row r="56" spans="2:4" x14ac:dyDescent="0.25">
      <c r="B56" s="63"/>
      <c r="C56" s="99" t="s">
        <v>161</v>
      </c>
      <c r="D56" s="190" t="s">
        <v>153</v>
      </c>
    </row>
    <row r="57" spans="2:4" x14ac:dyDescent="0.25">
      <c r="B57" s="63"/>
      <c r="C57" s="99" t="s">
        <v>141</v>
      </c>
      <c r="D57" s="190" t="s">
        <v>141</v>
      </c>
    </row>
    <row r="58" spans="2:4" x14ac:dyDescent="0.25">
      <c r="B58" s="63" t="s">
        <v>517</v>
      </c>
      <c r="C58" s="17">
        <f>D54</f>
        <v>3500</v>
      </c>
      <c r="D58" s="66"/>
    </row>
    <row r="59" spans="2:4" ht="15.75" thickBot="1" x14ac:dyDescent="0.3">
      <c r="B59" s="70" t="s">
        <v>479</v>
      </c>
      <c r="C59" s="71"/>
      <c r="D59" s="108">
        <f>C58</f>
        <v>3500</v>
      </c>
    </row>
    <row r="62" spans="2:4" x14ac:dyDescent="0.25">
      <c r="B62" s="418" t="s">
        <v>913</v>
      </c>
    </row>
    <row r="64" spans="2:4" ht="15.75" thickBot="1" x14ac:dyDescent="0.3"/>
    <row r="65" spans="2:4" ht="15.75" thickBot="1" x14ac:dyDescent="0.3">
      <c r="B65" s="155" t="s">
        <v>373</v>
      </c>
      <c r="C65" s="152"/>
      <c r="D65" s="153"/>
    </row>
    <row r="66" spans="2:4" x14ac:dyDescent="0.25">
      <c r="B66" s="63"/>
      <c r="C66" s="140" t="s">
        <v>10</v>
      </c>
      <c r="D66" s="66"/>
    </row>
    <row r="67" spans="2:4" x14ac:dyDescent="0.25">
      <c r="B67" s="63" t="s">
        <v>328</v>
      </c>
      <c r="C67" s="119"/>
      <c r="D67" s="66"/>
    </row>
    <row r="68" spans="2:4" x14ac:dyDescent="0.25">
      <c r="B68" s="63" t="s">
        <v>342</v>
      </c>
      <c r="C68" s="167">
        <f>D4</f>
        <v>0</v>
      </c>
      <c r="D68" s="66"/>
    </row>
    <row r="69" spans="2:4" x14ac:dyDescent="0.25">
      <c r="B69" s="63" t="s">
        <v>343</v>
      </c>
      <c r="C69" s="156">
        <f>C67-C68</f>
        <v>0</v>
      </c>
      <c r="D69" s="66"/>
    </row>
    <row r="70" spans="2:4" x14ac:dyDescent="0.25">
      <c r="B70" s="63"/>
      <c r="C70" s="64"/>
      <c r="D70" s="66"/>
    </row>
    <row r="71" spans="2:4" x14ac:dyDescent="0.25">
      <c r="B71" s="63" t="s">
        <v>344</v>
      </c>
      <c r="C71" s="48"/>
      <c r="D71" s="66"/>
    </row>
    <row r="72" spans="2:4" ht="15.75" thickBot="1" x14ac:dyDescent="0.3">
      <c r="B72" s="63" t="s">
        <v>345</v>
      </c>
      <c r="C72" s="157">
        <f>IF(C69-C71&lt;0,C71-C69,0)</f>
        <v>0</v>
      </c>
      <c r="D72" s="66"/>
    </row>
    <row r="73" spans="2:4" ht="15.75" thickTop="1" x14ac:dyDescent="0.25">
      <c r="B73" s="63"/>
      <c r="C73" s="608"/>
      <c r="D73" s="66"/>
    </row>
    <row r="74" spans="2:4" x14ac:dyDescent="0.25">
      <c r="B74" s="493" t="s">
        <v>1393</v>
      </c>
      <c r="C74" s="608"/>
      <c r="D74" s="66"/>
    </row>
    <row r="75" spans="2:4" x14ac:dyDescent="0.25">
      <c r="B75" s="493" t="s">
        <v>1394</v>
      </c>
      <c r="C75" s="608"/>
      <c r="D75" s="66"/>
    </row>
    <row r="76" spans="2:4" x14ac:dyDescent="0.25">
      <c r="B76" s="493" t="s">
        <v>1789</v>
      </c>
      <c r="C76" s="608"/>
      <c r="D76" s="66"/>
    </row>
    <row r="77" spans="2:4" x14ac:dyDescent="0.25">
      <c r="B77" s="493" t="s">
        <v>1371</v>
      </c>
      <c r="C77" s="608"/>
      <c r="D77" s="66"/>
    </row>
    <row r="78" spans="2:4" x14ac:dyDescent="0.25">
      <c r="B78" s="493" t="s">
        <v>1395</v>
      </c>
      <c r="C78" s="608"/>
      <c r="D78" s="66"/>
    </row>
    <row r="79" spans="2:4" x14ac:dyDescent="0.25">
      <c r="B79" s="493" t="s">
        <v>1375</v>
      </c>
      <c r="C79" s="608"/>
      <c r="D79" s="66"/>
    </row>
    <row r="80" spans="2:4" x14ac:dyDescent="0.25">
      <c r="B80" s="63"/>
      <c r="C80" s="64"/>
      <c r="D80" s="66"/>
    </row>
    <row r="81" spans="2:4" x14ac:dyDescent="0.25">
      <c r="B81" s="63"/>
      <c r="C81" s="99" t="s">
        <v>161</v>
      </c>
      <c r="D81" s="100" t="s">
        <v>153</v>
      </c>
    </row>
    <row r="82" spans="2:4" x14ac:dyDescent="0.25">
      <c r="B82" s="63"/>
      <c r="C82" s="99" t="s">
        <v>141</v>
      </c>
      <c r="D82" s="100" t="s">
        <v>141</v>
      </c>
    </row>
    <row r="83" spans="2:4" x14ac:dyDescent="0.25">
      <c r="B83" s="63" t="s">
        <v>306</v>
      </c>
      <c r="C83" s="64">
        <f>IF(C72&lt;&gt;0,C72,0)</f>
        <v>0</v>
      </c>
      <c r="D83" s="66"/>
    </row>
    <row r="84" spans="2:4" x14ac:dyDescent="0.25">
      <c r="B84" s="63" t="s">
        <v>374</v>
      </c>
      <c r="C84" s="64"/>
      <c r="D84" s="66">
        <f>IF(C72&lt;&gt;0,C72,0)</f>
        <v>0</v>
      </c>
    </row>
    <row r="85" spans="2:4" x14ac:dyDescent="0.25">
      <c r="B85" s="63"/>
      <c r="C85" s="64"/>
      <c r="D85" s="66"/>
    </row>
    <row r="86" spans="2:4" x14ac:dyDescent="0.25">
      <c r="B86" s="63"/>
      <c r="C86" s="64"/>
      <c r="D86" s="66"/>
    </row>
    <row r="87" spans="2:4" ht="15.75" thickBot="1" x14ac:dyDescent="0.3">
      <c r="B87" s="70"/>
      <c r="C87" s="71"/>
      <c r="D87" s="80"/>
    </row>
    <row r="89" spans="2:4" ht="15.75" thickBot="1" x14ac:dyDescent="0.3"/>
    <row r="90" spans="2:4" ht="15.75" thickBot="1" x14ac:dyDescent="0.3">
      <c r="B90" s="155" t="s">
        <v>1541</v>
      </c>
      <c r="C90" s="152"/>
      <c r="D90" s="153"/>
    </row>
    <row r="91" spans="2:4" x14ac:dyDescent="0.25">
      <c r="B91" s="418" t="s">
        <v>1542</v>
      </c>
    </row>
    <row r="92" spans="2:4" x14ac:dyDescent="0.25">
      <c r="B92" s="418" t="s">
        <v>1543</v>
      </c>
    </row>
    <row r="93" spans="2:4" x14ac:dyDescent="0.25">
      <c r="B93" s="418" t="s">
        <v>1544</v>
      </c>
    </row>
    <row r="94" spans="2:4" x14ac:dyDescent="0.25">
      <c r="B94" s="418"/>
    </row>
  </sheetData>
  <mergeCells count="2">
    <mergeCell ref="Q24:W29"/>
    <mergeCell ref="O3:X3"/>
  </mergeCells>
  <hyperlinks>
    <hyperlink ref="A1" location="Main!A1" display="Main" xr:uid="{996283E6-36ED-482E-B374-4E3030D2E4AA}"/>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C3:C5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352</v>
      </c>
      <c r="C1" s="14">
        <v>360000</v>
      </c>
    </row>
    <row r="2" spans="2:7" x14ac:dyDescent="0.25">
      <c r="B2" t="s">
        <v>513</v>
      </c>
      <c r="C2" s="187">
        <v>0.25</v>
      </c>
    </row>
    <row r="3" spans="2:7" x14ac:dyDescent="0.25">
      <c r="B3" t="s">
        <v>504</v>
      </c>
      <c r="C3" s="36" t="s">
        <v>505</v>
      </c>
    </row>
    <row r="5" spans="2:7" x14ac:dyDescent="0.25">
      <c r="D5" s="16" t="str">
        <f>C3</f>
        <v>USD</v>
      </c>
      <c r="E5" s="1" t="s">
        <v>488</v>
      </c>
    </row>
    <row r="6" spans="2:7" x14ac:dyDescent="0.25">
      <c r="B6" t="s">
        <v>503</v>
      </c>
      <c r="D6" s="194">
        <v>1.6</v>
      </c>
      <c r="E6" t="s">
        <v>487</v>
      </c>
    </row>
    <row r="7" spans="2:7" x14ac:dyDescent="0.25">
      <c r="B7" t="s">
        <v>484</v>
      </c>
      <c r="D7" s="3">
        <v>1.63</v>
      </c>
      <c r="E7" t="s">
        <v>487</v>
      </c>
    </row>
    <row r="8" spans="2:7" x14ac:dyDescent="0.25">
      <c r="B8" t="s">
        <v>485</v>
      </c>
      <c r="D8" s="3">
        <v>1.65</v>
      </c>
      <c r="E8" t="s">
        <v>487</v>
      </c>
    </row>
    <row r="9" spans="2:7" ht="15.75" thickBot="1" x14ac:dyDescent="0.3"/>
    <row r="10" spans="2:7" ht="15.75" thickBot="1" x14ac:dyDescent="0.3">
      <c r="B10" s="155" t="s">
        <v>516</v>
      </c>
      <c r="C10" s="152"/>
      <c r="D10" s="152"/>
      <c r="E10" s="152"/>
      <c r="F10" s="152"/>
      <c r="G10" s="153"/>
    </row>
    <row r="11" spans="2:7" ht="15.75" thickBot="1" x14ac:dyDescent="0.3"/>
    <row r="12" spans="2:7" ht="15.75" thickBot="1" x14ac:dyDescent="0.3">
      <c r="B12" s="155" t="s">
        <v>515</v>
      </c>
      <c r="C12" s="152"/>
      <c r="D12" s="152"/>
      <c r="E12" s="152"/>
      <c r="F12" s="152"/>
      <c r="G12" s="153"/>
    </row>
    <row r="13" spans="2:7" x14ac:dyDescent="0.25">
      <c r="B13" s="60" t="s">
        <v>489</v>
      </c>
      <c r="C13" s="61" t="s">
        <v>496</v>
      </c>
      <c r="D13" s="61" t="s">
        <v>490</v>
      </c>
      <c r="E13" s="61" t="s">
        <v>491</v>
      </c>
      <c r="F13" s="62" t="s">
        <v>492</v>
      </c>
      <c r="G13" s="196" t="str">
        <f>"NCI share = "&amp;C2&amp;"%"</f>
        <v>NCI share = 0.25%</v>
      </c>
    </row>
    <row r="14" spans="2:7" x14ac:dyDescent="0.25">
      <c r="B14" s="63"/>
      <c r="C14" s="64"/>
      <c r="D14" s="147" t="s">
        <v>10</v>
      </c>
      <c r="E14" s="147" t="s">
        <v>10</v>
      </c>
      <c r="F14" s="148" t="s">
        <v>10</v>
      </c>
      <c r="G14" s="197"/>
    </row>
    <row r="15" spans="2:7" x14ac:dyDescent="0.25">
      <c r="B15" s="63" t="s">
        <v>17</v>
      </c>
      <c r="C15" s="202"/>
      <c r="D15" s="17">
        <f>C15/$D$8</f>
        <v>0</v>
      </c>
      <c r="E15" s="17">
        <f>C15/$D$6</f>
        <v>0</v>
      </c>
      <c r="F15" s="69">
        <f>D15-E15</f>
        <v>0</v>
      </c>
      <c r="G15" s="198">
        <f>E15*$C$2</f>
        <v>0</v>
      </c>
    </row>
    <row r="16" spans="2:7" x14ac:dyDescent="0.25">
      <c r="B16" s="63" t="s">
        <v>497</v>
      </c>
      <c r="C16" s="202"/>
      <c r="D16" s="17">
        <f>C16/$D$8</f>
        <v>0</v>
      </c>
      <c r="E16" s="17">
        <f>C16/$D$6</f>
        <v>0</v>
      </c>
      <c r="F16" s="69">
        <f>D16-E16</f>
        <v>0</v>
      </c>
      <c r="G16" s="198">
        <f>E16*$C$2</f>
        <v>0</v>
      </c>
    </row>
    <row r="17" spans="2:10" x14ac:dyDescent="0.25">
      <c r="B17" s="63"/>
      <c r="C17" s="64"/>
      <c r="D17" s="64"/>
      <c r="E17" s="64"/>
      <c r="F17" s="203">
        <f>SUM(F15:F16)</f>
        <v>0</v>
      </c>
      <c r="G17" s="197"/>
    </row>
    <row r="18" spans="2:10" x14ac:dyDescent="0.25">
      <c r="B18" s="63"/>
      <c r="C18" s="64"/>
      <c r="D18" s="64"/>
      <c r="E18" s="64"/>
      <c r="F18" s="66"/>
      <c r="G18" s="197"/>
    </row>
    <row r="19" spans="2:10" x14ac:dyDescent="0.25">
      <c r="B19" s="63"/>
      <c r="C19" s="64"/>
      <c r="D19" s="64"/>
      <c r="E19" s="64"/>
      <c r="F19" s="66"/>
      <c r="G19" s="197"/>
    </row>
    <row r="20" spans="2:10" x14ac:dyDescent="0.25">
      <c r="B20" s="63" t="s">
        <v>493</v>
      </c>
      <c r="C20" s="64"/>
      <c r="D20" s="64" t="s">
        <v>494</v>
      </c>
      <c r="E20" s="64" t="s">
        <v>495</v>
      </c>
      <c r="F20" s="66" t="s">
        <v>492</v>
      </c>
      <c r="G20" s="197"/>
    </row>
    <row r="21" spans="2:10" x14ac:dyDescent="0.25">
      <c r="B21" s="63"/>
      <c r="C21" s="64"/>
      <c r="D21" s="147" t="s">
        <v>10</v>
      </c>
      <c r="E21" s="147" t="s">
        <v>10</v>
      </c>
      <c r="F21" s="148" t="s">
        <v>10</v>
      </c>
      <c r="G21" s="197"/>
    </row>
    <row r="22" spans="2:10" x14ac:dyDescent="0.25">
      <c r="B22" s="63" t="s">
        <v>498</v>
      </c>
      <c r="C22" s="202"/>
      <c r="D22" s="17">
        <f>C22/$D$8</f>
        <v>0</v>
      </c>
      <c r="E22" s="17">
        <f>C22/$D$7</f>
        <v>0</v>
      </c>
      <c r="F22" s="69">
        <f>D22-E22</f>
        <v>0</v>
      </c>
      <c r="G22" s="198">
        <f>E22*C2</f>
        <v>0</v>
      </c>
    </row>
    <row r="23" spans="2:10" x14ac:dyDescent="0.25">
      <c r="B23" s="63" t="s">
        <v>501</v>
      </c>
      <c r="C23" s="68"/>
      <c r="D23" s="17">
        <f>C23/$D$8</f>
        <v>0</v>
      </c>
      <c r="E23" s="17">
        <f>C23/$D$7</f>
        <v>0</v>
      </c>
      <c r="F23" s="69">
        <f>D23-E23</f>
        <v>0</v>
      </c>
      <c r="G23" s="197"/>
      <c r="J23" s="12" t="s">
        <v>502</v>
      </c>
    </row>
    <row r="24" spans="2:10" x14ac:dyDescent="0.25">
      <c r="B24" s="63"/>
      <c r="C24" s="193">
        <f>C22-C23</f>
        <v>0</v>
      </c>
      <c r="D24" s="193">
        <f>C24/$D$8</f>
        <v>0</v>
      </c>
      <c r="E24" s="193">
        <f>C24/$D$7</f>
        <v>0</v>
      </c>
      <c r="F24" s="203">
        <f>D24-E24</f>
        <v>0</v>
      </c>
      <c r="G24" s="197"/>
    </row>
    <row r="25" spans="2:10" x14ac:dyDescent="0.25">
      <c r="B25" s="63"/>
      <c r="C25" s="64"/>
      <c r="D25" s="64"/>
      <c r="E25" s="64"/>
      <c r="F25" s="66"/>
      <c r="G25" s="197"/>
    </row>
    <row r="26" spans="2:10" ht="15.75" thickBot="1" x14ac:dyDescent="0.3">
      <c r="B26" s="78" t="s">
        <v>499</v>
      </c>
      <c r="C26" s="64"/>
      <c r="D26" s="64"/>
      <c r="E26" s="64"/>
      <c r="F26" s="204">
        <f>F17+F24</f>
        <v>0</v>
      </c>
      <c r="G26" s="199">
        <f>F26*C2</f>
        <v>0</v>
      </c>
    </row>
    <row r="27" spans="2:10" ht="15.75" thickTop="1" x14ac:dyDescent="0.25">
      <c r="B27" s="78"/>
      <c r="C27" s="64"/>
      <c r="D27" s="64"/>
      <c r="E27" s="64"/>
      <c r="F27" s="191"/>
      <c r="G27" s="200"/>
    </row>
    <row r="28" spans="2:10" ht="15.75" thickBot="1" x14ac:dyDescent="0.3">
      <c r="B28" s="70" t="str">
        <f>IF(G26&lt;0,"NCI share of current year profit and exchange losses on translation","NCI share of current year profit and exchange gains on translation")</f>
        <v>NCI share of current year profit and exchange gains on translation</v>
      </c>
      <c r="C28" s="71"/>
      <c r="D28" s="71"/>
      <c r="E28" s="71"/>
      <c r="F28" s="80"/>
      <c r="G28" s="201">
        <f>SUM(G22:G26)</f>
        <v>0</v>
      </c>
    </row>
    <row r="29" spans="2:10" ht="15.75" thickBot="1" x14ac:dyDescent="0.3"/>
    <row r="30" spans="2:10" x14ac:dyDescent="0.25">
      <c r="B30" s="73" t="s">
        <v>514</v>
      </c>
      <c r="C30" s="61"/>
      <c r="D30" s="61"/>
      <c r="E30" s="61"/>
      <c r="F30" s="61"/>
      <c r="G30" s="62"/>
    </row>
    <row r="31" spans="2:10" x14ac:dyDescent="0.25">
      <c r="B31" s="63"/>
      <c r="C31" s="99" t="s">
        <v>161</v>
      </c>
      <c r="D31" s="99" t="s">
        <v>153</v>
      </c>
      <c r="E31" s="64"/>
      <c r="F31" s="64"/>
      <c r="G31" s="66"/>
    </row>
    <row r="32" spans="2:10" x14ac:dyDescent="0.25">
      <c r="B32" s="63"/>
      <c r="C32" s="147" t="s">
        <v>10</v>
      </c>
      <c r="D32" s="147" t="s">
        <v>10</v>
      </c>
      <c r="E32" s="64"/>
      <c r="F32" s="64"/>
      <c r="G32" s="66"/>
    </row>
    <row r="33" spans="2:7" x14ac:dyDescent="0.25">
      <c r="B33" s="63" t="str">
        <f>IF(F15&lt;0,"CR Share Capital","DR Share capital")</f>
        <v>DR Share capital</v>
      </c>
      <c r="C33" s="17">
        <f>IF($F$15&lt;0,0,$F$15)</f>
        <v>0</v>
      </c>
      <c r="D33" s="17">
        <f>IF($F$15&gt;0,0,$F$15)</f>
        <v>0</v>
      </c>
      <c r="E33" s="64"/>
      <c r="F33" s="64"/>
      <c r="G33" s="66"/>
    </row>
    <row r="34" spans="2:7" x14ac:dyDescent="0.25">
      <c r="B34" s="63" t="str">
        <f>IF(F16&lt;0,"CR Retained earnings","DR Retained earnings")</f>
        <v>DR Retained earnings</v>
      </c>
      <c r="C34" s="17">
        <f>IF($F$16&lt;0,0,$F$16)</f>
        <v>0</v>
      </c>
      <c r="D34" s="17">
        <f>IF($F$16&gt;0,0,$F$16)</f>
        <v>0</v>
      </c>
      <c r="E34" s="64"/>
      <c r="F34" s="64"/>
      <c r="G34" s="66"/>
    </row>
    <row r="35" spans="2:7" ht="15.75" thickBot="1" x14ac:dyDescent="0.3">
      <c r="B35" s="70" t="str">
        <f>IF(F26&lt;0,"DR translation reserve","CR Translation Reserve")</f>
        <v>CR Translation Reserve</v>
      </c>
      <c r="C35" s="105">
        <f>IF($F$26&gt;0,0,$F$26)</f>
        <v>0</v>
      </c>
      <c r="D35" s="105">
        <f>IF(SUM($F$26&lt;0),0,$F$26)</f>
        <v>0</v>
      </c>
      <c r="E35" s="71"/>
      <c r="F35" s="71"/>
      <c r="G35" s="80"/>
    </row>
    <row r="36" spans="2:7" x14ac:dyDescent="0.25">
      <c r="G36" s="12">
        <f>C15+C16</f>
        <v>0</v>
      </c>
    </row>
    <row r="37" spans="2:7" x14ac:dyDescent="0.25">
      <c r="G37" s="12">
        <f>G36*0.25</f>
        <v>0</v>
      </c>
    </row>
    <row r="38" spans="2:7" x14ac:dyDescent="0.25">
      <c r="B38" t="s">
        <v>500</v>
      </c>
      <c r="G38" s="12">
        <f>G37-G22</f>
        <v>0</v>
      </c>
    </row>
    <row r="40" spans="2:7" x14ac:dyDescent="0.25">
      <c r="B40" s="1" t="s">
        <v>508</v>
      </c>
    </row>
    <row r="42" spans="2:7" x14ac:dyDescent="0.25">
      <c r="C42" s="2" t="str">
        <f>C3</f>
        <v>USD</v>
      </c>
      <c r="D42" s="2" t="str">
        <f>C3&amp;":GBP"</f>
        <v>USD:GBP</v>
      </c>
      <c r="E42" s="2" t="s">
        <v>486</v>
      </c>
    </row>
    <row r="43" spans="2:7" x14ac:dyDescent="0.25">
      <c r="B43" s="181" t="s">
        <v>512</v>
      </c>
      <c r="C43" s="11">
        <f>E43*D43</f>
        <v>576000</v>
      </c>
      <c r="D43" s="195">
        <f>D6</f>
        <v>1.6</v>
      </c>
      <c r="E43" s="11">
        <f>C1</f>
        <v>360000</v>
      </c>
    </row>
    <row r="44" spans="2:7" x14ac:dyDescent="0.25">
      <c r="B44" s="181" t="s">
        <v>510</v>
      </c>
      <c r="C44" s="205">
        <f>(C15+C16)*C2</f>
        <v>0</v>
      </c>
      <c r="D44" s="195"/>
      <c r="E44" s="11"/>
      <c r="F44" s="12" t="s">
        <v>511</v>
      </c>
    </row>
    <row r="45" spans="2:7" x14ac:dyDescent="0.25">
      <c r="C45" s="11"/>
      <c r="E45" s="11"/>
      <c r="F45" s="12"/>
    </row>
    <row r="46" spans="2:7" x14ac:dyDescent="0.25">
      <c r="B46" s="3" t="str">
        <f>B15</f>
        <v>Share capital</v>
      </c>
      <c r="C46" s="11">
        <f>C15</f>
        <v>0</v>
      </c>
      <c r="D46" s="195">
        <f>$D$6</f>
        <v>1.6</v>
      </c>
      <c r="E46" s="11">
        <f>C46/D46</f>
        <v>0</v>
      </c>
    </row>
    <row r="47" spans="2:7" x14ac:dyDescent="0.25">
      <c r="B47" s="3" t="str">
        <f>B16</f>
        <v>Retained earnings</v>
      </c>
      <c r="C47" s="11">
        <f>C16-C24</f>
        <v>0</v>
      </c>
      <c r="D47" s="195">
        <f>$D$6</f>
        <v>1.6</v>
      </c>
      <c r="E47" s="11">
        <f>C47/D47</f>
        <v>0</v>
      </c>
    </row>
    <row r="48" spans="2:7" x14ac:dyDescent="0.25">
      <c r="B48" s="11"/>
      <c r="C48" s="11"/>
      <c r="D48" s="195"/>
      <c r="E48" s="11"/>
    </row>
    <row r="49" spans="2:5" x14ac:dyDescent="0.25">
      <c r="B49" t="s">
        <v>506</v>
      </c>
      <c r="C49" s="11">
        <v>81000</v>
      </c>
      <c r="D49" s="195">
        <f>D6</f>
        <v>1.6</v>
      </c>
      <c r="E49" s="11">
        <f>C49/D49</f>
        <v>50625</v>
      </c>
    </row>
    <row r="50" spans="2:5" x14ac:dyDescent="0.25">
      <c r="B50" t="s">
        <v>235</v>
      </c>
      <c r="C50" s="11">
        <v>-16</v>
      </c>
      <c r="D50">
        <f>D7</f>
        <v>1.63</v>
      </c>
      <c r="E50" s="11">
        <f>C50/D50</f>
        <v>-9.8159509202453989</v>
      </c>
    </row>
    <row r="51" spans="2:5" x14ac:dyDescent="0.25">
      <c r="B51" t="s">
        <v>507</v>
      </c>
      <c r="C51" s="11"/>
      <c r="E51" s="11"/>
    </row>
    <row r="52" spans="2:5" x14ac:dyDescent="0.25">
      <c r="B52" t="s">
        <v>509</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A1:K71"/>
  <sheetViews>
    <sheetView zoomScale="76" workbookViewId="0"/>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1" spans="1:11" x14ac:dyDescent="0.25">
      <c r="A1" s="161" t="s">
        <v>1984</v>
      </c>
    </row>
    <row r="2" spans="1:11" ht="15" customHeight="1" x14ac:dyDescent="0.25">
      <c r="B2" s="849" t="s">
        <v>904</v>
      </c>
      <c r="C2" s="849"/>
      <c r="D2" s="849"/>
      <c r="E2" s="849"/>
      <c r="F2" s="849"/>
      <c r="G2" s="849"/>
      <c r="H2" s="849"/>
      <c r="I2" s="849"/>
      <c r="J2" s="849"/>
    </row>
    <row r="3" spans="1:11" x14ac:dyDescent="0.25">
      <c r="B3" s="849"/>
      <c r="C3" s="849"/>
      <c r="D3" s="849"/>
      <c r="E3" s="849"/>
      <c r="F3" s="849"/>
      <c r="G3" s="849"/>
      <c r="H3" s="849"/>
      <c r="I3" s="849"/>
      <c r="J3" s="849"/>
    </row>
    <row r="4" spans="1:11" x14ac:dyDescent="0.25">
      <c r="B4" s="849"/>
      <c r="C4" s="849"/>
      <c r="D4" s="849"/>
      <c r="E4" s="849"/>
      <c r="F4" s="849"/>
      <c r="G4" s="849"/>
      <c r="H4" s="849"/>
      <c r="I4" s="849"/>
      <c r="J4" s="849"/>
    </row>
    <row r="5" spans="1:11" x14ac:dyDescent="0.25">
      <c r="B5" s="849"/>
      <c r="C5" s="849"/>
      <c r="D5" s="849"/>
      <c r="E5" s="849"/>
      <c r="F5" s="849"/>
      <c r="G5" s="849"/>
      <c r="H5" s="849"/>
      <c r="I5" s="849"/>
      <c r="J5" s="849"/>
    </row>
    <row r="6" spans="1:11" x14ac:dyDescent="0.25">
      <c r="B6" s="849"/>
      <c r="C6" s="849"/>
      <c r="D6" s="849"/>
      <c r="E6" s="849"/>
      <c r="F6" s="849"/>
      <c r="G6" s="849"/>
      <c r="H6" s="849"/>
      <c r="I6" s="849"/>
      <c r="J6" s="849"/>
    </row>
    <row r="7" spans="1:11" x14ac:dyDescent="0.25">
      <c r="B7" s="849"/>
      <c r="C7" s="849"/>
      <c r="D7" s="849"/>
      <c r="E7" s="849"/>
      <c r="F7" s="849"/>
      <c r="G7" s="849"/>
      <c r="H7" s="849"/>
      <c r="I7" s="849"/>
      <c r="J7" s="849"/>
    </row>
    <row r="8" spans="1:11" x14ac:dyDescent="0.25">
      <c r="B8" s="849"/>
      <c r="C8" s="849"/>
      <c r="D8" s="849"/>
      <c r="E8" s="849"/>
      <c r="F8" s="849"/>
      <c r="G8" s="849"/>
      <c r="H8" s="849"/>
      <c r="I8" s="849"/>
      <c r="J8" s="849"/>
    </row>
    <row r="9" spans="1:11" x14ac:dyDescent="0.25">
      <c r="B9" s="849"/>
      <c r="C9" s="849"/>
      <c r="D9" s="849"/>
      <c r="E9" s="849"/>
      <c r="F9" s="849"/>
      <c r="G9" s="849"/>
      <c r="H9" s="849"/>
      <c r="I9" s="849"/>
      <c r="J9" s="849"/>
    </row>
    <row r="10" spans="1:11" x14ac:dyDescent="0.25">
      <c r="B10" s="849"/>
      <c r="C10" s="849"/>
      <c r="D10" s="849"/>
      <c r="E10" s="849"/>
      <c r="F10" s="849"/>
      <c r="G10" s="849"/>
      <c r="H10" s="849"/>
      <c r="I10" s="849"/>
      <c r="J10" s="849"/>
    </row>
    <row r="11" spans="1:11" x14ac:dyDescent="0.25">
      <c r="B11" s="849"/>
      <c r="C11" s="849"/>
      <c r="D11" s="849"/>
      <c r="E11" s="849"/>
      <c r="F11" s="849"/>
      <c r="G11" s="849"/>
      <c r="H11" s="849"/>
      <c r="I11" s="849"/>
      <c r="J11" s="849"/>
    </row>
    <row r="12" spans="1:11" x14ac:dyDescent="0.25">
      <c r="B12" s="849"/>
      <c r="C12" s="849"/>
      <c r="D12" s="849"/>
      <c r="E12" s="849"/>
      <c r="F12" s="849"/>
      <c r="G12" s="849"/>
      <c r="H12" s="849"/>
      <c r="I12" s="849"/>
      <c r="J12" s="849"/>
    </row>
    <row r="13" spans="1:11" x14ac:dyDescent="0.25">
      <c r="B13" s="39"/>
      <c r="C13" s="39"/>
      <c r="D13" s="39"/>
      <c r="E13" s="39"/>
      <c r="F13" s="39"/>
      <c r="G13" s="39"/>
      <c r="H13" s="39"/>
      <c r="I13" s="39"/>
      <c r="J13" s="39"/>
    </row>
    <row r="14" spans="1:11" ht="15.75" thickBot="1" x14ac:dyDescent="0.3"/>
    <row r="15" spans="1:11" ht="18" customHeight="1" x14ac:dyDescent="0.25">
      <c r="B15" s="60" t="s">
        <v>213</v>
      </c>
      <c r="C15" s="75"/>
      <c r="E15" s="73" t="s">
        <v>221</v>
      </c>
      <c r="F15" s="61"/>
      <c r="G15" s="61"/>
      <c r="H15" s="61"/>
      <c r="I15" s="62"/>
      <c r="K15" s="418" t="s">
        <v>905</v>
      </c>
    </row>
    <row r="16" spans="1:11" x14ac:dyDescent="0.25">
      <c r="B16" s="63" t="s">
        <v>214</v>
      </c>
      <c r="C16" s="76"/>
      <c r="E16" s="63"/>
      <c r="F16" s="64" t="s">
        <v>12</v>
      </c>
      <c r="G16" s="64"/>
      <c r="H16" s="65" t="s">
        <v>222</v>
      </c>
      <c r="I16" s="66" t="s">
        <v>223</v>
      </c>
      <c r="K16" s="418" t="s">
        <v>907</v>
      </c>
    </row>
    <row r="17" spans="2:11" x14ac:dyDescent="0.25">
      <c r="B17" s="63" t="s">
        <v>211</v>
      </c>
      <c r="C17" s="77">
        <f>C15-C16</f>
        <v>0</v>
      </c>
      <c r="E17" s="63">
        <v>1</v>
      </c>
      <c r="F17" s="67">
        <v>44957</v>
      </c>
      <c r="G17" s="68"/>
      <c r="H17" s="48"/>
      <c r="I17" s="69">
        <f>IF(H17&lt;&gt;0,H17*G17,G17/((1+$G$23)^E17))</f>
        <v>0</v>
      </c>
      <c r="K17" s="418" t="s">
        <v>906</v>
      </c>
    </row>
    <row r="18" spans="2:11" x14ac:dyDescent="0.25">
      <c r="B18" s="63"/>
      <c r="C18" s="77"/>
      <c r="E18" s="63">
        <v>2</v>
      </c>
      <c r="F18" s="67">
        <f>F17+365</f>
        <v>45322</v>
      </c>
      <c r="G18" s="68"/>
      <c r="H18" s="48"/>
      <c r="I18" s="69">
        <f>IF(H18&lt;&gt;0,H18*G18,G18/((1+$G$23)^E18))</f>
        <v>0</v>
      </c>
    </row>
    <row r="19" spans="2:11" x14ac:dyDescent="0.25">
      <c r="B19" s="63"/>
      <c r="C19" s="77"/>
      <c r="E19" s="63">
        <v>3</v>
      </c>
      <c r="F19" s="67">
        <f>F18+366</f>
        <v>45688</v>
      </c>
      <c r="G19" s="68"/>
      <c r="H19" s="48"/>
      <c r="I19" s="69">
        <f>IF(H19&lt;&gt;0,H19*G19,G19/((1+$G$23)^E19))</f>
        <v>0</v>
      </c>
    </row>
    <row r="20" spans="2:11" x14ac:dyDescent="0.25">
      <c r="B20" s="63" t="s">
        <v>215</v>
      </c>
      <c r="C20" s="81">
        <f>I21</f>
        <v>0</v>
      </c>
      <c r="E20" s="63">
        <v>4</v>
      </c>
      <c r="F20" s="67">
        <f>F19+365</f>
        <v>46053</v>
      </c>
      <c r="G20" s="68"/>
      <c r="H20" s="48"/>
      <c r="I20" s="69">
        <f>IF(H20&lt;&gt;0,H20*G20,G20/((1+$G$23)^E20))</f>
        <v>0</v>
      </c>
    </row>
    <row r="21" spans="2:11" ht="15.75" thickBot="1" x14ac:dyDescent="0.3">
      <c r="B21" s="63"/>
      <c r="C21" s="77"/>
      <c r="E21" s="70"/>
      <c r="F21" s="71"/>
      <c r="G21" s="71"/>
      <c r="H21" s="71"/>
      <c r="I21" s="72">
        <f>SUM(I17:I20)</f>
        <v>0</v>
      </c>
    </row>
    <row r="22" spans="2:11" ht="15.75" thickBot="1" x14ac:dyDescent="0.3">
      <c r="B22" s="78" t="s">
        <v>216</v>
      </c>
      <c r="C22" s="77">
        <f>IF(C17&gt;C20,C17,C20)</f>
        <v>0</v>
      </c>
    </row>
    <row r="23" spans="2:11" ht="15.75" thickBot="1" x14ac:dyDescent="0.3">
      <c r="B23" s="63"/>
      <c r="C23" s="77"/>
      <c r="E23" t="s">
        <v>224</v>
      </c>
      <c r="G23" s="74"/>
    </row>
    <row r="24" spans="2:11" x14ac:dyDescent="0.25">
      <c r="B24" s="63" t="s">
        <v>220</v>
      </c>
      <c r="C24" s="76"/>
    </row>
    <row r="25" spans="2:11" x14ac:dyDescent="0.25">
      <c r="B25" s="63" t="s">
        <v>36</v>
      </c>
      <c r="C25" s="76"/>
      <c r="D25" s="11"/>
    </row>
    <row r="26" spans="2:11" x14ac:dyDescent="0.25">
      <c r="B26" s="63" t="s">
        <v>180</v>
      </c>
      <c r="C26" s="76"/>
      <c r="D26" s="11"/>
      <c r="E26" s="12"/>
    </row>
    <row r="27" spans="2:11" x14ac:dyDescent="0.25">
      <c r="B27" s="63" t="s">
        <v>238</v>
      </c>
      <c r="C27" s="69">
        <f>SUM(C25:C26)</f>
        <v>0</v>
      </c>
    </row>
    <row r="28" spans="2:11" x14ac:dyDescent="0.25">
      <c r="B28" s="47"/>
      <c r="C28" s="76"/>
    </row>
    <row r="29" spans="2:11" x14ac:dyDescent="0.25">
      <c r="B29" s="47" t="s">
        <v>533</v>
      </c>
      <c r="C29" s="76"/>
      <c r="D29" s="11"/>
    </row>
    <row r="30" spans="2:11" x14ac:dyDescent="0.25">
      <c r="B30" s="78" t="s">
        <v>217</v>
      </c>
      <c r="C30" s="77">
        <f>SUM(C27,C24,C28:C29)</f>
        <v>0</v>
      </c>
      <c r="F30" s="12"/>
    </row>
    <row r="31" spans="2:11" x14ac:dyDescent="0.25">
      <c r="B31" s="63"/>
      <c r="C31" s="77"/>
      <c r="F31" s="12"/>
    </row>
    <row r="32" spans="2:11" x14ac:dyDescent="0.25">
      <c r="B32" s="78" t="s">
        <v>218</v>
      </c>
      <c r="C32" s="79">
        <f>IF(C22&lt;C30,C22-C30,0)</f>
        <v>0</v>
      </c>
    </row>
    <row r="33" spans="2:11" ht="15.75" thickBot="1" x14ac:dyDescent="0.3">
      <c r="B33" s="70" t="s">
        <v>1754</v>
      </c>
      <c r="C33" s="714" t="e">
        <f>-C32/C30</f>
        <v>#DIV/0!</v>
      </c>
      <c r="E33" s="418" t="e">
        <f>"Assets should be impaired by "&amp;C33*100&amp;"%, however no asset with a known fair value or VIU should be reduced below that figure"</f>
        <v>#DIV/0!</v>
      </c>
      <c r="F33" s="11"/>
    </row>
    <row r="34" spans="2:11" x14ac:dyDescent="0.25">
      <c r="B34" s="64"/>
      <c r="C34" s="64"/>
      <c r="F34" s="11"/>
    </row>
    <row r="35" spans="2:11" x14ac:dyDescent="0.25">
      <c r="F35" s="11"/>
    </row>
    <row r="36" spans="2:11" x14ac:dyDescent="0.25">
      <c r="B36" s="418"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18" t="s">
        <v>1383</v>
      </c>
      <c r="F37" s="12"/>
    </row>
    <row r="38" spans="2:11" x14ac:dyDescent="0.25">
      <c r="B38" s="73" t="s">
        <v>225</v>
      </c>
      <c r="C38" s="61"/>
      <c r="D38" s="82" t="s">
        <v>239</v>
      </c>
      <c r="E38" s="82"/>
      <c r="F38" s="61"/>
      <c r="G38" s="61"/>
      <c r="H38" s="82" t="s">
        <v>1384</v>
      </c>
      <c r="I38" s="62"/>
    </row>
    <row r="39" spans="2:11" x14ac:dyDescent="0.25">
      <c r="B39" s="63"/>
      <c r="C39" s="64"/>
      <c r="D39" s="64"/>
      <c r="E39" s="64"/>
      <c r="F39" s="64"/>
      <c r="G39" s="64"/>
      <c r="H39" s="86"/>
      <c r="I39" s="66"/>
    </row>
    <row r="40" spans="2:11" x14ac:dyDescent="0.25">
      <c r="B40" s="63" t="s">
        <v>220</v>
      </c>
      <c r="C40" s="83">
        <f>IF(ABS(C32)&gt;=C24,C24,-C32)</f>
        <v>0</v>
      </c>
      <c r="D40" s="64"/>
      <c r="E40" s="64"/>
      <c r="F40" s="64"/>
      <c r="G40" s="64"/>
      <c r="H40" s="17">
        <f>C40</f>
        <v>0</v>
      </c>
      <c r="I40" s="66"/>
      <c r="K40" s="418" t="s">
        <v>246</v>
      </c>
    </row>
    <row r="41" spans="2:11" x14ac:dyDescent="0.25">
      <c r="B41" s="63"/>
      <c r="C41" s="83"/>
      <c r="D41" s="64"/>
      <c r="E41" s="64"/>
      <c r="F41" s="64"/>
      <c r="G41" s="64"/>
      <c r="H41" s="64"/>
      <c r="I41" s="66"/>
      <c r="K41" s="418"/>
    </row>
    <row r="42" spans="2:11" x14ac:dyDescent="0.25">
      <c r="B42" s="63" t="s">
        <v>226</v>
      </c>
      <c r="C42" s="83">
        <f>-C32-C40</f>
        <v>0</v>
      </c>
      <c r="D42" s="86" t="s">
        <v>245</v>
      </c>
      <c r="E42" s="85" t="s">
        <v>240</v>
      </c>
      <c r="F42" s="86" t="s">
        <v>241</v>
      </c>
      <c r="G42" s="86" t="s">
        <v>242</v>
      </c>
      <c r="H42" s="64"/>
      <c r="I42" s="66"/>
      <c r="K42" s="418"/>
    </row>
    <row r="43" spans="2:11" x14ac:dyDescent="0.25">
      <c r="B43" s="63" t="s">
        <v>227</v>
      </c>
      <c r="C43" s="83"/>
      <c r="D43" s="64"/>
      <c r="E43" s="48"/>
      <c r="F43" s="64"/>
      <c r="G43" s="64"/>
      <c r="H43" s="64"/>
      <c r="I43" s="66"/>
      <c r="K43" s="418"/>
    </row>
    <row r="44" spans="2:11" x14ac:dyDescent="0.25">
      <c r="B44" s="63" t="str">
        <f>B25</f>
        <v>PPE</v>
      </c>
      <c r="C44" s="17" t="e">
        <f>$C$42*C27/($C$30-$C$24)</f>
        <v>#DIV/0!</v>
      </c>
      <c r="D44" s="64" t="s">
        <v>147</v>
      </c>
      <c r="E44" s="68">
        <v>0</v>
      </c>
      <c r="F44" s="83">
        <f>IF(D44="Yes",C44-E44,0)</f>
        <v>0</v>
      </c>
      <c r="G44" s="83" t="e">
        <f>IF(AND(SUM($F$44:$F$46)&lt;&gt;0,D44="No"),SUM($F$44:$F$46)*C44/($C$42-SUMIF($D$44:$D$46,"Yes",$C$44:$C$46)),0)</f>
        <v>#DIV/0!</v>
      </c>
      <c r="H44" s="83" t="e">
        <f>IF(D44="Yes",E44,C44+G44)</f>
        <v>#DIV/0!</v>
      </c>
      <c r="I44" s="66"/>
      <c r="K44" s="418" t="s">
        <v>228</v>
      </c>
    </row>
    <row r="45" spans="2:11" x14ac:dyDescent="0.25">
      <c r="B45" s="84">
        <f>B28</f>
        <v>0</v>
      </c>
      <c r="C45" s="17" t="e">
        <f>$C$42*C28/($C$30-$C$24)</f>
        <v>#DIV/0!</v>
      </c>
      <c r="D45" s="64" t="s">
        <v>147</v>
      </c>
      <c r="E45" s="68"/>
      <c r="F45" s="83">
        <f>IF(D45="Yes",C45-E45,0)</f>
        <v>0</v>
      </c>
      <c r="G45" s="83" t="e">
        <f>IF(AND(SUM($F$44:$F$46)&lt;&gt;0,D45="No"),SUM($F$44:$F$46)*C45/($C$42-SUMIF($D$44:$D$46,"Yes",$C$44:$C$46)),0)</f>
        <v>#DIV/0!</v>
      </c>
      <c r="H45" s="83" t="e">
        <f>IF(D45="Yes",E45,C45+G45)</f>
        <v>#DIV/0!</v>
      </c>
      <c r="I45" s="66"/>
      <c r="K45" s="418" t="s">
        <v>229</v>
      </c>
    </row>
    <row r="46" spans="2:11" x14ac:dyDescent="0.25">
      <c r="B46" s="84" t="str">
        <f>B29</f>
        <v>Central PPE</v>
      </c>
      <c r="C46" s="17" t="e">
        <f>$C$42*C29/($C$30-$C$24)</f>
        <v>#DIV/0!</v>
      </c>
      <c r="D46" s="64" t="s">
        <v>146</v>
      </c>
      <c r="E46" s="68">
        <v>0</v>
      </c>
      <c r="F46" s="83" t="e">
        <f>IF(D46="Yes",C46-E46,0)</f>
        <v>#DIV/0!</v>
      </c>
      <c r="G46" s="83" t="e">
        <f>IF(AND(SUM($F$44:$F$46)&lt;&gt;0,D46="No"),SUM($F$44:$F$46)*C46/($C$42-SUMIF($D$44:$D$46,"Yes",$C$44:$C$46)),0)</f>
        <v>#DIV/0!</v>
      </c>
      <c r="H46" s="83">
        <f>IF(D46="Yes",E46,C46+G46)</f>
        <v>0</v>
      </c>
      <c r="I46" s="66"/>
    </row>
    <row r="47" spans="2:11" ht="15.75" thickBot="1" x14ac:dyDescent="0.3">
      <c r="B47" s="70"/>
      <c r="C47" s="71"/>
      <c r="D47" s="71"/>
      <c r="E47" s="71"/>
      <c r="F47" s="71"/>
      <c r="G47" s="71"/>
      <c r="H47" s="71"/>
      <c r="I47" s="80"/>
    </row>
    <row r="49" spans="2:8" ht="15.75" thickBot="1" x14ac:dyDescent="0.3"/>
    <row r="50" spans="2:8" x14ac:dyDescent="0.25">
      <c r="B50" s="60" t="s">
        <v>230</v>
      </c>
      <c r="C50" s="61"/>
      <c r="D50" s="61"/>
      <c r="E50" s="62"/>
    </row>
    <row r="51" spans="2:8" x14ac:dyDescent="0.25">
      <c r="B51" s="63" t="s">
        <v>231</v>
      </c>
      <c r="C51" s="64"/>
      <c r="D51" s="64"/>
      <c r="E51" s="66"/>
    </row>
    <row r="52" spans="2:8" x14ac:dyDescent="0.25">
      <c r="B52" s="63" t="s">
        <v>232</v>
      </c>
      <c r="C52" s="94"/>
      <c r="D52" s="64"/>
      <c r="E52" s="66"/>
      <c r="F52" s="418" t="s">
        <v>908</v>
      </c>
    </row>
    <row r="53" spans="2:8" x14ac:dyDescent="0.25">
      <c r="B53" s="63" t="s">
        <v>233</v>
      </c>
      <c r="C53" s="94"/>
      <c r="D53" s="64"/>
      <c r="E53" s="66"/>
      <c r="F53" s="418" t="s">
        <v>909</v>
      </c>
    </row>
    <row r="54" spans="2:8" x14ac:dyDescent="0.25">
      <c r="B54" s="63" t="s">
        <v>220</v>
      </c>
      <c r="C54" s="88"/>
      <c r="D54" s="64"/>
      <c r="E54" s="66"/>
    </row>
    <row r="55" spans="2:8" x14ac:dyDescent="0.25">
      <c r="B55" s="63" t="s">
        <v>236</v>
      </c>
      <c r="C55" s="146">
        <f>C52-C53+C54</f>
        <v>0</v>
      </c>
      <c r="D55" s="64"/>
      <c r="E55" s="66"/>
    </row>
    <row r="56" spans="2:8" x14ac:dyDescent="0.25">
      <c r="B56" s="63" t="s">
        <v>234</v>
      </c>
      <c r="C56" s="94"/>
      <c r="D56" s="64"/>
      <c r="E56" s="66"/>
    </row>
    <row r="57" spans="2:8" ht="15.75" thickBot="1" x14ac:dyDescent="0.3">
      <c r="B57" s="63" t="s">
        <v>235</v>
      </c>
      <c r="C57" s="25">
        <f>IF(C56&lt;C55,C56-C55,0)</f>
        <v>0</v>
      </c>
      <c r="D57" s="64"/>
      <c r="E57" s="66"/>
    </row>
    <row r="58" spans="2:8" ht="16.5" thickTop="1" thickBot="1" x14ac:dyDescent="0.3">
      <c r="B58" s="70"/>
      <c r="C58" s="71"/>
      <c r="D58" s="71"/>
      <c r="E58" s="80"/>
    </row>
    <row r="59" spans="2:8" ht="15.75" thickBot="1" x14ac:dyDescent="0.3"/>
    <row r="60" spans="2:8" x14ac:dyDescent="0.25">
      <c r="B60" s="73" t="s">
        <v>243</v>
      </c>
      <c r="C60" s="61"/>
      <c r="D60" s="61"/>
      <c r="E60" s="61"/>
      <c r="F60" s="62"/>
      <c r="H60" s="418" t="s">
        <v>1755</v>
      </c>
    </row>
    <row r="61" spans="2:8" x14ac:dyDescent="0.25">
      <c r="B61" s="63" t="s">
        <v>161</v>
      </c>
      <c r="C61" s="64" t="s">
        <v>244</v>
      </c>
      <c r="D61" s="64"/>
      <c r="E61" s="17">
        <f>-C32-C57</f>
        <v>0</v>
      </c>
      <c r="F61" s="66"/>
    </row>
    <row r="62" spans="2:8" x14ac:dyDescent="0.25">
      <c r="B62" s="63" t="s">
        <v>153</v>
      </c>
      <c r="C62" s="64" t="str">
        <f>B40</f>
        <v>Goodwill</v>
      </c>
      <c r="D62" s="64"/>
      <c r="E62" s="64"/>
      <c r="F62" s="69">
        <f>IF(C40&lt;&gt;0,C40,-C57)</f>
        <v>0</v>
      </c>
    </row>
    <row r="63" spans="2:8" x14ac:dyDescent="0.25">
      <c r="B63" s="63" t="s">
        <v>237</v>
      </c>
      <c r="C63" s="64" t="str">
        <f>B44&amp;" - Accumulated Depreciation"</f>
        <v>PPE - Accumulated Depreciation</v>
      </c>
      <c r="D63" s="64"/>
      <c r="E63" s="64"/>
      <c r="F63" s="69" t="e">
        <f>H44</f>
        <v>#DIV/0!</v>
      </c>
    </row>
    <row r="64" spans="2:8" x14ac:dyDescent="0.25">
      <c r="B64" s="63" t="s">
        <v>153</v>
      </c>
      <c r="C64" s="64" t="str">
        <f>B45&amp;" - Accumulated Depreciation"</f>
        <v>0 - Accumulated Depreciation</v>
      </c>
      <c r="D64" s="64"/>
      <c r="E64" s="64"/>
      <c r="F64" s="69" t="e">
        <f>H45</f>
        <v>#DIV/0!</v>
      </c>
    </row>
    <row r="65" spans="2:6" x14ac:dyDescent="0.25">
      <c r="B65" s="63" t="s">
        <v>153</v>
      </c>
      <c r="C65" s="64" t="str">
        <f>B46&amp;" - Accumulated Depreciation"</f>
        <v>Central PPE - Accumulated Depreciation</v>
      </c>
      <c r="D65" s="64"/>
      <c r="E65" s="64"/>
      <c r="F65" s="69">
        <f>H46</f>
        <v>0</v>
      </c>
    </row>
    <row r="66" spans="2:6" ht="15.75" thickBot="1" x14ac:dyDescent="0.3">
      <c r="B66" s="70"/>
      <c r="C66" s="71"/>
      <c r="D66" s="71"/>
      <c r="E66" s="71"/>
      <c r="F66" s="80"/>
    </row>
    <row r="68" spans="2:6" x14ac:dyDescent="0.25">
      <c r="B68" s="418"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18" t="e">
        <f>"Non current assets in the statement of financial position will also be reduced by the same amount, with a £"&amp;G44&amp;" reduction in PPE."</f>
        <v>#DIV/0!</v>
      </c>
    </row>
    <row r="70" spans="2:6" x14ac:dyDescent="0.25">
      <c r="B70" s="418" t="e">
        <f>"Intangible assets will be reduced by £"&amp;H45&amp;" in the SoFP"</f>
        <v>#DIV/0!</v>
      </c>
    </row>
    <row r="71" spans="2:6" x14ac:dyDescent="0.25">
      <c r="B71" s="418" t="str">
        <f>"Goodwill be reduced by £"&amp;C40&amp;" in the SoFP"</f>
        <v>Goodwill be reduced by £0 in the SoFP</v>
      </c>
    </row>
  </sheetData>
  <mergeCells count="1">
    <mergeCell ref="B2:J12"/>
  </mergeCells>
  <hyperlinks>
    <hyperlink ref="A1" location="Main!A1" display="Main" xr:uid="{14124B56-0B3D-4D4B-BE22-ECB5E111B947}"/>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A1:T104"/>
  <sheetViews>
    <sheetView topLeftCell="A4" zoomScale="85" zoomScaleNormal="85" workbookViewId="0"/>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1:20" ht="15.75" thickBot="1" x14ac:dyDescent="0.3">
      <c r="A1" s="161" t="s">
        <v>1984</v>
      </c>
    </row>
    <row r="2" spans="1:20" ht="15.75" thickBot="1" x14ac:dyDescent="0.3">
      <c r="B2" s="212" t="s">
        <v>538</v>
      </c>
      <c r="D2" s="916" t="s">
        <v>559</v>
      </c>
      <c r="E2" s="917"/>
      <c r="K2" s="876" t="s">
        <v>602</v>
      </c>
      <c r="L2" s="876"/>
      <c r="M2" s="876"/>
      <c r="N2" s="876"/>
      <c r="O2" s="876"/>
      <c r="P2" s="876"/>
      <c r="Q2" s="876"/>
      <c r="R2" s="876"/>
      <c r="S2" s="876"/>
      <c r="T2" s="876"/>
    </row>
    <row r="3" spans="1:20" ht="72.95" customHeight="1" x14ac:dyDescent="0.25">
      <c r="B3" s="207" t="s">
        <v>537</v>
      </c>
      <c r="D3" s="60" t="s">
        <v>539</v>
      </c>
      <c r="E3" s="210" t="s">
        <v>541</v>
      </c>
      <c r="G3" t="s">
        <v>584</v>
      </c>
      <c r="K3" s="876"/>
      <c r="L3" s="876"/>
      <c r="M3" s="876"/>
      <c r="N3" s="876"/>
      <c r="O3" s="876"/>
      <c r="P3" s="876"/>
      <c r="Q3" s="876"/>
      <c r="R3" s="876"/>
      <c r="S3" s="876"/>
      <c r="T3" s="876"/>
    </row>
    <row r="4" spans="1:20" ht="32.450000000000003" customHeight="1" thickBot="1" x14ac:dyDescent="0.3">
      <c r="B4" s="208" t="s">
        <v>147</v>
      </c>
      <c r="C4" s="221" t="s">
        <v>586</v>
      </c>
      <c r="D4" s="70" t="s">
        <v>534</v>
      </c>
      <c r="E4" s="211" t="str" cm="1">
        <f t="array" ref="E4">_xlfn.IFS(E3="Intention to sell in the short term (held for trading)","FVTPL",E3="Intention to hold and then sell before maturity","FVTOCI",E3="Intention to hold to maturity","AC")</f>
        <v>AC</v>
      </c>
      <c r="G4" t="s">
        <v>585</v>
      </c>
      <c r="K4" s="876"/>
      <c r="L4" s="876"/>
      <c r="M4" s="876"/>
      <c r="N4" s="876"/>
      <c r="O4" s="876"/>
      <c r="P4" s="876"/>
      <c r="Q4" s="876"/>
      <c r="R4" s="876"/>
      <c r="S4" s="876"/>
      <c r="T4" s="876"/>
    </row>
    <row r="5" spans="1:20" ht="68.45" customHeight="1" x14ac:dyDescent="0.25">
      <c r="B5" s="209" t="str" cm="1">
        <f t="array" ref="B5">_xlfn.IFS(B4="No","Measure at FVTPL",B4="YES","The asset is held in a business model with the joint objective of collecting contractual cash flows and selling financial assets?",B4=0," ")</f>
        <v>Measure at FVTPL</v>
      </c>
      <c r="C5" s="175" t="s">
        <v>558</v>
      </c>
      <c r="K5" s="876"/>
      <c r="L5" s="876"/>
      <c r="M5" s="876"/>
      <c r="N5" s="876"/>
      <c r="O5" s="876"/>
      <c r="P5" s="876"/>
      <c r="Q5" s="876"/>
      <c r="R5" s="876"/>
      <c r="S5" s="876"/>
      <c r="T5" s="876"/>
    </row>
    <row r="6" spans="1:20" x14ac:dyDescent="0.25">
      <c r="B6" s="208"/>
    </row>
    <row r="7" spans="1:20" ht="45.95" customHeight="1" x14ac:dyDescent="0.25">
      <c r="B7" s="209" t="str" cm="1">
        <f t="array" ref="B7">_xlfn.IFS(B6="Yes","Measure at FVTOCI",B6="No","The asset is held in a business model to collect contractual cash flows?",B6=0," ")</f>
        <v xml:space="preserve"> </v>
      </c>
      <c r="D7" s="418" t="s">
        <v>896</v>
      </c>
    </row>
    <row r="8" spans="1:20" x14ac:dyDescent="0.25">
      <c r="B8" s="208"/>
      <c r="D8" s="418" t="s">
        <v>1791</v>
      </c>
    </row>
    <row r="9" spans="1:20" ht="15.75" thickBot="1" x14ac:dyDescent="0.3">
      <c r="B9" s="213" t="str" cm="1">
        <f t="array" ref="B9">_xlfn.IFS(B8="No","Measure at FVTPL",B8="Yes","Measure at AC",B8=0,"  ")</f>
        <v xml:space="preserve">  </v>
      </c>
      <c r="D9" s="418"/>
    </row>
    <row r="10" spans="1:20" x14ac:dyDescent="0.25">
      <c r="D10" s="418"/>
    </row>
    <row r="11" spans="1:20" x14ac:dyDescent="0.25">
      <c r="D11" s="418"/>
    </row>
    <row r="12" spans="1:20" x14ac:dyDescent="0.25">
      <c r="B12" s="1" t="s">
        <v>566</v>
      </c>
    </row>
    <row r="13" spans="1:20" x14ac:dyDescent="0.25">
      <c r="B13" t="s">
        <v>550</v>
      </c>
    </row>
    <row r="14" spans="1:20" x14ac:dyDescent="0.25">
      <c r="B14" t="s">
        <v>551</v>
      </c>
      <c r="C14" s="772">
        <v>6168</v>
      </c>
      <c r="D14" s="575" t="s">
        <v>1193</v>
      </c>
      <c r="F14" s="11"/>
    </row>
    <row r="15" spans="1:20" x14ac:dyDescent="0.25">
      <c r="B15" t="s">
        <v>1431</v>
      </c>
      <c r="C15" s="772">
        <v>6168</v>
      </c>
      <c r="D15" s="575" t="s">
        <v>1194</v>
      </c>
      <c r="F15" s="11"/>
    </row>
    <row r="16" spans="1:20" x14ac:dyDescent="0.25">
      <c r="B16" t="s">
        <v>554</v>
      </c>
      <c r="C16" s="216">
        <v>0</v>
      </c>
      <c r="D16" s="418" t="s">
        <v>898</v>
      </c>
      <c r="F16" s="11"/>
    </row>
    <row r="17" spans="2:20" x14ac:dyDescent="0.25">
      <c r="B17" t="s">
        <v>552</v>
      </c>
      <c r="C17" s="222">
        <v>0.05</v>
      </c>
      <c r="D17" s="418" t="s">
        <v>899</v>
      </c>
      <c r="F17" s="12"/>
    </row>
    <row r="18" spans="2:20" x14ac:dyDescent="0.25">
      <c r="B18" t="s">
        <v>332</v>
      </c>
      <c r="C18" s="222">
        <v>8.2000000000000003E-2</v>
      </c>
      <c r="D18" s="418" t="s">
        <v>900</v>
      </c>
    </row>
    <row r="19" spans="2:20" x14ac:dyDescent="0.25">
      <c r="B19" t="s">
        <v>553</v>
      </c>
      <c r="C19" s="36" t="s">
        <v>136</v>
      </c>
    </row>
    <row r="20" spans="2:20" ht="15.75" thickBot="1" x14ac:dyDescent="0.3">
      <c r="K20" s="876" t="s">
        <v>601</v>
      </c>
      <c r="L20" s="876"/>
      <c r="M20" s="876"/>
      <c r="N20" s="876"/>
      <c r="O20" s="876"/>
      <c r="P20" s="876"/>
      <c r="Q20" s="876"/>
      <c r="R20" s="876"/>
      <c r="S20" s="876"/>
      <c r="T20" s="876"/>
    </row>
    <row r="21" spans="2:20" ht="15.75" thickBot="1" x14ac:dyDescent="0.3">
      <c r="B21" s="143" t="s">
        <v>12</v>
      </c>
      <c r="C21" s="144" t="s">
        <v>555</v>
      </c>
      <c r="D21" s="144" t="s">
        <v>332</v>
      </c>
      <c r="E21" s="144" t="s">
        <v>568</v>
      </c>
      <c r="F21" s="145" t="s">
        <v>823</v>
      </c>
      <c r="K21" s="876"/>
      <c r="L21" s="876"/>
      <c r="M21" s="876"/>
      <c r="N21" s="876"/>
      <c r="O21" s="876"/>
      <c r="P21" s="876"/>
      <c r="Q21" s="876"/>
      <c r="R21" s="876"/>
      <c r="S21" s="876"/>
      <c r="T21" s="876"/>
    </row>
    <row r="22" spans="2:20" x14ac:dyDescent="0.25">
      <c r="B22" s="134"/>
      <c r="C22" s="135" t="s">
        <v>141</v>
      </c>
      <c r="D22" s="135" t="s">
        <v>141</v>
      </c>
      <c r="E22" s="135" t="s">
        <v>141</v>
      </c>
      <c r="F22" s="136" t="s">
        <v>141</v>
      </c>
      <c r="K22" s="876"/>
      <c r="L22" s="876"/>
      <c r="M22" s="876"/>
      <c r="N22" s="876"/>
      <c r="O22" s="876"/>
      <c r="P22" s="876"/>
      <c r="Q22" s="876"/>
      <c r="R22" s="876"/>
      <c r="S22" s="876"/>
      <c r="T22" s="876"/>
    </row>
    <row r="23" spans="2:20" x14ac:dyDescent="0.25">
      <c r="B23" s="137">
        <v>44195</v>
      </c>
      <c r="C23" s="83">
        <f>C15+C16</f>
        <v>6168</v>
      </c>
      <c r="D23" s="83">
        <f>IF($C$19="arrears",C23*$C$18,(C23+E23)*$C$18)</f>
        <v>505.77600000000001</v>
      </c>
      <c r="E23" s="104">
        <f>IF($C$19="ADVANCE",0,-$C$14*$C$17)</f>
        <v>-308.40000000000003</v>
      </c>
      <c r="F23" s="69">
        <f>C23+D23+E23</f>
        <v>6365.3760000000002</v>
      </c>
      <c r="K23" s="876"/>
      <c r="L23" s="876"/>
      <c r="M23" s="876"/>
      <c r="N23" s="876"/>
      <c r="O23" s="876"/>
      <c r="P23" s="876"/>
      <c r="Q23" s="876"/>
      <c r="R23" s="876"/>
      <c r="S23" s="876"/>
      <c r="T23" s="876"/>
    </row>
    <row r="24" spans="2:20" x14ac:dyDescent="0.25">
      <c r="B24" s="137">
        <f>B23+365</f>
        <v>44560</v>
      </c>
      <c r="C24" s="83">
        <f>F23</f>
        <v>6365.3760000000002</v>
      </c>
      <c r="D24" s="83">
        <f t="shared" ref="D24:D28" si="0">IF($C$19="arrears",C24*$C$18,(C24+E24)*$C$18)</f>
        <v>521.96083199999998</v>
      </c>
      <c r="E24" s="104">
        <f>(-$C$14*$C$17)</f>
        <v>-308.40000000000003</v>
      </c>
      <c r="F24" s="69">
        <f t="shared" ref="F24:F28" si="1">C24+D24+E24</f>
        <v>6578.9368320000003</v>
      </c>
      <c r="K24" s="876"/>
      <c r="L24" s="876"/>
      <c r="M24" s="876"/>
      <c r="N24" s="876"/>
      <c r="O24" s="876"/>
      <c r="P24" s="876"/>
      <c r="Q24" s="876"/>
      <c r="R24" s="876"/>
      <c r="S24" s="876"/>
      <c r="T24" s="876"/>
    </row>
    <row r="25" spans="2:20" x14ac:dyDescent="0.25">
      <c r="B25" s="137">
        <f>B24+365</f>
        <v>44925</v>
      </c>
      <c r="C25" s="83">
        <f>F24</f>
        <v>6578.9368320000003</v>
      </c>
      <c r="D25" s="83">
        <f t="shared" si="0"/>
        <v>539.47282022400009</v>
      </c>
      <c r="E25" s="104">
        <f>(-$C$14*$C$17)</f>
        <v>-308.40000000000003</v>
      </c>
      <c r="F25" s="69">
        <f t="shared" si="1"/>
        <v>6810.009652224001</v>
      </c>
      <c r="K25" s="876"/>
      <c r="L25" s="876"/>
      <c r="M25" s="876"/>
      <c r="N25" s="876"/>
      <c r="O25" s="876"/>
      <c r="P25" s="876"/>
      <c r="Q25" s="876"/>
      <c r="R25" s="876"/>
      <c r="S25" s="876"/>
      <c r="T25" s="876"/>
    </row>
    <row r="26" spans="2:20" x14ac:dyDescent="0.25">
      <c r="B26" s="137">
        <f>B25+365</f>
        <v>45290</v>
      </c>
      <c r="C26" s="17">
        <f>F25</f>
        <v>6810.009652224001</v>
      </c>
      <c r="D26" s="83">
        <f t="shared" si="0"/>
        <v>558.42079148236814</v>
      </c>
      <c r="E26" s="104">
        <f>(-$C$14*$C$17)</f>
        <v>-308.40000000000003</v>
      </c>
      <c r="F26" s="138">
        <f t="shared" si="1"/>
        <v>7060.0304437063696</v>
      </c>
      <c r="K26" s="876"/>
      <c r="L26" s="876"/>
      <c r="M26" s="876"/>
      <c r="N26" s="876"/>
      <c r="O26" s="876"/>
      <c r="P26" s="876"/>
      <c r="Q26" s="876"/>
      <c r="R26" s="876"/>
      <c r="S26" s="876"/>
      <c r="T26" s="876"/>
    </row>
    <row r="27" spans="2:20" x14ac:dyDescent="0.25">
      <c r="B27" s="137">
        <f>B26+365</f>
        <v>45655</v>
      </c>
      <c r="C27" s="17">
        <f>F26</f>
        <v>7060.0304437063696</v>
      </c>
      <c r="D27" s="83">
        <f t="shared" si="0"/>
        <v>578.92249638392229</v>
      </c>
      <c r="E27" s="104">
        <f>(-$C$14*$C$17)</f>
        <v>-308.40000000000003</v>
      </c>
      <c r="F27" s="69">
        <f t="shared" si="1"/>
        <v>7330.5529400902924</v>
      </c>
      <c r="K27" s="876"/>
      <c r="L27" s="876"/>
      <c r="M27" s="876"/>
      <c r="N27" s="876"/>
      <c r="O27" s="876"/>
      <c r="P27" s="876"/>
      <c r="Q27" s="876"/>
      <c r="R27" s="876"/>
      <c r="S27" s="876"/>
      <c r="T27" s="876"/>
    </row>
    <row r="28" spans="2:20" x14ac:dyDescent="0.25">
      <c r="B28" s="137">
        <f>B27+365</f>
        <v>46020</v>
      </c>
      <c r="C28" s="17">
        <f>F27</f>
        <v>7330.5529400902924</v>
      </c>
      <c r="D28" s="83">
        <f t="shared" si="0"/>
        <v>601.10534108740399</v>
      </c>
      <c r="E28" s="104">
        <f>(-$C$14*$C$17)</f>
        <v>-308.40000000000003</v>
      </c>
      <c r="F28" s="69">
        <f t="shared" si="1"/>
        <v>7623.2582811776965</v>
      </c>
      <c r="K28" s="876"/>
      <c r="L28" s="876"/>
      <c r="M28" s="876"/>
      <c r="N28" s="876"/>
      <c r="O28" s="876"/>
      <c r="P28" s="876"/>
      <c r="Q28" s="876"/>
      <c r="R28" s="876"/>
      <c r="S28" s="876"/>
      <c r="T28" s="876"/>
    </row>
    <row r="29" spans="2:20" x14ac:dyDescent="0.25">
      <c r="B29" s="63"/>
      <c r="C29" s="64"/>
      <c r="D29" s="64"/>
      <c r="E29" s="64"/>
      <c r="F29" s="66"/>
    </row>
    <row r="30" spans="2:20" x14ac:dyDescent="0.25">
      <c r="B30" s="63"/>
      <c r="C30" s="64"/>
      <c r="D30" s="64"/>
      <c r="E30" s="64"/>
      <c r="F30" s="66"/>
    </row>
    <row r="31" spans="2:20" x14ac:dyDescent="0.25">
      <c r="B31" s="63" t="s">
        <v>556</v>
      </c>
      <c r="C31" s="17">
        <f>F24</f>
        <v>6578.9368320000003</v>
      </c>
      <c r="D31" s="64"/>
      <c r="E31" s="64"/>
      <c r="F31" s="66"/>
    </row>
    <row r="32" spans="2:20" x14ac:dyDescent="0.25">
      <c r="B32" s="63" t="s">
        <v>557</v>
      </c>
      <c r="C32" s="17">
        <f>F23-F24</f>
        <v>-213.56083200000012</v>
      </c>
      <c r="D32" s="48" t="s">
        <v>297</v>
      </c>
      <c r="E32" s="17"/>
      <c r="F32" s="66"/>
    </row>
    <row r="33" spans="2:12" ht="18.600000000000001" customHeight="1" thickBot="1" x14ac:dyDescent="0.3">
      <c r="B33" s="78" t="str">
        <f>"Lease payable at year end"</f>
        <v>Lease payable at year end</v>
      </c>
      <c r="C33" s="33">
        <f>C31+C32</f>
        <v>6365.3760000000002</v>
      </c>
      <c r="D33" s="64"/>
      <c r="E33" s="64"/>
      <c r="F33" s="66"/>
    </row>
    <row r="34" spans="2:12" ht="15.75" thickBot="1" x14ac:dyDescent="0.3">
      <c r="B34" s="70"/>
      <c r="C34" s="71"/>
      <c r="D34" s="71"/>
      <c r="E34" s="71"/>
      <c r="F34" s="80"/>
    </row>
    <row r="35" spans="2:12" x14ac:dyDescent="0.25">
      <c r="B35" s="642" t="s">
        <v>1723</v>
      </c>
      <c r="C35" s="64"/>
      <c r="D35" s="64"/>
      <c r="E35" s="64"/>
      <c r="F35" s="64"/>
    </row>
    <row r="36" spans="2:12" x14ac:dyDescent="0.25">
      <c r="B36" t="s">
        <v>595</v>
      </c>
      <c r="C36" s="220">
        <f>D23</f>
        <v>505.77600000000001</v>
      </c>
      <c r="L36" s="11"/>
    </row>
    <row r="37" spans="2:12" x14ac:dyDescent="0.25">
      <c r="B37" t="s">
        <v>536</v>
      </c>
      <c r="D37" s="10">
        <f>D23</f>
        <v>505.77600000000001</v>
      </c>
      <c r="F37" s="418" t="s">
        <v>1580</v>
      </c>
      <c r="K37" s="11"/>
      <c r="L37" s="11"/>
    </row>
    <row r="38" spans="2:12" x14ac:dyDescent="0.25">
      <c r="D38" s="10"/>
      <c r="F38" s="418" t="s">
        <v>1581</v>
      </c>
      <c r="K38" s="11"/>
      <c r="L38" s="11"/>
    </row>
    <row r="39" spans="2:12" x14ac:dyDescent="0.25">
      <c r="B39" t="s">
        <v>596</v>
      </c>
      <c r="C39" s="32">
        <f>-E23</f>
        <v>308.40000000000003</v>
      </c>
      <c r="D39" s="10"/>
      <c r="F39" s="418" t="s">
        <v>1582</v>
      </c>
      <c r="K39" s="11"/>
      <c r="L39" s="11"/>
    </row>
    <row r="40" spans="2:12" x14ac:dyDescent="0.25">
      <c r="B40" t="s">
        <v>597</v>
      </c>
      <c r="D40" s="10">
        <f>-E23</f>
        <v>308.40000000000003</v>
      </c>
      <c r="F40" s="418" t="s">
        <v>1583</v>
      </c>
      <c r="K40" s="11"/>
      <c r="L40" s="11"/>
    </row>
    <row r="41" spans="2:12" x14ac:dyDescent="0.25">
      <c r="D41" s="10"/>
      <c r="K41" s="11"/>
      <c r="L41" s="11"/>
    </row>
    <row r="42" spans="2:12" x14ac:dyDescent="0.25">
      <c r="B42" t="s">
        <v>581</v>
      </c>
      <c r="C42">
        <f>4000*1.05</f>
        <v>4200</v>
      </c>
      <c r="F42" s="418" t="s">
        <v>1584</v>
      </c>
      <c r="K42" s="11"/>
      <c r="L42" s="11"/>
    </row>
    <row r="43" spans="2:12" x14ac:dyDescent="0.25">
      <c r="B43" t="s">
        <v>535</v>
      </c>
      <c r="D43">
        <v>4000</v>
      </c>
      <c r="K43" s="11"/>
      <c r="L43" s="11"/>
    </row>
    <row r="44" spans="2:12" x14ac:dyDescent="0.25">
      <c r="B44" t="s">
        <v>580</v>
      </c>
      <c r="D44">
        <f>+C42-D43</f>
        <v>200</v>
      </c>
      <c r="F44" s="418" t="s">
        <v>1585</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833</v>
      </c>
    </row>
    <row r="50" spans="2:11" x14ac:dyDescent="0.25">
      <c r="B50" s="418" t="s">
        <v>834</v>
      </c>
      <c r="G50" s="1" t="s">
        <v>1720</v>
      </c>
    </row>
    <row r="51" spans="2:11" x14ac:dyDescent="0.25">
      <c r="B51" s="418" t="s">
        <v>901</v>
      </c>
      <c r="G51" s="418" t="s">
        <v>1731</v>
      </c>
    </row>
    <row r="52" spans="2:11" x14ac:dyDescent="0.25">
      <c r="B52" s="418" t="s">
        <v>890</v>
      </c>
      <c r="G52" s="418" t="s">
        <v>1732</v>
      </c>
    </row>
    <row r="53" spans="2:11" x14ac:dyDescent="0.25">
      <c r="B53" s="418" t="s">
        <v>835</v>
      </c>
    </row>
    <row r="54" spans="2:11" x14ac:dyDescent="0.25">
      <c r="B54" s="418" t="s">
        <v>1180</v>
      </c>
    </row>
    <row r="56" spans="2:11" x14ac:dyDescent="0.25">
      <c r="B56" t="s">
        <v>825</v>
      </c>
      <c r="D56" s="14"/>
      <c r="E56" t="str">
        <f ca="1">IFERROR(_xlfn.FORMULATEXT(D56)," ")</f>
        <v xml:space="preserve"> </v>
      </c>
      <c r="G56" t="s">
        <v>825</v>
      </c>
      <c r="I56" s="14">
        <f>3*300000</f>
        <v>900000</v>
      </c>
      <c r="J56" t="str">
        <f ca="1">IFERROR(_xlfn.FORMULATEXT(I56)," ")</f>
        <v>=3*300000</v>
      </c>
    </row>
    <row r="57" spans="2:11" x14ac:dyDescent="0.25">
      <c r="B57" t="s">
        <v>826</v>
      </c>
      <c r="D57" s="14">
        <f>300000*3</f>
        <v>900000</v>
      </c>
      <c r="G57" t="s">
        <v>1721</v>
      </c>
      <c r="I57" s="14">
        <f>3.36*300000</f>
        <v>1008000</v>
      </c>
      <c r="J57" t="str">
        <f ca="1">IFERROR(_xlfn.FORMULATEXT(I57)," ")</f>
        <v>=3.36*300000</v>
      </c>
    </row>
    <row r="58" spans="2:11" x14ac:dyDescent="0.25">
      <c r="B58" t="s">
        <v>824</v>
      </c>
      <c r="D58" s="11">
        <f>D57-D56</f>
        <v>900000</v>
      </c>
      <c r="G58" t="s">
        <v>1722</v>
      </c>
      <c r="I58" s="11">
        <f>I57-I56</f>
        <v>108000</v>
      </c>
    </row>
    <row r="59" spans="2:11" x14ac:dyDescent="0.25">
      <c r="D59" s="11"/>
      <c r="I59" s="11"/>
    </row>
    <row r="60" spans="2:11" x14ac:dyDescent="0.25">
      <c r="B60" t="s">
        <v>836</v>
      </c>
      <c r="D60" s="27">
        <v>980000</v>
      </c>
    </row>
    <row r="61" spans="2:11" x14ac:dyDescent="0.25">
      <c r="B61" t="s">
        <v>179</v>
      </c>
      <c r="D61" s="20">
        <f>D60-D57</f>
        <v>80000</v>
      </c>
      <c r="G61" s="3" t="s">
        <v>1792</v>
      </c>
      <c r="H61" s="32">
        <f>IF($I$58&lt;0,-$I$58,0)</f>
        <v>0</v>
      </c>
      <c r="I61" s="32">
        <f>IF($I$58&gt;0,$I$58,0)</f>
        <v>108000</v>
      </c>
      <c r="K61" s="418" t="s">
        <v>1793</v>
      </c>
    </row>
    <row r="62" spans="2:11" x14ac:dyDescent="0.25">
      <c r="G62" t="str">
        <f>IF(I58&gt;0,"DR Investment","CR Investment")</f>
        <v>DR Investment</v>
      </c>
      <c r="H62" s="32">
        <f>IF($I$58&gt;0,$I$58,0)</f>
        <v>108000</v>
      </c>
      <c r="I62" s="32">
        <f>IF($I$58&lt;0,-$I$58,0)</f>
        <v>0</v>
      </c>
    </row>
    <row r="63" spans="2:11" x14ac:dyDescent="0.25">
      <c r="B63" s="3" t="s">
        <v>888</v>
      </c>
      <c r="C63" s="32">
        <f>IF($D$61&lt;0,-$D$61,0)</f>
        <v>0</v>
      </c>
      <c r="D63" s="10">
        <f>IF($D$61&gt;0,$D$61,0)</f>
        <v>80000</v>
      </c>
      <c r="E63" s="418" t="s">
        <v>1138</v>
      </c>
      <c r="K63" s="418" t="s">
        <v>1138</v>
      </c>
    </row>
    <row r="64" spans="2:11" x14ac:dyDescent="0.25">
      <c r="B64" t="s">
        <v>355</v>
      </c>
      <c r="C64" s="10">
        <f>IF($D$61&gt;0,$D$61,0)</f>
        <v>80000</v>
      </c>
      <c r="D64" s="32">
        <f>IF($D$61&lt;0,-$D$61,0)</f>
        <v>0</v>
      </c>
    </row>
    <row r="65" spans="2:10" x14ac:dyDescent="0.25">
      <c r="C65" s="10"/>
      <c r="J65" s="11"/>
    </row>
    <row r="67" spans="2:10" x14ac:dyDescent="0.25">
      <c r="B67" t="s">
        <v>837</v>
      </c>
      <c r="C67" s="10">
        <f>D60</f>
        <v>980000</v>
      </c>
    </row>
    <row r="68" spans="2:10" x14ac:dyDescent="0.25">
      <c r="B68" t="s">
        <v>838</v>
      </c>
      <c r="D68" s="10">
        <f>D60</f>
        <v>980000</v>
      </c>
    </row>
    <row r="69" spans="2:10" x14ac:dyDescent="0.25">
      <c r="E69" s="91"/>
    </row>
    <row r="70" spans="2:10" x14ac:dyDescent="0.25">
      <c r="B70" s="3" t="s">
        <v>889</v>
      </c>
      <c r="C70" s="12">
        <f>D58+D61</f>
        <v>980000</v>
      </c>
    </row>
    <row r="71" spans="2:10" x14ac:dyDescent="0.25">
      <c r="B71" t="s">
        <v>591</v>
      </c>
      <c r="D71" s="12">
        <f>D58+D61</f>
        <v>980000</v>
      </c>
    </row>
    <row r="73" spans="2:10" x14ac:dyDescent="0.25">
      <c r="C73" s="11"/>
      <c r="D73" s="11"/>
    </row>
    <row r="74" spans="2:10" x14ac:dyDescent="0.25">
      <c r="B74" t="s">
        <v>1139</v>
      </c>
    </row>
    <row r="75" spans="2:10" x14ac:dyDescent="0.25">
      <c r="B75" t="s">
        <v>1140</v>
      </c>
      <c r="C75" s="3">
        <v>74000</v>
      </c>
    </row>
    <row r="76" spans="2:10" x14ac:dyDescent="0.25">
      <c r="B76" t="s">
        <v>967</v>
      </c>
      <c r="D76" s="3">
        <v>74000</v>
      </c>
    </row>
    <row r="77" spans="2:10" x14ac:dyDescent="0.25">
      <c r="C77" s="220"/>
    </row>
    <row r="78" spans="2:10" x14ac:dyDescent="0.25">
      <c r="D78" s="10"/>
    </row>
    <row r="79" spans="2:10" x14ac:dyDescent="0.25">
      <c r="D79" s="10"/>
    </row>
    <row r="80" spans="2:10" x14ac:dyDescent="0.25">
      <c r="C80" s="32"/>
      <c r="D80" s="10"/>
    </row>
    <row r="81" spans="2:5" x14ac:dyDescent="0.25">
      <c r="D81" s="10"/>
    </row>
    <row r="82" spans="2:5" x14ac:dyDescent="0.25">
      <c r="B82" s="1" t="s">
        <v>1794</v>
      </c>
    </row>
    <row r="83" spans="2:5" x14ac:dyDescent="0.25">
      <c r="B83" s="418" t="s">
        <v>834</v>
      </c>
    </row>
    <row r="84" spans="2:5" x14ac:dyDescent="0.25">
      <c r="B84" s="418" t="s">
        <v>901</v>
      </c>
    </row>
    <row r="85" spans="2:5" x14ac:dyDescent="0.25">
      <c r="B85" s="418" t="s">
        <v>1795</v>
      </c>
    </row>
    <row r="86" spans="2:5" x14ac:dyDescent="0.25">
      <c r="B86" s="418" t="s">
        <v>835</v>
      </c>
    </row>
    <row r="87" spans="2:5" x14ac:dyDescent="0.25">
      <c r="B87" s="418"/>
    </row>
    <row r="89" spans="2:5" x14ac:dyDescent="0.25">
      <c r="B89" t="s">
        <v>825</v>
      </c>
      <c r="D89" s="14">
        <f>400*2.4</f>
        <v>960</v>
      </c>
      <c r="E89" t="str">
        <f ca="1">IFERROR(_xlfn.FORMULATEXT(D89)," ")</f>
        <v>=400*2.4</v>
      </c>
    </row>
    <row r="90" spans="2:5" x14ac:dyDescent="0.25">
      <c r="B90" t="s">
        <v>826</v>
      </c>
      <c r="D90" s="14">
        <v>1801</v>
      </c>
      <c r="E90" t="str">
        <f ca="1">IFERROR(_xlfn.FORMULATEXT(D90)," ")</f>
        <v xml:space="preserve"> </v>
      </c>
    </row>
    <row r="91" spans="2:5" hidden="1" x14ac:dyDescent="0.25">
      <c r="B91" t="s">
        <v>824</v>
      </c>
      <c r="D91" s="11">
        <f>D90-D89</f>
        <v>841</v>
      </c>
    </row>
    <row r="92" spans="2:5" x14ac:dyDescent="0.25">
      <c r="D92" s="11"/>
    </row>
    <row r="93" spans="2:5" x14ac:dyDescent="0.25">
      <c r="B93" t="s">
        <v>836</v>
      </c>
      <c r="D93" s="27">
        <v>1848</v>
      </c>
    </row>
    <row r="94" spans="2:5" x14ac:dyDescent="0.25">
      <c r="B94" t="s">
        <v>179</v>
      </c>
      <c r="D94" s="20">
        <f>D93-D90</f>
        <v>47</v>
      </c>
    </row>
    <row r="96" spans="2:5" x14ac:dyDescent="0.25">
      <c r="B96" s="3" t="s">
        <v>1797</v>
      </c>
      <c r="C96" s="32">
        <f>IF($D$94&lt;0,-$D$94,0)</f>
        <v>0</v>
      </c>
      <c r="D96" s="10">
        <f>IF($D$94&gt;0,$D$94,0)</f>
        <v>47</v>
      </c>
      <c r="E96" s="418"/>
    </row>
    <row r="97" spans="2:5" x14ac:dyDescent="0.25">
      <c r="B97" t="s">
        <v>866</v>
      </c>
      <c r="C97" s="10">
        <f>IF($D$94&gt;0,$D$94,0)</f>
        <v>47</v>
      </c>
      <c r="D97" s="32">
        <f>IF($D$94&lt;0,-$D$94,0)</f>
        <v>0</v>
      </c>
    </row>
    <row r="98" spans="2:5" x14ac:dyDescent="0.25">
      <c r="C98" s="10"/>
    </row>
    <row r="100" spans="2:5" x14ac:dyDescent="0.25">
      <c r="B100" s="3" t="s">
        <v>837</v>
      </c>
      <c r="C100" s="10">
        <f>D93-3000</f>
        <v>-1152</v>
      </c>
    </row>
    <row r="101" spans="2:5" x14ac:dyDescent="0.25">
      <c r="B101" t="s">
        <v>1796</v>
      </c>
      <c r="C101" s="10">
        <v>74</v>
      </c>
    </row>
    <row r="102" spans="2:5" x14ac:dyDescent="0.25">
      <c r="B102" t="s">
        <v>838</v>
      </c>
      <c r="D102" s="10">
        <f>D93</f>
        <v>1848</v>
      </c>
    </row>
    <row r="103" spans="2:5" x14ac:dyDescent="0.25">
      <c r="E103" s="91"/>
    </row>
    <row r="104" spans="2:5" x14ac:dyDescent="0.25">
      <c r="C104" s="220"/>
    </row>
  </sheetData>
  <mergeCells count="3">
    <mergeCell ref="D2:E2"/>
    <mergeCell ref="K2:T5"/>
    <mergeCell ref="K20:T28"/>
  </mergeCells>
  <hyperlinks>
    <hyperlink ref="A1" location="Main!A1" display="Main" xr:uid="{2A704970-A892-4308-8C8D-EA8B9E860766}"/>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119"/>
  <sheetViews>
    <sheetView tabSelected="1" topLeftCell="A58" zoomScale="70" zoomScaleNormal="70" workbookViewId="0">
      <selection activeCell="E64" sqref="E64"/>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1:6" ht="15.75" thickBot="1" x14ac:dyDescent="0.3">
      <c r="A1" s="161" t="s">
        <v>1984</v>
      </c>
    </row>
    <row r="2" spans="1:6" ht="15.75" thickBot="1" x14ac:dyDescent="0.3">
      <c r="B2" s="916" t="s">
        <v>560</v>
      </c>
      <c r="C2" s="917"/>
      <c r="F2" t="s">
        <v>584</v>
      </c>
    </row>
    <row r="3" spans="1:6" ht="72.95" customHeight="1" x14ac:dyDescent="0.25">
      <c r="B3" s="60" t="s">
        <v>564</v>
      </c>
      <c r="C3" s="210" t="s">
        <v>429</v>
      </c>
      <c r="D3" s="175" t="s">
        <v>565</v>
      </c>
      <c r="F3" t="s">
        <v>585</v>
      </c>
    </row>
    <row r="4" spans="1:6" ht="32.450000000000003" customHeight="1" thickBot="1" x14ac:dyDescent="0.3">
      <c r="B4" s="151" t="s">
        <v>534</v>
      </c>
      <c r="C4" s="80" t="str">
        <f>IF(C3="Other","Amortised cost","FVTPL")</f>
        <v>Amortised cost</v>
      </c>
    </row>
    <row r="5" spans="1:6" ht="68.45" customHeight="1" thickBot="1" x14ac:dyDescent="0.3"/>
    <row r="6" spans="1:6" ht="15.75" thickBot="1" x14ac:dyDescent="0.3">
      <c r="B6" s="918" t="s">
        <v>80</v>
      </c>
      <c r="C6" s="919"/>
      <c r="D6" s="920"/>
    </row>
    <row r="7" spans="1:6" ht="69.599999999999994" customHeight="1" x14ac:dyDescent="0.25">
      <c r="B7" s="60" t="s">
        <v>543</v>
      </c>
      <c r="C7" s="214"/>
      <c r="D7" s="62" t="str" cm="1">
        <f t="array" ref="D7">_xlfn.IFS(C7="Irredeemable","Equity",C7="Redeemable","Compund",C7=0," ")</f>
        <v xml:space="preserve"> </v>
      </c>
      <c r="F7" s="175" t="s">
        <v>567</v>
      </c>
    </row>
    <row r="8" spans="1:6" ht="15.75" thickBot="1" x14ac:dyDescent="0.3">
      <c r="B8" s="70" t="s">
        <v>544</v>
      </c>
      <c r="C8" s="215" t="s">
        <v>547</v>
      </c>
      <c r="D8" s="80"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7"/>
    </row>
    <row r="10" spans="1:6" x14ac:dyDescent="0.25">
      <c r="B10" s="418" t="s">
        <v>895</v>
      </c>
    </row>
    <row r="12" spans="1:6" x14ac:dyDescent="0.25">
      <c r="B12" s="1" t="s">
        <v>566</v>
      </c>
    </row>
    <row r="13" spans="1:6" x14ac:dyDescent="0.25">
      <c r="B13" t="s">
        <v>550</v>
      </c>
    </row>
    <row r="14" spans="1:6" x14ac:dyDescent="0.25">
      <c r="B14" t="s">
        <v>551</v>
      </c>
      <c r="C14" s="829">
        <v>5000</v>
      </c>
      <c r="D14" s="12"/>
      <c r="E14" s="12"/>
      <c r="F14" s="11"/>
    </row>
    <row r="15" spans="1:6" x14ac:dyDescent="0.25">
      <c r="B15" t="s">
        <v>1431</v>
      </c>
      <c r="C15" s="829">
        <v>5030</v>
      </c>
      <c r="D15" s="12"/>
      <c r="F15" s="11"/>
    </row>
    <row r="16" spans="1:6" x14ac:dyDescent="0.25">
      <c r="B16" t="s">
        <v>554</v>
      </c>
      <c r="C16" s="216"/>
      <c r="D16" s="12"/>
      <c r="F16" s="11"/>
    </row>
    <row r="17" spans="2:6" x14ac:dyDescent="0.25">
      <c r="B17" t="s">
        <v>552</v>
      </c>
      <c r="C17" s="222">
        <v>3.5000000000000003E-2</v>
      </c>
      <c r="D17" s="418" t="s">
        <v>897</v>
      </c>
      <c r="F17" s="12"/>
    </row>
    <row r="18" spans="2:6" x14ac:dyDescent="0.25">
      <c r="B18" t="s">
        <v>332</v>
      </c>
      <c r="C18" s="222">
        <v>2.8799999999999999E-2</v>
      </c>
      <c r="D18" s="418" t="s">
        <v>1432</v>
      </c>
    </row>
    <row r="19" spans="2:6" x14ac:dyDescent="0.25">
      <c r="B19" t="s">
        <v>553</v>
      </c>
      <c r="C19" s="36" t="s">
        <v>136</v>
      </c>
      <c r="D19" s="418" t="s">
        <v>900</v>
      </c>
    </row>
    <row r="20" spans="2:6" ht="15.75" thickBot="1" x14ac:dyDescent="0.3"/>
    <row r="21" spans="2:6" ht="15.75" thickBot="1" x14ac:dyDescent="0.3">
      <c r="B21" s="143" t="s">
        <v>12</v>
      </c>
      <c r="C21" s="144" t="s">
        <v>555</v>
      </c>
      <c r="D21" s="144" t="s">
        <v>332</v>
      </c>
      <c r="E21" s="144" t="s">
        <v>568</v>
      </c>
      <c r="F21" s="145" t="s">
        <v>823</v>
      </c>
    </row>
    <row r="22" spans="2:6" x14ac:dyDescent="0.25">
      <c r="B22" s="134"/>
      <c r="C22" s="135" t="s">
        <v>141</v>
      </c>
      <c r="D22" s="135" t="s">
        <v>141</v>
      </c>
      <c r="E22" s="135" t="s">
        <v>141</v>
      </c>
      <c r="F22" s="136" t="s">
        <v>141</v>
      </c>
    </row>
    <row r="23" spans="2:6" x14ac:dyDescent="0.25">
      <c r="B23" s="137">
        <v>44316</v>
      </c>
      <c r="C23" s="823">
        <f>C15-C16</f>
        <v>5030</v>
      </c>
      <c r="D23" s="823">
        <f>IF($C$19="arrears",C23*$C$18,(C23+E23)*$C$18)</f>
        <v>144.864</v>
      </c>
      <c r="E23" s="824">
        <f>IF($C$19="ADVANCE",0,-$C$14*$C$17)</f>
        <v>-175.00000000000003</v>
      </c>
      <c r="F23" s="825">
        <f t="shared" ref="F23:F28" si="0">C23+D23+E23</f>
        <v>4999.8639999999996</v>
      </c>
    </row>
    <row r="24" spans="2:6" x14ac:dyDescent="0.25">
      <c r="B24" s="137">
        <f>B23+365</f>
        <v>44681</v>
      </c>
      <c r="C24" s="823">
        <f>F23</f>
        <v>4999.8639999999996</v>
      </c>
      <c r="D24" s="823">
        <f t="shared" ref="D24:D28" si="1">IF($C$19="arrears",C24*$C$18,(C24+E24)*$C$18)</f>
        <v>143.99608319999999</v>
      </c>
      <c r="E24" s="824">
        <f>(-$C$14*$C$17)</f>
        <v>-175.00000000000003</v>
      </c>
      <c r="F24" s="825">
        <f t="shared" si="0"/>
        <v>4968.8600831999993</v>
      </c>
    </row>
    <row r="25" spans="2:6" x14ac:dyDescent="0.25">
      <c r="B25" s="137">
        <f>B24+365</f>
        <v>45046</v>
      </c>
      <c r="C25" s="823">
        <f>F24</f>
        <v>4968.8600831999993</v>
      </c>
      <c r="D25" s="823">
        <f t="shared" si="1"/>
        <v>143.10317039615998</v>
      </c>
      <c r="E25" s="824">
        <f>(-$C$14*$C$17)</f>
        <v>-175.00000000000003</v>
      </c>
      <c r="F25" s="825">
        <f t="shared" si="0"/>
        <v>4936.9632535961591</v>
      </c>
    </row>
    <row r="26" spans="2:6" x14ac:dyDescent="0.25">
      <c r="B26" s="137">
        <f>B25+365</f>
        <v>45411</v>
      </c>
      <c r="C26" s="824">
        <f>F25</f>
        <v>4936.9632535961591</v>
      </c>
      <c r="D26" s="823">
        <f t="shared" si="1"/>
        <v>142.18454170356938</v>
      </c>
      <c r="E26" s="824">
        <f>(-$C$14*$C$17)</f>
        <v>-175.00000000000003</v>
      </c>
      <c r="F26" s="826">
        <f t="shared" si="0"/>
        <v>4904.1477952997284</v>
      </c>
    </row>
    <row r="27" spans="2:6" x14ac:dyDescent="0.25">
      <c r="B27" s="137">
        <f>B26+365</f>
        <v>45776</v>
      </c>
      <c r="C27" s="824">
        <f>F26</f>
        <v>4904.1477952997284</v>
      </c>
      <c r="D27" s="823">
        <f t="shared" si="1"/>
        <v>141.23945650463219</v>
      </c>
      <c r="E27" s="824">
        <f>(-$C$14*$C$17)</f>
        <v>-175.00000000000003</v>
      </c>
      <c r="F27" s="825">
        <f t="shared" si="0"/>
        <v>4870.3872518043609</v>
      </c>
    </row>
    <row r="28" spans="2:6" x14ac:dyDescent="0.25">
      <c r="B28" s="137">
        <f>B27+365</f>
        <v>46141</v>
      </c>
      <c r="C28" s="824">
        <f>F27</f>
        <v>4870.3872518043609</v>
      </c>
      <c r="D28" s="823">
        <f t="shared" si="1"/>
        <v>140.26715285196559</v>
      </c>
      <c r="E28" s="824">
        <f>(-$C$14*$C$17)</f>
        <v>-175.00000000000003</v>
      </c>
      <c r="F28" s="825">
        <f t="shared" si="0"/>
        <v>4835.6544046563267</v>
      </c>
    </row>
    <row r="29" spans="2:6" x14ac:dyDescent="0.25">
      <c r="B29" s="63"/>
      <c r="C29" s="824"/>
      <c r="D29" s="824"/>
      <c r="E29" s="824"/>
      <c r="F29" s="825"/>
    </row>
    <row r="30" spans="2:6" x14ac:dyDescent="0.25">
      <c r="B30" s="63"/>
      <c r="C30" s="824"/>
      <c r="D30" s="824"/>
      <c r="E30" s="824"/>
      <c r="F30" s="825"/>
    </row>
    <row r="31" spans="2:6" x14ac:dyDescent="0.25">
      <c r="B31" s="63" t="s">
        <v>556</v>
      </c>
      <c r="C31" s="824">
        <f>F24</f>
        <v>4968.8600831999993</v>
      </c>
      <c r="D31" s="824"/>
      <c r="E31" s="824"/>
      <c r="F31" s="825"/>
    </row>
    <row r="32" spans="2:6" x14ac:dyDescent="0.25">
      <c r="B32" s="63" t="s">
        <v>557</v>
      </c>
      <c r="C32" s="824">
        <f>F23-F24</f>
        <v>31.003916800000297</v>
      </c>
      <c r="D32" s="827" t="s">
        <v>297</v>
      </c>
      <c r="E32" s="824"/>
      <c r="F32" s="825"/>
    </row>
    <row r="33" spans="2:12" ht="18.600000000000001" customHeight="1" thickBot="1" x14ac:dyDescent="0.3">
      <c r="B33" s="78" t="str">
        <f>"Lease payable at year end"</f>
        <v>Lease payable at year end</v>
      </c>
      <c r="C33" s="828">
        <f>C31+C32</f>
        <v>4999.8639999999996</v>
      </c>
      <c r="D33" s="824"/>
      <c r="E33" s="824"/>
      <c r="F33" s="825"/>
    </row>
    <row r="34" spans="2:12" ht="15.75" thickBot="1" x14ac:dyDescent="0.3">
      <c r="B34" s="70"/>
      <c r="C34" s="71"/>
      <c r="D34" s="71"/>
      <c r="E34" s="71"/>
      <c r="F34" s="80"/>
    </row>
    <row r="35" spans="2:12" x14ac:dyDescent="0.25">
      <c r="B35" s="64"/>
      <c r="C35" s="64"/>
      <c r="D35" s="64"/>
      <c r="E35" s="64"/>
      <c r="F35" s="64"/>
    </row>
    <row r="36" spans="2:12" x14ac:dyDescent="0.25">
      <c r="B36" s="642" t="s">
        <v>1506</v>
      </c>
      <c r="C36" s="643" t="str">
        <f>D23&amp;E23&amp;" = £"&amp;(D23+E23)</f>
        <v>144.864-175 = £-30.136</v>
      </c>
      <c r="D36" s="64"/>
      <c r="E36" s="64"/>
      <c r="F36" s="64"/>
    </row>
    <row r="37" spans="2:12" x14ac:dyDescent="0.25">
      <c r="B37" s="64"/>
      <c r="C37" s="64"/>
      <c r="D37" s="64"/>
      <c r="E37" s="64"/>
      <c r="F37" s="64"/>
    </row>
    <row r="38" spans="2:12" x14ac:dyDescent="0.25">
      <c r="C38" s="64"/>
      <c r="D38" s="64"/>
      <c r="E38" s="64"/>
      <c r="F38" s="64"/>
    </row>
    <row r="39" spans="2:12" x14ac:dyDescent="0.25">
      <c r="B39" s="3" t="s">
        <v>535</v>
      </c>
      <c r="C39" s="802"/>
      <c r="D39" s="830">
        <f>D23</f>
        <v>144.864</v>
      </c>
      <c r="L39" s="11"/>
    </row>
    <row r="40" spans="2:12" x14ac:dyDescent="0.25">
      <c r="B40" t="s">
        <v>598</v>
      </c>
      <c r="C40" s="802">
        <f>D23</f>
        <v>144.864</v>
      </c>
      <c r="D40" s="802"/>
      <c r="K40" s="11"/>
      <c r="L40" s="11"/>
    </row>
    <row r="41" spans="2:12" x14ac:dyDescent="0.25">
      <c r="C41" s="802"/>
      <c r="D41" s="802"/>
      <c r="F41" s="642" t="s">
        <v>1507</v>
      </c>
      <c r="K41" s="11"/>
      <c r="L41" s="11"/>
    </row>
    <row r="42" spans="2:12" x14ac:dyDescent="0.25">
      <c r="B42" s="3" t="s">
        <v>356</v>
      </c>
      <c r="C42" s="802">
        <f>-E23</f>
        <v>175.00000000000003</v>
      </c>
      <c r="D42" s="802"/>
      <c r="K42" s="11"/>
      <c r="L42" s="11"/>
    </row>
    <row r="43" spans="2:12" x14ac:dyDescent="0.25">
      <c r="B43" t="s">
        <v>595</v>
      </c>
      <c r="C43" s="802"/>
      <c r="D43" s="802">
        <f>-E23</f>
        <v>175.00000000000003</v>
      </c>
      <c r="K43" s="11"/>
      <c r="L43" s="11"/>
    </row>
    <row r="44" spans="2:12" x14ac:dyDescent="0.25">
      <c r="C44" s="802"/>
      <c r="D44" s="802"/>
      <c r="K44" s="11"/>
      <c r="L44" s="11"/>
    </row>
    <row r="45" spans="2:12" x14ac:dyDescent="0.25">
      <c r="B45" t="s">
        <v>827</v>
      </c>
      <c r="C45" s="802"/>
      <c r="D45" s="802"/>
      <c r="F45" s="418"/>
      <c r="G45" s="11"/>
      <c r="H45" s="11"/>
      <c r="K45" s="11"/>
      <c r="L45" s="11"/>
    </row>
    <row r="46" spans="2:12" x14ac:dyDescent="0.25">
      <c r="B46" t="s">
        <v>356</v>
      </c>
      <c r="C46" s="831"/>
      <c r="D46" s="831">
        <f>1.05*4000000</f>
        <v>4200000</v>
      </c>
    </row>
    <row r="47" spans="2:12" x14ac:dyDescent="0.25">
      <c r="B47" t="s">
        <v>828</v>
      </c>
      <c r="C47" s="831">
        <v>4249184</v>
      </c>
      <c r="D47" s="802"/>
    </row>
    <row r="48" spans="2:12" x14ac:dyDescent="0.25">
      <c r="B48" t="s">
        <v>829</v>
      </c>
      <c r="C48" s="802"/>
      <c r="D48" s="802">
        <f>C47-D46</f>
        <v>49184</v>
      </c>
    </row>
    <row r="50" spans="2:4" x14ac:dyDescent="0.25">
      <c r="B50" s="418" t="s">
        <v>1175</v>
      </c>
      <c r="C50" s="220"/>
    </row>
    <row r="51" spans="2:4" x14ac:dyDescent="0.25">
      <c r="B51" s="418" t="s">
        <v>1176</v>
      </c>
      <c r="D51" s="10"/>
    </row>
    <row r="52" spans="2:4" x14ac:dyDescent="0.25">
      <c r="D52" s="10"/>
    </row>
    <row r="53" spans="2:4" x14ac:dyDescent="0.25">
      <c r="C53" s="32"/>
      <c r="D53" s="10"/>
    </row>
    <row r="54" spans="2:4" x14ac:dyDescent="0.25">
      <c r="B54" s="1" t="s">
        <v>603</v>
      </c>
      <c r="D54" s="10"/>
    </row>
    <row r="55" spans="2:4" x14ac:dyDescent="0.25">
      <c r="B55" s="418" t="s">
        <v>1562</v>
      </c>
      <c r="D55" s="10"/>
    </row>
    <row r="56" spans="2:4" x14ac:dyDescent="0.25">
      <c r="B56" s="418" t="s">
        <v>1178</v>
      </c>
    </row>
    <row r="57" spans="2:4" x14ac:dyDescent="0.25">
      <c r="B57" s="418" t="s">
        <v>1566</v>
      </c>
    </row>
    <row r="58" spans="2:4" x14ac:dyDescent="0.25">
      <c r="B58" s="418" t="s">
        <v>830</v>
      </c>
    </row>
    <row r="59" spans="2:4" x14ac:dyDescent="0.25">
      <c r="B59" s="418" t="s">
        <v>1177</v>
      </c>
    </row>
    <row r="60" spans="2:4" x14ac:dyDescent="0.25">
      <c r="B60" s="418" t="s">
        <v>1179</v>
      </c>
    </row>
    <row r="61" spans="2:4" x14ac:dyDescent="0.25">
      <c r="B61" s="418" t="s">
        <v>1578</v>
      </c>
    </row>
    <row r="62" spans="2:4" x14ac:dyDescent="0.25">
      <c r="C62" s="2" t="s">
        <v>141</v>
      </c>
    </row>
    <row r="63" spans="2:4" x14ac:dyDescent="0.25">
      <c r="B63" t="s">
        <v>604</v>
      </c>
      <c r="C63" s="14"/>
    </row>
    <row r="64" spans="2:4" x14ac:dyDescent="0.25">
      <c r="B64" t="s">
        <v>605</v>
      </c>
      <c r="C64" s="14"/>
    </row>
    <row r="65" spans="1:10" ht="15.75" thickBot="1" x14ac:dyDescent="0.3">
      <c r="A65" s="11"/>
      <c r="B65" s="11"/>
      <c r="C65" s="18">
        <f>C63-C64</f>
        <v>0</v>
      </c>
    </row>
    <row r="66" spans="1:10" ht="15.75" thickTop="1" x14ac:dyDescent="0.25"/>
    <row r="69" spans="1:10" ht="12.95" customHeight="1" x14ac:dyDescent="0.25"/>
    <row r="72" spans="1:10" x14ac:dyDescent="0.25">
      <c r="B72" s="1" t="s">
        <v>589</v>
      </c>
      <c r="C72" s="12"/>
    </row>
    <row r="73" spans="1:10" x14ac:dyDescent="0.25">
      <c r="J73" s="1" t="s">
        <v>736</v>
      </c>
    </row>
    <row r="74" spans="1:10" x14ac:dyDescent="0.25">
      <c r="B74" s="418" t="s">
        <v>831</v>
      </c>
      <c r="J74" t="s">
        <v>737</v>
      </c>
    </row>
    <row r="75" spans="1:10" x14ac:dyDescent="0.25">
      <c r="B75" s="418" t="s">
        <v>832</v>
      </c>
      <c r="J75" t="s">
        <v>738</v>
      </c>
    </row>
    <row r="76" spans="1:10" x14ac:dyDescent="0.25">
      <c r="J76" t="s">
        <v>739</v>
      </c>
    </row>
    <row r="77" spans="1:10" x14ac:dyDescent="0.25">
      <c r="B77" t="s">
        <v>582</v>
      </c>
      <c r="C77" s="14">
        <v>240</v>
      </c>
      <c r="D77" s="418" t="s">
        <v>1434</v>
      </c>
    </row>
    <row r="78" spans="1:10" x14ac:dyDescent="0.25">
      <c r="B78" t="s">
        <v>590</v>
      </c>
      <c r="C78" s="14">
        <f>10000*0.95</f>
        <v>9500</v>
      </c>
      <c r="D78" s="418" t="s">
        <v>1433</v>
      </c>
    </row>
    <row r="79" spans="1:10" x14ac:dyDescent="0.25">
      <c r="B79" t="s">
        <v>592</v>
      </c>
      <c r="C79" s="187">
        <v>0.9</v>
      </c>
      <c r="D79" s="418" t="s">
        <v>1579</v>
      </c>
    </row>
    <row r="80" spans="1:10" x14ac:dyDescent="0.25">
      <c r="B80" t="str">
        <f ca="1">"Shares redeemed "&amp;IFERROR(_xlfn.FORMULATEXT(C80)," ")</f>
        <v>Shares redeemed =1/3*10000*C79</v>
      </c>
      <c r="C80" s="14">
        <f>1/3*10000*C79</f>
        <v>3000</v>
      </c>
      <c r="D80" s="418" t="s">
        <v>599</v>
      </c>
    </row>
    <row r="81" spans="2:4" x14ac:dyDescent="0.25">
      <c r="B81" t="s">
        <v>349</v>
      </c>
      <c r="C81" s="3">
        <v>1</v>
      </c>
      <c r="D81" s="418" t="s">
        <v>600</v>
      </c>
    </row>
    <row r="82" spans="2:4" x14ac:dyDescent="0.25">
      <c r="C82" s="12"/>
    </row>
    <row r="84" spans="2:4" x14ac:dyDescent="0.25">
      <c r="B84" s="655" t="s">
        <v>1936</v>
      </c>
      <c r="C84" s="11"/>
      <c r="D84" s="11"/>
    </row>
    <row r="85" spans="2:4" x14ac:dyDescent="0.25">
      <c r="B85" s="655" t="s">
        <v>1937</v>
      </c>
      <c r="C85" s="11"/>
      <c r="D85" s="11"/>
    </row>
    <row r="86" spans="2:4" x14ac:dyDescent="0.25">
      <c r="B86" s="11" t="s">
        <v>593</v>
      </c>
      <c r="C86" s="11">
        <f>C78*(1-C79)</f>
        <v>949.99999999999977</v>
      </c>
      <c r="D86" s="11"/>
    </row>
    <row r="87" spans="2:4" x14ac:dyDescent="0.25">
      <c r="B87" s="745" t="s">
        <v>1970</v>
      </c>
      <c r="C87" s="11"/>
      <c r="D87" s="11">
        <f>C86</f>
        <v>949.99999999999977</v>
      </c>
    </row>
    <row r="88" spans="2:4" x14ac:dyDescent="0.25">
      <c r="B88" s="655"/>
      <c r="C88" s="11"/>
      <c r="D88" s="11"/>
    </row>
    <row r="89" spans="2:4" x14ac:dyDescent="0.25">
      <c r="B89" s="11" t="s">
        <v>593</v>
      </c>
      <c r="C89" s="11">
        <f>C78*C79</f>
        <v>8550</v>
      </c>
    </row>
    <row r="90" spans="2:4" x14ac:dyDescent="0.25">
      <c r="B90" t="s">
        <v>594</v>
      </c>
      <c r="C90" s="11"/>
      <c r="D90" s="11">
        <f>C80*C81</f>
        <v>3000</v>
      </c>
    </row>
    <row r="91" spans="2:4" x14ac:dyDescent="0.25">
      <c r="B91" t="s">
        <v>583</v>
      </c>
      <c r="C91" s="11"/>
      <c r="D91" s="11">
        <f>C89-D90</f>
        <v>5550</v>
      </c>
    </row>
    <row r="93" spans="2:4" x14ac:dyDescent="0.25">
      <c r="B93" s="418" t="s">
        <v>1935</v>
      </c>
    </row>
    <row r="94" spans="2:4" x14ac:dyDescent="0.25">
      <c r="B94" t="s">
        <v>735</v>
      </c>
      <c r="C94" s="11">
        <f>C77</f>
        <v>240</v>
      </c>
      <c r="D94" s="11"/>
    </row>
    <row r="95" spans="2:4" x14ac:dyDescent="0.25">
      <c r="B95" t="s">
        <v>591</v>
      </c>
      <c r="C95" s="11"/>
      <c r="D95" s="11">
        <f>C77</f>
        <v>240</v>
      </c>
    </row>
    <row r="109" spans="3:8" x14ac:dyDescent="0.25">
      <c r="C109" s="628"/>
      <c r="D109" s="628"/>
      <c r="E109" s="628"/>
      <c r="F109" s="628"/>
    </row>
    <row r="110" spans="3:8" x14ac:dyDescent="0.25">
      <c r="C110" s="628"/>
      <c r="D110" s="628"/>
      <c r="E110" s="628"/>
      <c r="F110" s="628"/>
      <c r="G110" s="628"/>
    </row>
    <row r="111" spans="3:8" x14ac:dyDescent="0.25">
      <c r="C111" s="628"/>
      <c r="D111" s="628"/>
      <c r="E111" s="628"/>
      <c r="F111" s="628"/>
      <c r="G111" s="628"/>
    </row>
    <row r="112" spans="3:8" x14ac:dyDescent="0.25">
      <c r="C112" s="628"/>
      <c r="D112" s="628"/>
      <c r="E112" s="628"/>
      <c r="F112" s="628"/>
      <c r="G112" s="628"/>
      <c r="H112" s="628"/>
    </row>
    <row r="113" spans="3:7" x14ac:dyDescent="0.25">
      <c r="C113" s="628"/>
      <c r="D113" s="628"/>
      <c r="E113" s="628"/>
      <c r="F113" s="628"/>
      <c r="G113" s="628"/>
    </row>
    <row r="114" spans="3:7" x14ac:dyDescent="0.25">
      <c r="C114" s="628"/>
      <c r="D114" s="628"/>
      <c r="E114" s="628"/>
      <c r="F114" s="628"/>
      <c r="G114" s="628"/>
    </row>
    <row r="115" spans="3:7" x14ac:dyDescent="0.25">
      <c r="C115" s="628"/>
      <c r="D115" s="628"/>
      <c r="E115" s="628"/>
      <c r="F115" s="628"/>
      <c r="G115" s="628"/>
    </row>
    <row r="116" spans="3:7" x14ac:dyDescent="0.25">
      <c r="C116" s="628"/>
      <c r="D116" s="628"/>
      <c r="E116" s="628"/>
      <c r="F116" s="628"/>
      <c r="G116" s="628"/>
    </row>
    <row r="119" spans="3:7" x14ac:dyDescent="0.25">
      <c r="F119" s="628"/>
    </row>
  </sheetData>
  <mergeCells count="2">
    <mergeCell ref="B2:C2"/>
    <mergeCell ref="B6:D6"/>
  </mergeCells>
  <hyperlinks>
    <hyperlink ref="A1" location="Main!A1" display="Main" xr:uid="{0A0F3B96-47F8-4DC7-A3A4-FFDF920333FE}"/>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A1:R38"/>
  <sheetViews>
    <sheetView zoomScaleNormal="100" workbookViewId="0"/>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1:18" x14ac:dyDescent="0.25">
      <c r="A1" s="161" t="s">
        <v>1984</v>
      </c>
    </row>
    <row r="2" spans="1:18" x14ac:dyDescent="0.25">
      <c r="B2" s="418" t="s">
        <v>1181</v>
      </c>
    </row>
    <row r="3" spans="1:18" x14ac:dyDescent="0.25">
      <c r="B3" s="418" t="s">
        <v>1182</v>
      </c>
    </row>
    <row r="5" spans="1:18" x14ac:dyDescent="0.25">
      <c r="B5" t="s">
        <v>579</v>
      </c>
      <c r="C5" s="14">
        <v>600000</v>
      </c>
      <c r="G5" s="11"/>
      <c r="H5" s="11"/>
      <c r="I5" s="11"/>
      <c r="J5" s="11"/>
      <c r="K5" s="11"/>
    </row>
    <row r="6" spans="1:18" x14ac:dyDescent="0.25">
      <c r="B6" t="s">
        <v>576</v>
      </c>
      <c r="C6" s="3">
        <v>1</v>
      </c>
      <c r="D6" s="649" t="str">
        <f>IF(C6=1,"12 month ECL","Lifetime ECL ")</f>
        <v>12 month ECL</v>
      </c>
      <c r="G6" s="11"/>
      <c r="H6" s="11"/>
      <c r="I6" s="11"/>
      <c r="J6" s="11"/>
      <c r="K6" s="11"/>
    </row>
    <row r="7" spans="1:18" x14ac:dyDescent="0.25">
      <c r="B7" t="s">
        <v>1724</v>
      </c>
      <c r="C7" s="188">
        <v>6.25E-2</v>
      </c>
      <c r="G7" s="11"/>
      <c r="H7" s="11"/>
      <c r="I7" s="11"/>
      <c r="J7" s="11"/>
      <c r="K7" s="11"/>
    </row>
    <row r="8" spans="1:18" x14ac:dyDescent="0.25">
      <c r="B8" t="s">
        <v>573</v>
      </c>
      <c r="C8" s="14">
        <v>0</v>
      </c>
      <c r="G8" s="11"/>
      <c r="H8" s="11"/>
      <c r="I8" s="11"/>
      <c r="J8" s="11"/>
      <c r="K8" s="11"/>
    </row>
    <row r="9" spans="1:18" x14ac:dyDescent="0.25">
      <c r="B9" s="418" t="str" cm="1">
        <f t="array" ref="B9">_xlfn.IFS(C6=1,"As there has been no significant increase in credit risk since initial recognition, the 12 month expected credit losses should be calculated by using the weighted average of estimated credit losses with respective risks of default",C6=2,"As there has been a significant increase in credit risk since initial recognition, the lifetime expected credit losses should be calculated by using the weighted average of estimated credit losses with respective risks of default",C6=3,"There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10" spans="1:18" x14ac:dyDescent="0.25">
      <c r="B10" s="418" t="s">
        <v>1735</v>
      </c>
    </row>
    <row r="11" spans="1:18" x14ac:dyDescent="0.25">
      <c r="C11" t="s">
        <v>572</v>
      </c>
      <c r="D11" s="2" t="s">
        <v>471</v>
      </c>
      <c r="E11" t="s">
        <v>222</v>
      </c>
      <c r="F11" t="s">
        <v>569</v>
      </c>
      <c r="G11" t="s">
        <v>394</v>
      </c>
      <c r="H11" t="s">
        <v>570</v>
      </c>
    </row>
    <row r="12" spans="1:18" x14ac:dyDescent="0.25">
      <c r="B12" s="3"/>
      <c r="C12" s="14">
        <f>+C5-200000</f>
        <v>400000</v>
      </c>
      <c r="D12" s="14">
        <v>4</v>
      </c>
      <c r="E12" s="14">
        <f>1/((1+$C$7)^D12)</f>
        <v>0.78466493456735431</v>
      </c>
      <c r="F12" s="11">
        <f>E12*C12</f>
        <v>313865.97382694174</v>
      </c>
      <c r="G12" s="188">
        <v>0.01</v>
      </c>
      <c r="H12" s="11">
        <f>F12*G12</f>
        <v>3138.6597382694176</v>
      </c>
    </row>
    <row r="13" spans="1:18" x14ac:dyDescent="0.25">
      <c r="B13" s="3"/>
      <c r="C13" s="14">
        <f>+C5-400000</f>
        <v>200000</v>
      </c>
      <c r="D13" s="14">
        <v>4</v>
      </c>
      <c r="E13" s="14">
        <f t="shared" ref="E13:E16" si="0">1/((1+$C$7)^D13)</f>
        <v>0.78466493456735431</v>
      </c>
      <c r="F13" s="11">
        <f>E13*C13</f>
        <v>156932.98691347087</v>
      </c>
      <c r="G13" s="188">
        <v>0.04</v>
      </c>
      <c r="H13" s="11">
        <f>F13*G13</f>
        <v>6277.3194765388353</v>
      </c>
      <c r="R13" t="s">
        <v>1733</v>
      </c>
    </row>
    <row r="14" spans="1:18" x14ac:dyDescent="0.25">
      <c r="B14" s="3"/>
      <c r="C14" s="14"/>
      <c r="D14" s="14">
        <v>1</v>
      </c>
      <c r="E14" s="14">
        <f t="shared" si="0"/>
        <v>0.94117647058823528</v>
      </c>
      <c r="F14" s="11">
        <f>E14*C14</f>
        <v>0</v>
      </c>
      <c r="G14" s="188">
        <v>1</v>
      </c>
      <c r="H14" s="11">
        <f>F14*G14</f>
        <v>0</v>
      </c>
    </row>
    <row r="15" spans="1:18" x14ac:dyDescent="0.25">
      <c r="B15" s="3"/>
      <c r="C15" s="14"/>
      <c r="D15" s="14">
        <v>2</v>
      </c>
      <c r="E15" s="14">
        <f t="shared" si="0"/>
        <v>0.88581314878892736</v>
      </c>
      <c r="F15" s="11">
        <f>E15*C15</f>
        <v>0</v>
      </c>
      <c r="G15" s="188">
        <v>1</v>
      </c>
      <c r="H15" s="11">
        <f>F15*G15</f>
        <v>0</v>
      </c>
    </row>
    <row r="16" spans="1:18" x14ac:dyDescent="0.25">
      <c r="B16" s="3"/>
      <c r="C16" s="14"/>
      <c r="D16" s="14">
        <v>3</v>
      </c>
      <c r="E16" s="14">
        <f t="shared" si="0"/>
        <v>0.83370649297781396</v>
      </c>
      <c r="F16" s="11">
        <f>E16*C16</f>
        <v>0</v>
      </c>
      <c r="G16" s="188">
        <v>1</v>
      </c>
      <c r="H16" s="11">
        <f>F16*G16</f>
        <v>0</v>
      </c>
    </row>
    <row r="17" spans="2:11" x14ac:dyDescent="0.25">
      <c r="H17" s="11">
        <f>SUM(H12:H16)</f>
        <v>9415.9792148082524</v>
      </c>
    </row>
    <row r="18" spans="2:11" x14ac:dyDescent="0.25">
      <c r="B18" s="490" t="s">
        <v>1734</v>
      </c>
      <c r="H18" s="11"/>
    </row>
    <row r="19" spans="2:11" x14ac:dyDescent="0.25">
      <c r="B19" t="s">
        <v>574</v>
      </c>
      <c r="E19" s="219">
        <f>C8</f>
        <v>0</v>
      </c>
      <c r="H19" s="11"/>
    </row>
    <row r="20" spans="2:11" x14ac:dyDescent="0.25">
      <c r="B20" t="s">
        <v>575</v>
      </c>
      <c r="E20" s="12">
        <f>H17</f>
        <v>9415.9792148082524</v>
      </c>
    </row>
    <row r="21" spans="2:11" x14ac:dyDescent="0.25">
      <c r="E21" s="218">
        <f>E20-E19</f>
        <v>9415.9792148082524</v>
      </c>
    </row>
    <row r="23" spans="2:11" x14ac:dyDescent="0.25">
      <c r="B23" t="str">
        <f>IF(E21&gt;0,"DR SPL - impairment loss","CR SPL - gain")</f>
        <v>DR SPL - impairment loss</v>
      </c>
      <c r="E23" s="12">
        <f>IF($E$21&gt;0,$E$21,0)</f>
        <v>9415.9792148082524</v>
      </c>
      <c r="F23" s="12">
        <f>IF($E$21&lt;0,-$E$21,0)</f>
        <v>0</v>
      </c>
    </row>
    <row r="24" spans="2:11" x14ac:dyDescent="0.25">
      <c r="B24" t="s">
        <v>571</v>
      </c>
      <c r="E24" s="12">
        <f>IF($E$21&lt;0,-$E$21,0)</f>
        <v>0</v>
      </c>
      <c r="F24" s="12">
        <f>IF($E$21&gt;0,$E$21,0)</f>
        <v>9415.9792148082524</v>
      </c>
      <c r="H24" s="12"/>
    </row>
    <row r="26" spans="2:11" x14ac:dyDescent="0.25">
      <c r="B26" t="s">
        <v>94</v>
      </c>
      <c r="G26" s="418" t="s">
        <v>1183</v>
      </c>
      <c r="K26" s="418" t="s">
        <v>1570</v>
      </c>
    </row>
    <row r="27" spans="2:11" x14ac:dyDescent="0.25">
      <c r="B27" t="s">
        <v>577</v>
      </c>
      <c r="E27" s="11">
        <f>IF(C6=3,(C5-E20)*C7,C5*C7)</f>
        <v>37500</v>
      </c>
      <c r="K27" s="418" t="s">
        <v>839</v>
      </c>
    </row>
    <row r="28" spans="2:11" x14ac:dyDescent="0.25">
      <c r="B28" t="s">
        <v>578</v>
      </c>
      <c r="F28" s="12">
        <f>E27</f>
        <v>37500</v>
      </c>
      <c r="K28" s="418" t="s">
        <v>840</v>
      </c>
    </row>
    <row r="31" spans="2:11" x14ac:dyDescent="0.25">
      <c r="B31" s="418" t="s">
        <v>1508</v>
      </c>
      <c r="K31" s="492" t="s">
        <v>1574</v>
      </c>
    </row>
    <row r="32" spans="2:11" x14ac:dyDescent="0.25">
      <c r="K32" s="418" t="s">
        <v>1571</v>
      </c>
    </row>
    <row r="33" spans="11:11" x14ac:dyDescent="0.25">
      <c r="K33" s="418" t="s">
        <v>1572</v>
      </c>
    </row>
    <row r="35" spans="11:11" x14ac:dyDescent="0.25">
      <c r="K35" s="492" t="s">
        <v>1573</v>
      </c>
    </row>
    <row r="36" spans="11:11" x14ac:dyDescent="0.25">
      <c r="K36" s="418" t="s">
        <v>1575</v>
      </c>
    </row>
    <row r="37" spans="11:11" x14ac:dyDescent="0.25">
      <c r="K37" s="418" t="s">
        <v>1576</v>
      </c>
    </row>
    <row r="38" spans="11:11" x14ac:dyDescent="0.25">
      <c r="K38" s="418" t="s">
        <v>1577</v>
      </c>
    </row>
  </sheetData>
  <hyperlinks>
    <hyperlink ref="A1" location="Main!A1" display="Main" xr:uid="{D3950C15-CA60-4EFE-9FBC-787F696F99DC}"/>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B22"/>
  <sheetViews>
    <sheetView workbookViewId="0"/>
  </sheetViews>
  <sheetFormatPr defaultRowHeight="15" x14ac:dyDescent="0.25"/>
  <cols>
    <col min="2" max="2" width="77.42578125" customWidth="1"/>
  </cols>
  <sheetData>
    <row r="1" spans="1:2" ht="15.75" thickBot="1" x14ac:dyDescent="0.3">
      <c r="A1" s="161" t="s">
        <v>1984</v>
      </c>
    </row>
    <row r="2" spans="1:2" ht="15.75" thickBot="1" x14ac:dyDescent="0.3">
      <c r="B2" s="212" t="s">
        <v>932</v>
      </c>
    </row>
    <row r="3" spans="1:2" ht="60.95" customHeight="1" x14ac:dyDescent="0.25">
      <c r="B3" s="207" t="s">
        <v>928</v>
      </c>
    </row>
    <row r="4" spans="1:2" x14ac:dyDescent="0.25">
      <c r="B4" s="208" t="s">
        <v>146</v>
      </c>
    </row>
    <row r="5" spans="1:2" ht="30" x14ac:dyDescent="0.25">
      <c r="B5" s="209" t="s">
        <v>929</v>
      </c>
    </row>
    <row r="6" spans="1:2" x14ac:dyDescent="0.25">
      <c r="B6" s="208" t="s">
        <v>146</v>
      </c>
    </row>
    <row r="7" spans="1:2" ht="30" x14ac:dyDescent="0.25">
      <c r="B7" s="209" t="s">
        <v>930</v>
      </c>
    </row>
    <row r="8" spans="1:2" x14ac:dyDescent="0.25">
      <c r="B8" s="208" t="s">
        <v>147</v>
      </c>
    </row>
    <row r="9" spans="1:2" x14ac:dyDescent="0.25">
      <c r="B9" s="197" t="s">
        <v>931</v>
      </c>
    </row>
    <row r="10" spans="1:2" ht="15.75" thickBot="1" x14ac:dyDescent="0.3">
      <c r="B10" s="491" t="s">
        <v>147</v>
      </c>
    </row>
    <row r="12" spans="1:2" x14ac:dyDescent="0.25">
      <c r="B12" s="1" t="str">
        <f>IF(AND(B4="Yes",B6="Yes",B8="No",B10="No"),"Entity is exempt from preparing consolidated financial stataements under the CA 2006","Entity must prepare consolidated financial statements")</f>
        <v>Entity is exempt from preparing consolidated financial stataements under the CA 2006</v>
      </c>
    </row>
    <row r="13" spans="1:2" ht="15.75" thickBot="1" x14ac:dyDescent="0.3"/>
    <row r="14" spans="1:2" ht="15.75" thickBot="1" x14ac:dyDescent="0.3">
      <c r="B14" s="212" t="s">
        <v>933</v>
      </c>
    </row>
    <row r="15" spans="1:2" ht="30" x14ac:dyDescent="0.25">
      <c r="B15" s="207" t="s">
        <v>934</v>
      </c>
    </row>
    <row r="16" spans="1:2" x14ac:dyDescent="0.25">
      <c r="B16" s="208" t="s">
        <v>146</v>
      </c>
    </row>
    <row r="17" spans="2:2" x14ac:dyDescent="0.25">
      <c r="B17" s="209" t="s">
        <v>935</v>
      </c>
    </row>
    <row r="18" spans="2:2" x14ac:dyDescent="0.25">
      <c r="B18" s="208" t="s">
        <v>146</v>
      </c>
    </row>
    <row r="19" spans="2:2" ht="30" x14ac:dyDescent="0.25">
      <c r="B19" s="209" t="s">
        <v>936</v>
      </c>
    </row>
    <row r="20" spans="2:2" x14ac:dyDescent="0.25">
      <c r="B20" s="208" t="s">
        <v>147</v>
      </c>
    </row>
    <row r="21" spans="2:2" x14ac:dyDescent="0.25">
      <c r="B21" s="197" t="s">
        <v>931</v>
      </c>
    </row>
    <row r="22" spans="2:2" ht="15.75" thickBot="1" x14ac:dyDescent="0.3">
      <c r="B22" s="491" t="s">
        <v>147</v>
      </c>
    </row>
  </sheetData>
  <hyperlinks>
    <hyperlink ref="A1" location="Main!A1" display="Main" xr:uid="{4624D896-22DB-4FF6-9259-4DB4C4BD78B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B4 B6 B8 B10 B16 B18 B20 B22</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K29"/>
  <sheetViews>
    <sheetView workbookViewId="0"/>
  </sheetViews>
  <sheetFormatPr defaultRowHeight="15" x14ac:dyDescent="0.25"/>
  <sheetData>
    <row r="1" spans="1:11" ht="15.75" thickBot="1" x14ac:dyDescent="0.3">
      <c r="A1" s="161" t="s">
        <v>1984</v>
      </c>
    </row>
    <row r="2" spans="1:11" x14ac:dyDescent="0.25">
      <c r="B2" s="494" t="s">
        <v>941</v>
      </c>
      <c r="C2" s="61"/>
      <c r="D2" s="61"/>
      <c r="E2" s="61"/>
      <c r="F2" s="61"/>
      <c r="G2" s="61"/>
      <c r="H2" s="61"/>
      <c r="I2" s="62"/>
      <c r="K2" s="418" t="s">
        <v>953</v>
      </c>
    </row>
    <row r="3" spans="1:11" x14ac:dyDescent="0.25">
      <c r="B3" s="493" t="s">
        <v>940</v>
      </c>
      <c r="C3" s="64"/>
      <c r="D3" s="64"/>
      <c r="E3" s="64"/>
      <c r="F3" s="64"/>
      <c r="G3" s="64"/>
      <c r="H3" s="64"/>
      <c r="I3" s="66"/>
      <c r="K3" s="418" t="s">
        <v>954</v>
      </c>
    </row>
    <row r="4" spans="1:11" x14ac:dyDescent="0.25">
      <c r="B4" s="493" t="s">
        <v>938</v>
      </c>
      <c r="C4" s="64"/>
      <c r="D4" s="64"/>
      <c r="E4" s="64"/>
      <c r="F4" s="64"/>
      <c r="G4" s="64"/>
      <c r="H4" s="64"/>
      <c r="I4" s="66"/>
    </row>
    <row r="5" spans="1:11" x14ac:dyDescent="0.25">
      <c r="B5" s="493" t="s">
        <v>939</v>
      </c>
      <c r="C5" s="64"/>
      <c r="D5" s="64"/>
      <c r="E5" s="64"/>
      <c r="F5" s="64"/>
      <c r="G5" s="64"/>
      <c r="H5" s="64"/>
      <c r="I5" s="66"/>
      <c r="K5" t="s">
        <v>955</v>
      </c>
    </row>
    <row r="6" spans="1:11" ht="15.75" thickBot="1" x14ac:dyDescent="0.3">
      <c r="B6" s="70"/>
      <c r="C6" s="71"/>
      <c r="D6" s="71"/>
      <c r="E6" s="71"/>
      <c r="F6" s="71"/>
      <c r="G6" s="71"/>
      <c r="H6" s="71"/>
      <c r="I6" s="80"/>
    </row>
    <row r="7" spans="1:11" ht="15.75" thickBot="1" x14ac:dyDescent="0.3">
      <c r="B7" s="64"/>
      <c r="C7" s="64"/>
      <c r="D7" s="64"/>
      <c r="E7" s="64"/>
      <c r="F7" s="64"/>
      <c r="G7" s="64"/>
      <c r="H7" s="64"/>
      <c r="I7" s="64"/>
    </row>
    <row r="8" spans="1:11" x14ac:dyDescent="0.25">
      <c r="B8" s="494" t="s">
        <v>937</v>
      </c>
      <c r="C8" s="61"/>
      <c r="D8" s="61"/>
      <c r="E8" s="61"/>
      <c r="F8" s="61"/>
      <c r="G8" s="61"/>
      <c r="H8" s="61"/>
      <c r="I8" s="62"/>
    </row>
    <row r="9" spans="1:11" x14ac:dyDescent="0.25">
      <c r="B9" s="900" t="s">
        <v>942</v>
      </c>
      <c r="C9" s="921"/>
      <c r="D9" s="921"/>
      <c r="E9" s="921"/>
      <c r="F9" s="921"/>
      <c r="G9" s="921"/>
      <c r="H9" s="921"/>
      <c r="I9" s="922"/>
    </row>
    <row r="10" spans="1:11" x14ac:dyDescent="0.25">
      <c r="B10" s="900"/>
      <c r="C10" s="921"/>
      <c r="D10" s="921"/>
      <c r="E10" s="921"/>
      <c r="F10" s="921"/>
      <c r="G10" s="921"/>
      <c r="H10" s="921"/>
      <c r="I10" s="922"/>
    </row>
    <row r="11" spans="1:11" x14ac:dyDescent="0.25">
      <c r="B11" s="495"/>
      <c r="C11" s="496"/>
      <c r="D11" s="496"/>
      <c r="E11" s="496"/>
      <c r="F11" s="496"/>
      <c r="G11" s="496"/>
      <c r="H11" s="496"/>
      <c r="I11" s="497"/>
    </row>
    <row r="12" spans="1:11" x14ac:dyDescent="0.25">
      <c r="B12" s="498" t="s">
        <v>943</v>
      </c>
      <c r="C12" s="64"/>
      <c r="D12" s="64"/>
      <c r="E12" s="64"/>
      <c r="F12" s="64"/>
      <c r="G12" s="64"/>
      <c r="H12" s="64"/>
      <c r="I12" s="66"/>
    </row>
    <row r="13" spans="1:11" x14ac:dyDescent="0.25">
      <c r="B13" s="493" t="s">
        <v>944</v>
      </c>
      <c r="C13" s="64"/>
      <c r="D13" s="64"/>
      <c r="E13" s="64"/>
      <c r="F13" s="64"/>
      <c r="G13" s="64"/>
      <c r="H13" s="64"/>
      <c r="I13" s="66"/>
    </row>
    <row r="14" spans="1:11" x14ac:dyDescent="0.25">
      <c r="B14" s="63"/>
      <c r="C14" s="64"/>
      <c r="D14" s="64"/>
      <c r="E14" s="64"/>
      <c r="F14" s="64"/>
      <c r="G14" s="64"/>
      <c r="H14" s="64"/>
      <c r="I14" s="66"/>
    </row>
    <row r="15" spans="1:11" x14ac:dyDescent="0.25">
      <c r="B15" s="498" t="s">
        <v>945</v>
      </c>
      <c r="C15" s="64"/>
      <c r="D15" s="64"/>
      <c r="E15" s="64"/>
      <c r="F15" s="64"/>
      <c r="G15" s="64"/>
      <c r="H15" s="64"/>
      <c r="I15" s="66"/>
    </row>
    <row r="16" spans="1:11" ht="35.450000000000003" customHeight="1" x14ac:dyDescent="0.25">
      <c r="B16" s="870" t="s">
        <v>951</v>
      </c>
      <c r="C16" s="871"/>
      <c r="D16" s="871"/>
      <c r="E16" s="871"/>
      <c r="F16" s="871"/>
      <c r="G16" s="871"/>
      <c r="H16" s="871"/>
      <c r="I16" s="872"/>
    </row>
    <row r="17" spans="2:9" ht="35.450000000000003" customHeight="1" thickBot="1" x14ac:dyDescent="0.3">
      <c r="B17" s="873"/>
      <c r="C17" s="874"/>
      <c r="D17" s="874"/>
      <c r="E17" s="874"/>
      <c r="F17" s="874"/>
      <c r="G17" s="874"/>
      <c r="H17" s="874"/>
      <c r="I17" s="875"/>
    </row>
    <row r="18" spans="2:9" ht="15.75" thickBot="1" x14ac:dyDescent="0.3">
      <c r="B18" s="418"/>
    </row>
    <row r="19" spans="2:9" x14ac:dyDescent="0.25">
      <c r="B19" s="494" t="s">
        <v>946</v>
      </c>
      <c r="C19" s="61"/>
      <c r="D19" s="61"/>
      <c r="E19" s="61"/>
      <c r="F19" s="61"/>
      <c r="G19" s="61"/>
      <c r="H19" s="61"/>
      <c r="I19" s="62"/>
    </row>
    <row r="20" spans="2:9" x14ac:dyDescent="0.25">
      <c r="B20" s="493" t="s">
        <v>947</v>
      </c>
      <c r="C20" s="64"/>
      <c r="D20" s="64"/>
      <c r="E20" s="64"/>
      <c r="F20" s="64"/>
      <c r="G20" s="64"/>
      <c r="H20" s="64"/>
      <c r="I20" s="66"/>
    </row>
    <row r="21" spans="2:9" x14ac:dyDescent="0.25">
      <c r="B21" s="63"/>
      <c r="C21" s="64"/>
      <c r="D21" s="64"/>
      <c r="E21" s="64"/>
      <c r="F21" s="64"/>
      <c r="G21" s="64"/>
      <c r="H21" s="64"/>
      <c r="I21" s="66"/>
    </row>
    <row r="22" spans="2:9" x14ac:dyDescent="0.25">
      <c r="B22" s="498" t="s">
        <v>945</v>
      </c>
      <c r="C22" s="64"/>
      <c r="D22" s="64"/>
      <c r="E22" s="64"/>
      <c r="F22" s="64"/>
      <c r="G22" s="64"/>
      <c r="H22" s="64"/>
      <c r="I22" s="66"/>
    </row>
    <row r="23" spans="2:9" s="418" customFormat="1" ht="30.95" customHeight="1" x14ac:dyDescent="0.25">
      <c r="B23" s="900" t="s">
        <v>948</v>
      </c>
      <c r="C23" s="921"/>
      <c r="D23" s="921"/>
      <c r="E23" s="921"/>
      <c r="F23" s="921"/>
      <c r="G23" s="921"/>
      <c r="H23" s="921"/>
      <c r="I23" s="922"/>
    </row>
    <row r="24" spans="2:9" x14ac:dyDescent="0.25">
      <c r="B24" s="63"/>
      <c r="C24" s="64"/>
      <c r="D24" s="64"/>
      <c r="E24" s="64"/>
      <c r="F24" s="64"/>
      <c r="G24" s="64"/>
      <c r="H24" s="64"/>
      <c r="I24" s="66"/>
    </row>
    <row r="25" spans="2:9" x14ac:dyDescent="0.25">
      <c r="B25" s="499" t="s">
        <v>949</v>
      </c>
      <c r="C25" s="64"/>
      <c r="D25" s="64"/>
      <c r="E25" s="64"/>
      <c r="F25" s="64"/>
      <c r="G25" s="64"/>
      <c r="H25" s="64"/>
      <c r="I25" s="66"/>
    </row>
    <row r="26" spans="2:9" ht="26.45" customHeight="1" thickBot="1" x14ac:dyDescent="0.3">
      <c r="B26" s="923" t="s">
        <v>950</v>
      </c>
      <c r="C26" s="924"/>
      <c r="D26" s="924"/>
      <c r="E26" s="924"/>
      <c r="F26" s="924"/>
      <c r="G26" s="924"/>
      <c r="H26" s="924"/>
      <c r="I26" s="925"/>
    </row>
    <row r="28" spans="2:9" x14ac:dyDescent="0.25">
      <c r="B28" s="492" t="s">
        <v>416</v>
      </c>
    </row>
    <row r="29" spans="2:9" x14ac:dyDescent="0.25">
      <c r="B29" s="418" t="s">
        <v>952</v>
      </c>
    </row>
  </sheetData>
  <mergeCells count="4">
    <mergeCell ref="B9:I10"/>
    <mergeCell ref="B16:I17"/>
    <mergeCell ref="B23:I23"/>
    <mergeCell ref="B26:I26"/>
  </mergeCells>
  <hyperlinks>
    <hyperlink ref="A1" location="Main!A1" display="Main" xr:uid="{639BAC9A-897A-4850-986A-3638E3A6BC6D}"/>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A1:I22"/>
  <sheetViews>
    <sheetView workbookViewId="0"/>
  </sheetViews>
  <sheetFormatPr defaultRowHeight="15" x14ac:dyDescent="0.25"/>
  <cols>
    <col min="4" max="5" width="13.28515625" bestFit="1" customWidth="1"/>
  </cols>
  <sheetData>
    <row r="1" spans="1:5" x14ac:dyDescent="0.25">
      <c r="A1" s="161" t="s">
        <v>1984</v>
      </c>
    </row>
    <row r="2" spans="1:5" x14ac:dyDescent="0.25">
      <c r="B2" s="1" t="s">
        <v>361</v>
      </c>
    </row>
    <row r="3" spans="1:5" x14ac:dyDescent="0.25">
      <c r="B3" t="s">
        <v>347</v>
      </c>
      <c r="E3" s="14"/>
    </row>
    <row r="4" spans="1:5" x14ac:dyDescent="0.25">
      <c r="B4" t="s">
        <v>348</v>
      </c>
    </row>
    <row r="5" spans="1:5" x14ac:dyDescent="0.25">
      <c r="B5" t="s">
        <v>351</v>
      </c>
      <c r="E5" s="14"/>
    </row>
    <row r="6" spans="1:5" x14ac:dyDescent="0.25">
      <c r="B6" t="s">
        <v>349</v>
      </c>
      <c r="E6" s="3"/>
    </row>
    <row r="7" spans="1:5" x14ac:dyDescent="0.25">
      <c r="B7" t="s">
        <v>350</v>
      </c>
      <c r="E7" s="3"/>
    </row>
    <row r="9" spans="1:5" x14ac:dyDescent="0.25">
      <c r="B9" t="s">
        <v>352</v>
      </c>
      <c r="E9" s="11">
        <f>E3+E5*E7</f>
        <v>0</v>
      </c>
    </row>
    <row r="11" spans="1:5" x14ac:dyDescent="0.25">
      <c r="B11" t="s">
        <v>356</v>
      </c>
      <c r="E11" s="12">
        <f>E3</f>
        <v>0</v>
      </c>
    </row>
    <row r="12" spans="1:5" x14ac:dyDescent="0.25">
      <c r="B12" t="s">
        <v>353</v>
      </c>
      <c r="E12" s="12">
        <f>E6*E5</f>
        <v>0</v>
      </c>
    </row>
    <row r="13" spans="1:5" x14ac:dyDescent="0.25">
      <c r="B13" t="s">
        <v>354</v>
      </c>
      <c r="E13" s="12">
        <f>(E7-E6)*E5</f>
        <v>0</v>
      </c>
    </row>
    <row r="14" spans="1:5" x14ac:dyDescent="0.25">
      <c r="B14" t="s">
        <v>355</v>
      </c>
      <c r="D14" s="11">
        <f>E9</f>
        <v>0</v>
      </c>
    </row>
    <row r="16" spans="1:5" x14ac:dyDescent="0.25">
      <c r="B16" s="1" t="s">
        <v>357</v>
      </c>
    </row>
    <row r="17" spans="2:9" x14ac:dyDescent="0.25">
      <c r="B17" t="s">
        <v>358</v>
      </c>
      <c r="E17" s="14"/>
    </row>
    <row r="18" spans="2:9" x14ac:dyDescent="0.25">
      <c r="B18" t="s">
        <v>359</v>
      </c>
      <c r="E18" s="14"/>
    </row>
    <row r="20" spans="2:9" x14ac:dyDescent="0.25">
      <c r="B20" t="s">
        <v>338</v>
      </c>
      <c r="D20" s="12">
        <f>E17</f>
        <v>0</v>
      </c>
    </row>
    <row r="21" spans="2:9" x14ac:dyDescent="0.25">
      <c r="B21" t="s">
        <v>360</v>
      </c>
      <c r="D21" s="12">
        <f>E18</f>
        <v>0</v>
      </c>
    </row>
    <row r="22" spans="2:9" x14ac:dyDescent="0.25">
      <c r="B22" t="s">
        <v>337</v>
      </c>
      <c r="E22" s="12">
        <f>E17+E18</f>
        <v>0</v>
      </c>
      <c r="I22" t="s">
        <v>1862</v>
      </c>
    </row>
  </sheetData>
  <hyperlinks>
    <hyperlink ref="A1" location="Main!A1" display="Main" xr:uid="{BEF5ABE8-F13C-4937-A192-A98C19BCC89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A1:N133"/>
  <sheetViews>
    <sheetView zoomScale="72" zoomScaleNormal="80" workbookViewId="0">
      <selection activeCell="D47" sqref="D47"/>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1:12" ht="15.75" thickBot="1" x14ac:dyDescent="0.3">
      <c r="A1" s="161" t="s">
        <v>1984</v>
      </c>
    </row>
    <row r="2" spans="1:12" x14ac:dyDescent="0.25">
      <c r="B2" s="60" t="s">
        <v>247</v>
      </c>
      <c r="C2" s="75">
        <f>+H19</f>
        <v>30108.54</v>
      </c>
      <c r="G2" s="418" t="s">
        <v>910</v>
      </c>
    </row>
    <row r="3" spans="1:12" x14ac:dyDescent="0.25">
      <c r="B3" s="63" t="s">
        <v>249</v>
      </c>
      <c r="C3" s="76">
        <f>+K14</f>
        <v>2108.66</v>
      </c>
      <c r="G3" s="418" t="s">
        <v>1748</v>
      </c>
    </row>
    <row r="4" spans="1:12" x14ac:dyDescent="0.25">
      <c r="B4" s="63" t="s">
        <v>263</v>
      </c>
      <c r="C4" s="69">
        <f>SUM(C2:C3)</f>
        <v>32217.200000000001</v>
      </c>
      <c r="G4" s="418" t="s">
        <v>1747</v>
      </c>
    </row>
    <row r="5" spans="1:12" x14ac:dyDescent="0.25">
      <c r="B5" s="63"/>
      <c r="C5" s="77"/>
      <c r="G5" s="418" t="s">
        <v>1746</v>
      </c>
    </row>
    <row r="6" spans="1:12" x14ac:dyDescent="0.25">
      <c r="B6" s="63" t="s">
        <v>250</v>
      </c>
      <c r="C6" s="76">
        <v>4775</v>
      </c>
      <c r="D6" s="64" t="str">
        <f ca="1">IFERROR(_xlfn.FORMULATEXT(C6)," ")</f>
        <v xml:space="preserve"> </v>
      </c>
    </row>
    <row r="7" spans="1:12" x14ac:dyDescent="0.25">
      <c r="B7" s="63" t="s">
        <v>251</v>
      </c>
      <c r="C7" s="76">
        <f>+C6/0.82</f>
        <v>5823.1707317073178</v>
      </c>
      <c r="D7" s="64" t="str">
        <f ca="1">IFERROR(_xlfn.FORMULATEXT(C7)," ")</f>
        <v>=+C6/0.82</v>
      </c>
    </row>
    <row r="8" spans="1:12" ht="15.75" thickBot="1" x14ac:dyDescent="0.3">
      <c r="B8" s="63" t="s">
        <v>253</v>
      </c>
      <c r="C8" s="76">
        <v>2075</v>
      </c>
      <c r="D8" s="64" t="str">
        <f ca="1">IFERROR(_xlfn.FORMULATEXT(C8)," ")</f>
        <v xml:space="preserve"> </v>
      </c>
    </row>
    <row r="9" spans="1:12" x14ac:dyDescent="0.25">
      <c r="B9" s="63"/>
      <c r="C9" s="66"/>
      <c r="G9" s="73" t="s">
        <v>247</v>
      </c>
      <c r="H9" s="61" t="s">
        <v>141</v>
      </c>
      <c r="I9" s="61"/>
      <c r="J9" s="82" t="s">
        <v>1741</v>
      </c>
      <c r="K9" s="61" t="s">
        <v>141</v>
      </c>
      <c r="L9" s="62"/>
    </row>
    <row r="10" spans="1:12" x14ac:dyDescent="0.25">
      <c r="B10" s="63" t="s">
        <v>1421</v>
      </c>
      <c r="C10" s="69">
        <f>(C7/C7)*C3</f>
        <v>2108.66</v>
      </c>
      <c r="D10" s="418" t="s">
        <v>1745</v>
      </c>
      <c r="G10" s="769" t="s">
        <v>1951</v>
      </c>
      <c r="H10" s="768">
        <v>14459</v>
      </c>
      <c r="I10" s="64" t="str">
        <f t="shared" ref="I10:I18" ca="1" si="0">IFERROR(_xlfn.FORMULATEXT(H10)," ")</f>
        <v xml:space="preserve"> </v>
      </c>
      <c r="J10" s="767" t="s">
        <v>1960</v>
      </c>
      <c r="K10" s="768">
        <v>0</v>
      </c>
      <c r="L10" s="66" t="str">
        <f t="shared" ref="L10:L20" ca="1" si="1">IFERROR(_xlfn.FORMULATEXT(K10)," ")</f>
        <v xml:space="preserve"> </v>
      </c>
    </row>
    <row r="11" spans="1:12" x14ac:dyDescent="0.25">
      <c r="B11" s="63" t="s">
        <v>1422</v>
      </c>
      <c r="C11" s="69">
        <f>C10+C2</f>
        <v>32217.200000000001</v>
      </c>
      <c r="G11" s="769" t="s">
        <v>1952</v>
      </c>
      <c r="H11" s="767">
        <v>411</v>
      </c>
      <c r="I11" s="64" t="str">
        <f t="shared" ca="1" si="0"/>
        <v xml:space="preserve"> </v>
      </c>
      <c r="J11" s="767" t="s">
        <v>1744</v>
      </c>
      <c r="K11" s="767">
        <v>1067</v>
      </c>
      <c r="L11" s="66" t="str">
        <f t="shared" ca="1" si="1"/>
        <v xml:space="preserve"> </v>
      </c>
    </row>
    <row r="12" spans="1:12" x14ac:dyDescent="0.25">
      <c r="B12" s="63" t="s">
        <v>1423</v>
      </c>
      <c r="C12" s="618">
        <f>C11/C6</f>
        <v>6.7470575916230366</v>
      </c>
      <c r="E12" s="12"/>
      <c r="G12" s="769" t="s">
        <v>1953</v>
      </c>
      <c r="H12" s="768">
        <v>1060</v>
      </c>
      <c r="I12" s="64" t="str">
        <f t="shared" ca="1" si="0"/>
        <v xml:space="preserve"> </v>
      </c>
      <c r="J12" s="767" t="s">
        <v>1743</v>
      </c>
      <c r="K12" s="767">
        <v>733</v>
      </c>
      <c r="L12" s="66" t="str">
        <f t="shared" ca="1" si="1"/>
        <v xml:space="preserve"> </v>
      </c>
    </row>
    <row r="13" spans="1:12" x14ac:dyDescent="0.25">
      <c r="B13" s="63"/>
      <c r="C13" s="69"/>
      <c r="G13" s="769" t="s">
        <v>1954</v>
      </c>
      <c r="H13" s="768">
        <v>16020</v>
      </c>
      <c r="I13" s="64" t="str">
        <f t="shared" ca="1" si="0"/>
        <v xml:space="preserve"> </v>
      </c>
      <c r="J13" s="767" t="s">
        <v>1961</v>
      </c>
      <c r="K13" s="767">
        <f>0.61*506</f>
        <v>308.65999999999997</v>
      </c>
      <c r="L13" s="66" t="str">
        <f t="shared" ca="1" si="1"/>
        <v>=0.61*506</v>
      </c>
    </row>
    <row r="14" spans="1:12" x14ac:dyDescent="0.25">
      <c r="B14" s="63"/>
      <c r="C14" s="124" t="s">
        <v>254</v>
      </c>
      <c r="G14" s="769" t="s">
        <v>1955</v>
      </c>
      <c r="H14" s="768">
        <v>11924</v>
      </c>
      <c r="I14" s="64" t="str">
        <f t="shared" ca="1" si="0"/>
        <v xml:space="preserve"> </v>
      </c>
      <c r="J14" s="767" t="s">
        <v>1963</v>
      </c>
      <c r="K14" s="768">
        <f>SUM(K10:K13)</f>
        <v>2108.66</v>
      </c>
      <c r="L14" s="66" t="str">
        <f t="shared" ca="1" si="1"/>
        <v>=SUM(K10:K13)</v>
      </c>
    </row>
    <row r="15" spans="1:12" x14ac:dyDescent="0.25">
      <c r="B15" s="63" t="s">
        <v>255</v>
      </c>
      <c r="C15" s="154">
        <f>C2/C6</f>
        <v>6.3054534031413612</v>
      </c>
      <c r="D15" s="418" t="s">
        <v>299</v>
      </c>
      <c r="G15" s="769" t="s">
        <v>1957</v>
      </c>
      <c r="H15" s="768">
        <f>0.83*1740</f>
        <v>1444.1999999999998</v>
      </c>
      <c r="I15" s="64" t="str">
        <f t="shared" ca="1" si="0"/>
        <v>=0.83*1740</v>
      </c>
      <c r="J15" s="767"/>
      <c r="K15" s="767"/>
      <c r="L15" s="66" t="str">
        <f t="shared" ca="1" si="1"/>
        <v xml:space="preserve"> </v>
      </c>
    </row>
    <row r="16" spans="1:12" x14ac:dyDescent="0.25">
      <c r="B16" s="63" t="s">
        <v>249</v>
      </c>
      <c r="C16" s="154">
        <f>IF(C7&lt;=C6,C3/C6,C3/C7)</f>
        <v>0.36211543455497375</v>
      </c>
      <c r="G16" s="769" t="s">
        <v>1958</v>
      </c>
      <c r="H16" s="767">
        <f>506*0.39</f>
        <v>197.34</v>
      </c>
      <c r="I16" s="64" t="str">
        <f ca="1">IFERROR(_xlfn.FORMULATEXT(H16)," ")</f>
        <v>=506*0.39</v>
      </c>
      <c r="J16" s="767"/>
      <c r="K16" s="767"/>
      <c r="L16" s="66" t="str">
        <f t="shared" ca="1" si="1"/>
        <v xml:space="preserve"> </v>
      </c>
    </row>
    <row r="17" spans="2:14" x14ac:dyDescent="0.25">
      <c r="B17" s="63" t="s">
        <v>264</v>
      </c>
      <c r="C17" s="619">
        <f>SUM(C15:C16)</f>
        <v>6.6675688376963347</v>
      </c>
      <c r="G17" s="769" t="s">
        <v>1959</v>
      </c>
      <c r="H17" s="767">
        <v>257</v>
      </c>
      <c r="I17" s="64" t="str">
        <f ca="1">IFERROR(_xlfn.FORMULATEXT(H17)," ")</f>
        <v xml:space="preserve"> </v>
      </c>
      <c r="J17" s="767"/>
      <c r="K17" s="768"/>
      <c r="L17" s="66" t="str">
        <f t="shared" ca="1" si="1"/>
        <v xml:space="preserve"> </v>
      </c>
    </row>
    <row r="18" spans="2:14" x14ac:dyDescent="0.25">
      <c r="B18" s="63"/>
      <c r="C18" s="66"/>
      <c r="G18" s="769" t="s">
        <v>1962</v>
      </c>
      <c r="H18" s="768">
        <v>266</v>
      </c>
      <c r="I18" s="64" t="str">
        <f t="shared" ca="1" si="0"/>
        <v xml:space="preserve"> </v>
      </c>
      <c r="J18" s="767"/>
      <c r="K18" s="768"/>
      <c r="L18" s="66" t="str">
        <f t="shared" ca="1" si="1"/>
        <v xml:space="preserve"> </v>
      </c>
    </row>
    <row r="19" spans="2:14" ht="15.75" thickBot="1" x14ac:dyDescent="0.3">
      <c r="B19" s="70" t="s">
        <v>256</v>
      </c>
      <c r="C19" s="123">
        <f>C8*C17</f>
        <v>13835.205338219894</v>
      </c>
      <c r="G19" s="769" t="s">
        <v>1956</v>
      </c>
      <c r="H19" s="768">
        <f>SUM(H13:H18)</f>
        <v>30108.54</v>
      </c>
      <c r="I19" s="64" t="str">
        <f ca="1">IFERROR(_xlfn.FORMULATEXT(H19)," ")</f>
        <v>=SUM(H13:H18)</v>
      </c>
      <c r="J19" s="64"/>
      <c r="K19" s="64"/>
      <c r="L19" s="66" t="str">
        <f t="shared" ca="1" si="1"/>
        <v xml:space="preserve"> </v>
      </c>
    </row>
    <row r="20" spans="2:14" x14ac:dyDescent="0.25">
      <c r="B20" s="64"/>
      <c r="C20" s="103"/>
      <c r="G20" s="63"/>
      <c r="H20" s="64"/>
      <c r="I20" s="64" t="str">
        <f ca="1">IFERROR(_xlfn.FORMULATEXT(H20)," ")</f>
        <v xml:space="preserve"> </v>
      </c>
      <c r="J20" s="64"/>
      <c r="K20" s="64"/>
      <c r="L20" s="66" t="str">
        <f t="shared" ca="1" si="1"/>
        <v xml:space="preserve"> </v>
      </c>
    </row>
    <row r="21" spans="2:14" ht="15.75" thickBot="1" x14ac:dyDescent="0.3">
      <c r="B21" s="64"/>
      <c r="C21" s="103"/>
      <c r="G21" s="70"/>
      <c r="H21" s="71"/>
      <c r="I21" s="71" t="str">
        <f ca="1">IFERROR(_xlfn.FORMULATEXT(H21)," ")</f>
        <v xml:space="preserve"> </v>
      </c>
      <c r="J21" s="71"/>
      <c r="K21" s="71"/>
      <c r="L21" s="80"/>
    </row>
    <row r="22" spans="2:14" x14ac:dyDescent="0.25">
      <c r="B22" s="64"/>
      <c r="C22" s="103"/>
      <c r="G22" s="64"/>
      <c r="H22" s="64"/>
      <c r="I22" s="64"/>
      <c r="J22" s="64"/>
      <c r="K22" s="64"/>
      <c r="L22" s="64"/>
    </row>
    <row r="24" spans="2:14" x14ac:dyDescent="0.25">
      <c r="B24" s="574" t="s">
        <v>1186</v>
      </c>
    </row>
    <row r="25" spans="2:14" x14ac:dyDescent="0.25">
      <c r="B25" s="418" t="s">
        <v>258</v>
      </c>
    </row>
    <row r="26" spans="2:14" x14ac:dyDescent="0.25">
      <c r="B26" s="418" t="s">
        <v>911</v>
      </c>
    </row>
    <row r="27" spans="2:14" x14ac:dyDescent="0.25">
      <c r="B27" s="574" t="s">
        <v>1192</v>
      </c>
    </row>
    <row r="28" spans="2:14" ht="15.75" thickBot="1" x14ac:dyDescent="0.3">
      <c r="B28" s="418" t="s">
        <v>912</v>
      </c>
    </row>
    <row r="29" spans="2:14" x14ac:dyDescent="0.25">
      <c r="B29" s="60" t="s">
        <v>257</v>
      </c>
      <c r="C29" s="61"/>
      <c r="D29" s="61"/>
      <c r="E29" s="61"/>
      <c r="F29" s="61"/>
      <c r="G29" s="61"/>
      <c r="H29" s="61"/>
      <c r="I29" s="61"/>
      <c r="J29" s="61"/>
      <c r="K29" s="61"/>
      <c r="L29" s="62"/>
    </row>
    <row r="30" spans="2:14" x14ac:dyDescent="0.25">
      <c r="B30" s="63" t="s">
        <v>259</v>
      </c>
      <c r="C30" s="64" t="s">
        <v>248</v>
      </c>
      <c r="D30" s="64" t="s">
        <v>177</v>
      </c>
      <c r="E30" s="149" t="s">
        <v>271</v>
      </c>
      <c r="F30" s="149" t="s">
        <v>1418</v>
      </c>
      <c r="G30" s="149" t="s">
        <v>1419</v>
      </c>
      <c r="H30" s="64" t="s">
        <v>1420</v>
      </c>
      <c r="I30" s="149" t="s">
        <v>257</v>
      </c>
      <c r="J30" s="64" t="s">
        <v>260</v>
      </c>
      <c r="K30" s="64" t="s">
        <v>262</v>
      </c>
      <c r="L30" s="66"/>
      <c r="N30" s="574"/>
    </row>
    <row r="31" spans="2:14" x14ac:dyDescent="0.25">
      <c r="B31" s="63"/>
      <c r="C31" s="64"/>
      <c r="D31" s="64" t="s">
        <v>261</v>
      </c>
      <c r="E31" s="64"/>
      <c r="F31" s="64" t="s">
        <v>261</v>
      </c>
      <c r="G31" s="64" t="s">
        <v>261</v>
      </c>
      <c r="H31" s="64" t="s">
        <v>261</v>
      </c>
      <c r="I31" s="64" t="s">
        <v>20</v>
      </c>
      <c r="J31" s="64" t="s">
        <v>261</v>
      </c>
      <c r="K31" s="64" t="s">
        <v>10</v>
      </c>
      <c r="L31" s="66"/>
      <c r="N31" s="418"/>
    </row>
    <row r="32" spans="2:14" x14ac:dyDescent="0.25">
      <c r="B32" s="47"/>
      <c r="C32" s="68"/>
      <c r="D32" s="68">
        <f>1.5*100000+10000</f>
        <v>160000</v>
      </c>
      <c r="E32" s="109">
        <f t="shared" ref="E32:E37" si="2">D32*C32</f>
        <v>0</v>
      </c>
      <c r="F32" s="68">
        <f>1.9*100000</f>
        <v>190000</v>
      </c>
      <c r="G32" s="620"/>
      <c r="H32" s="68"/>
      <c r="I32" s="109">
        <f t="shared" ref="I32:I37" si="3">H32*C32</f>
        <v>0</v>
      </c>
      <c r="J32" s="64">
        <f>IF(E32&lt;I32,D32,H32)</f>
        <v>0</v>
      </c>
      <c r="K32" s="17">
        <f t="shared" ref="K32:K37" si="4">J32*C32</f>
        <v>0</v>
      </c>
      <c r="L32" s="66"/>
      <c r="N32" s="418"/>
    </row>
    <row r="33" spans="2:14" x14ac:dyDescent="0.25">
      <c r="B33" s="47"/>
      <c r="C33" s="68">
        <v>75000</v>
      </c>
      <c r="D33" s="68">
        <f>E72</f>
        <v>32.310185185185183</v>
      </c>
      <c r="E33" s="109">
        <f t="shared" si="2"/>
        <v>2423263.8888888885</v>
      </c>
      <c r="F33" s="48">
        <f>1.08</f>
        <v>1.08</v>
      </c>
      <c r="G33" s="620">
        <v>0.22</v>
      </c>
      <c r="H33" s="68">
        <f>F33-G33</f>
        <v>0.8600000000000001</v>
      </c>
      <c r="I33" s="109">
        <f t="shared" si="3"/>
        <v>64500.000000000007</v>
      </c>
      <c r="J33" s="64">
        <f>IF(E33&lt;I33,D33,H33)</f>
        <v>0.8600000000000001</v>
      </c>
      <c r="K33" s="17">
        <f t="shared" si="4"/>
        <v>64500.000000000007</v>
      </c>
      <c r="L33" s="66"/>
      <c r="N33" s="574"/>
    </row>
    <row r="34" spans="2:14" x14ac:dyDescent="0.25">
      <c r="B34" s="47"/>
      <c r="C34" s="68"/>
      <c r="D34" s="68"/>
      <c r="E34" s="109">
        <f t="shared" si="2"/>
        <v>0</v>
      </c>
      <c r="F34" s="48"/>
      <c r="G34" s="48"/>
      <c r="H34" s="68"/>
      <c r="I34" s="109">
        <f t="shared" si="3"/>
        <v>0</v>
      </c>
      <c r="J34" s="64">
        <f>IF(D34&lt;H34,D34,H34)</f>
        <v>0</v>
      </c>
      <c r="K34" s="17">
        <f t="shared" si="4"/>
        <v>0</v>
      </c>
      <c r="L34" s="66"/>
      <c r="N34" s="418"/>
    </row>
    <row r="35" spans="2:14" x14ac:dyDescent="0.25">
      <c r="B35" s="47"/>
      <c r="C35" s="68"/>
      <c r="D35" s="68"/>
      <c r="E35" s="109">
        <f t="shared" si="2"/>
        <v>0</v>
      </c>
      <c r="F35" s="48"/>
      <c r="G35" s="48"/>
      <c r="H35" s="68"/>
      <c r="I35" s="109">
        <f t="shared" si="3"/>
        <v>0</v>
      </c>
      <c r="J35" s="64">
        <f>IF(D35&lt;H35,D35,H35)</f>
        <v>0</v>
      </c>
      <c r="K35" s="17">
        <f t="shared" si="4"/>
        <v>0</v>
      </c>
      <c r="L35" s="66"/>
    </row>
    <row r="36" spans="2:14" x14ac:dyDescent="0.25">
      <c r="B36" s="47"/>
      <c r="C36" s="68"/>
      <c r="D36" s="68"/>
      <c r="E36" s="109">
        <f t="shared" si="2"/>
        <v>0</v>
      </c>
      <c r="F36" s="48"/>
      <c r="G36" s="48"/>
      <c r="H36" s="68"/>
      <c r="I36" s="109">
        <f t="shared" si="3"/>
        <v>0</v>
      </c>
      <c r="J36" s="64">
        <f>IF(D36&lt;H36,D36,H36)</f>
        <v>0</v>
      </c>
      <c r="K36" s="17">
        <f t="shared" si="4"/>
        <v>0</v>
      </c>
      <c r="L36" s="66"/>
    </row>
    <row r="37" spans="2:14" x14ac:dyDescent="0.25">
      <c r="B37" s="47"/>
      <c r="C37" s="68"/>
      <c r="D37" s="68"/>
      <c r="E37" s="109">
        <f t="shared" si="2"/>
        <v>0</v>
      </c>
      <c r="F37" s="48"/>
      <c r="G37" s="48"/>
      <c r="H37" s="68"/>
      <c r="I37" s="109">
        <f t="shared" si="3"/>
        <v>0</v>
      </c>
      <c r="J37" s="64">
        <f>IF(D37&lt;H37,D37,H37)</f>
        <v>0</v>
      </c>
      <c r="K37" s="17">
        <f t="shared" si="4"/>
        <v>0</v>
      </c>
      <c r="L37" s="66"/>
      <c r="N37" s="612"/>
    </row>
    <row r="38" spans="2:14" ht="15.75" thickBot="1" x14ac:dyDescent="0.3">
      <c r="B38" s="63"/>
      <c r="C38" s="64"/>
      <c r="D38" s="64"/>
      <c r="E38" s="17">
        <f>SUM(E32:E37)</f>
        <v>2423263.8888888885</v>
      </c>
      <c r="F38" s="64"/>
      <c r="G38" s="64"/>
      <c r="H38" s="64"/>
      <c r="I38" s="17"/>
      <c r="J38" s="64"/>
      <c r="K38" s="92">
        <f>SUM(K32:K37)</f>
        <v>64500.000000000007</v>
      </c>
      <c r="L38" s="66"/>
      <c r="N38" s="612"/>
    </row>
    <row r="39" spans="2:14" ht="16.5" thickTop="1" thickBot="1" x14ac:dyDescent="0.3">
      <c r="B39" s="70"/>
      <c r="C39" s="71"/>
      <c r="D39" s="71"/>
      <c r="E39" s="71"/>
      <c r="F39" s="71"/>
      <c r="G39" s="71"/>
      <c r="H39" s="71"/>
      <c r="I39" s="71"/>
      <c r="J39" s="71"/>
      <c r="K39" s="71"/>
      <c r="L39" s="80"/>
    </row>
    <row r="40" spans="2:14" x14ac:dyDescent="0.25">
      <c r="B40" s="64"/>
      <c r="C40" s="64"/>
      <c r="D40" s="64"/>
      <c r="E40" s="64"/>
      <c r="F40" s="64"/>
      <c r="G40" s="64"/>
    </row>
    <row r="41" spans="2:14" ht="15.75" thickBot="1" x14ac:dyDescent="0.3"/>
    <row r="42" spans="2:14" x14ac:dyDescent="0.25">
      <c r="B42" s="73" t="s">
        <v>301</v>
      </c>
      <c r="C42" s="61"/>
      <c r="D42" s="62"/>
      <c r="G42" s="12"/>
    </row>
    <row r="43" spans="2:14" x14ac:dyDescent="0.25">
      <c r="B43" s="63"/>
      <c r="C43" s="64"/>
      <c r="D43" s="66"/>
    </row>
    <row r="44" spans="2:14" x14ac:dyDescent="0.25">
      <c r="B44" s="63" t="s">
        <v>271</v>
      </c>
      <c r="C44" s="102"/>
      <c r="D44" s="66"/>
    </row>
    <row r="45" spans="2:14" x14ac:dyDescent="0.25">
      <c r="B45" s="63" t="s">
        <v>302</v>
      </c>
      <c r="C45" s="17">
        <f>K38</f>
        <v>64500.000000000007</v>
      </c>
      <c r="D45" s="66"/>
    </row>
    <row r="46" spans="2:14" x14ac:dyDescent="0.25">
      <c r="B46" s="63" t="s">
        <v>303</v>
      </c>
      <c r="C46" s="17">
        <f>C45-C44</f>
        <v>64500.000000000007</v>
      </c>
      <c r="D46" s="66"/>
      <c r="G46" s="12"/>
    </row>
    <row r="47" spans="2:14" x14ac:dyDescent="0.25">
      <c r="B47" s="63"/>
      <c r="C47" s="64"/>
      <c r="D47" s="66"/>
      <c r="H47" s="12">
        <f>31000/H49</f>
        <v>0.22187231606069283</v>
      </c>
    </row>
    <row r="48" spans="2:14" x14ac:dyDescent="0.25">
      <c r="B48" s="63"/>
      <c r="C48" s="99" t="s">
        <v>161</v>
      </c>
      <c r="D48" s="100" t="s">
        <v>153</v>
      </c>
    </row>
    <row r="49" spans="2:11" x14ac:dyDescent="0.25">
      <c r="B49" s="63"/>
      <c r="C49" s="99" t="s">
        <v>141</v>
      </c>
      <c r="D49" s="100" t="s">
        <v>141</v>
      </c>
      <c r="G49" t="s">
        <v>1946</v>
      </c>
      <c r="H49" s="11">
        <f>214720-75000</f>
        <v>139720</v>
      </c>
    </row>
    <row r="50" spans="2:11" x14ac:dyDescent="0.25">
      <c r="B50" s="63" t="s">
        <v>305</v>
      </c>
      <c r="C50" s="17">
        <f>-C46</f>
        <v>-64500.000000000007</v>
      </c>
      <c r="D50" s="66"/>
    </row>
    <row r="51" spans="2:11" x14ac:dyDescent="0.25">
      <c r="B51" s="63" t="s">
        <v>304</v>
      </c>
      <c r="C51" s="64"/>
      <c r="D51" s="69">
        <f>-C46</f>
        <v>-64500.000000000007</v>
      </c>
    </row>
    <row r="52" spans="2:11" x14ac:dyDescent="0.25">
      <c r="B52" s="63"/>
      <c r="C52" s="64"/>
      <c r="D52" s="66"/>
    </row>
    <row r="53" spans="2:11" ht="15.75" thickBot="1" x14ac:dyDescent="0.3">
      <c r="B53" s="70"/>
      <c r="C53" s="71"/>
      <c r="D53" s="80"/>
    </row>
    <row r="56" spans="2:11" ht="15.75" thickBot="1" x14ac:dyDescent="0.3"/>
    <row r="57" spans="2:11" x14ac:dyDescent="0.25">
      <c r="B57" s="73" t="s">
        <v>308</v>
      </c>
      <c r="C57" s="61"/>
      <c r="D57" s="82"/>
      <c r="E57" s="62"/>
      <c r="F57" s="418" t="s">
        <v>1190</v>
      </c>
    </row>
    <row r="58" spans="2:11" x14ac:dyDescent="0.25">
      <c r="B58" s="63"/>
      <c r="C58" s="64"/>
      <c r="D58" s="64"/>
      <c r="E58" s="124" t="s">
        <v>307</v>
      </c>
      <c r="F58" s="418" t="s">
        <v>1185</v>
      </c>
    </row>
    <row r="59" spans="2:11" x14ac:dyDescent="0.25">
      <c r="B59" s="63" t="s">
        <v>309</v>
      </c>
      <c r="C59" s="64"/>
      <c r="D59" s="64"/>
      <c r="E59" s="76">
        <f>36-2</f>
        <v>34</v>
      </c>
      <c r="F59" s="418" t="s">
        <v>1189</v>
      </c>
    </row>
    <row r="60" spans="2:11" x14ac:dyDescent="0.25">
      <c r="B60" s="63"/>
      <c r="C60" s="64"/>
      <c r="D60" s="64"/>
      <c r="E60" s="66"/>
      <c r="F60" s="418" t="s">
        <v>1191</v>
      </c>
      <c r="K60" s="159"/>
    </row>
    <row r="61" spans="2:11" x14ac:dyDescent="0.25">
      <c r="B61" s="63" t="s">
        <v>300</v>
      </c>
      <c r="C61" s="64"/>
      <c r="D61" s="64"/>
      <c r="E61" s="76">
        <v>4.3</v>
      </c>
      <c r="F61" s="418" t="s">
        <v>1184</v>
      </c>
    </row>
    <row r="62" spans="2:11" x14ac:dyDescent="0.25">
      <c r="B62" s="63" t="s">
        <v>310</v>
      </c>
      <c r="C62" s="64"/>
      <c r="D62" s="64"/>
      <c r="E62" s="76">
        <v>372</v>
      </c>
    </row>
    <row r="63" spans="2:11" x14ac:dyDescent="0.25">
      <c r="B63" s="63"/>
      <c r="C63" s="64"/>
      <c r="D63" s="64"/>
      <c r="E63" s="66"/>
      <c r="F63" s="418" t="s">
        <v>1539</v>
      </c>
    </row>
    <row r="64" spans="2:11" x14ac:dyDescent="0.25">
      <c r="B64" s="63" t="s">
        <v>311</v>
      </c>
      <c r="C64" s="64" t="s">
        <v>363</v>
      </c>
      <c r="D64" s="64" t="s">
        <v>362</v>
      </c>
      <c r="E64" s="66"/>
    </row>
    <row r="65" spans="2:10" x14ac:dyDescent="0.25">
      <c r="B65" s="47" t="s">
        <v>1976</v>
      </c>
      <c r="C65" s="68">
        <v>27</v>
      </c>
      <c r="D65" s="68">
        <f>3*14.4</f>
        <v>43.2</v>
      </c>
      <c r="E65" s="158">
        <f>IF(C65&lt;&gt;0,C65/D65,0)</f>
        <v>0.625</v>
      </c>
    </row>
    <row r="66" spans="2:10" x14ac:dyDescent="0.25">
      <c r="B66" s="47" t="s">
        <v>1977</v>
      </c>
      <c r="C66" s="68">
        <v>-88</v>
      </c>
      <c r="D66" s="68">
        <f>3*14.4</f>
        <v>43.2</v>
      </c>
      <c r="E66" s="158">
        <f>IF(C66&lt;&gt;0,C66/D66,0)</f>
        <v>-2.0370370370370368</v>
      </c>
      <c r="F66" s="12"/>
    </row>
    <row r="67" spans="2:10" x14ac:dyDescent="0.25">
      <c r="B67" s="47" t="s">
        <v>1978</v>
      </c>
      <c r="C67" s="68">
        <v>-45</v>
      </c>
      <c r="D67" s="68">
        <f>3*14.4</f>
        <v>43.2</v>
      </c>
      <c r="E67" s="158">
        <f>IF(C67&lt;&gt;0,C67/D67,0)</f>
        <v>-1.0416666666666665</v>
      </c>
      <c r="F67" s="12"/>
    </row>
    <row r="68" spans="2:10" x14ac:dyDescent="0.25">
      <c r="B68" s="47" t="s">
        <v>1979</v>
      </c>
      <c r="C68" s="68">
        <v>16</v>
      </c>
      <c r="D68" s="68">
        <f>2*14.4</f>
        <v>28.8</v>
      </c>
      <c r="E68" s="158">
        <f>IF(C68&lt;&gt;0,C68/D68,0)</f>
        <v>0.55555555555555558</v>
      </c>
      <c r="F68" s="12"/>
    </row>
    <row r="69" spans="2:10" x14ac:dyDescent="0.25">
      <c r="B69" s="47" t="s">
        <v>1980</v>
      </c>
      <c r="C69" s="68">
        <v>9</v>
      </c>
      <c r="D69" s="68">
        <f>3*14.4</f>
        <v>43.2</v>
      </c>
      <c r="E69" s="158">
        <f>IF(C69&lt;&gt;0,C69/D69,0)</f>
        <v>0.20833333333333331</v>
      </c>
      <c r="F69" s="418" t="s">
        <v>1947</v>
      </c>
    </row>
    <row r="70" spans="2:10" x14ac:dyDescent="0.25">
      <c r="B70" s="63"/>
      <c r="C70" s="64"/>
      <c r="D70" s="64"/>
      <c r="E70" s="53">
        <f>SUM(E65:E69)</f>
        <v>-1.6898148148148144</v>
      </c>
    </row>
    <row r="71" spans="2:10" x14ac:dyDescent="0.25">
      <c r="B71" s="63"/>
      <c r="C71" s="64"/>
      <c r="D71" s="64"/>
      <c r="E71" s="66"/>
    </row>
    <row r="72" spans="2:10" x14ac:dyDescent="0.25">
      <c r="B72" s="63" t="s">
        <v>1417</v>
      </c>
      <c r="C72" s="64"/>
      <c r="D72" s="64"/>
      <c r="E72" s="69">
        <f>E59+E70</f>
        <v>32.310185185185183</v>
      </c>
      <c r="J72" s="91"/>
    </row>
    <row r="73" spans="2:10" ht="15.75" thickBot="1" x14ac:dyDescent="0.3">
      <c r="B73" s="151" t="s">
        <v>300</v>
      </c>
      <c r="C73" s="71"/>
      <c r="D73" s="71"/>
      <c r="E73" s="97">
        <f>E72*E61</f>
        <v>138.93379629629629</v>
      </c>
    </row>
    <row r="74" spans="2:10" x14ac:dyDescent="0.25">
      <c r="B74" s="149"/>
      <c r="C74" s="64"/>
      <c r="D74" s="64"/>
      <c r="E74" s="83"/>
    </row>
    <row r="75" spans="2:10" x14ac:dyDescent="0.25">
      <c r="B75" s="574" t="s">
        <v>1986</v>
      </c>
      <c r="C75" s="64"/>
      <c r="D75" s="64"/>
      <c r="E75" s="83"/>
    </row>
    <row r="76" spans="2:10" x14ac:dyDescent="0.25">
      <c r="B76" s="574" t="s">
        <v>1987</v>
      </c>
      <c r="C76" s="64"/>
      <c r="D76" s="64"/>
      <c r="E76" s="83"/>
    </row>
    <row r="77" spans="2:10" x14ac:dyDescent="0.25">
      <c r="B77" s="574" t="s">
        <v>1988</v>
      </c>
      <c r="C77" s="64"/>
      <c r="D77" s="64"/>
      <c r="E77" s="83"/>
    </row>
    <row r="78" spans="2:10" x14ac:dyDescent="0.25">
      <c r="B78" s="149"/>
      <c r="C78" s="64"/>
      <c r="D78" s="64"/>
      <c r="E78" s="83"/>
    </row>
    <row r="81" spans="2:6" ht="15.75" thickBot="1" x14ac:dyDescent="0.3"/>
    <row r="82" spans="2:6" x14ac:dyDescent="0.25">
      <c r="B82" s="73" t="s">
        <v>312</v>
      </c>
      <c r="C82" s="61"/>
      <c r="D82" s="61"/>
      <c r="E82" s="62"/>
    </row>
    <row r="83" spans="2:6" x14ac:dyDescent="0.25">
      <c r="B83" s="63"/>
      <c r="C83" s="140" t="s">
        <v>252</v>
      </c>
      <c r="D83" s="140" t="s">
        <v>313</v>
      </c>
      <c r="E83" s="141" t="s">
        <v>314</v>
      </c>
    </row>
    <row r="84" spans="2:6" x14ac:dyDescent="0.25">
      <c r="B84" s="63"/>
      <c r="C84" s="140"/>
      <c r="D84" s="140"/>
      <c r="E84" s="141"/>
    </row>
    <row r="85" spans="2:6" x14ac:dyDescent="0.25">
      <c r="B85" s="47"/>
      <c r="C85" s="48"/>
      <c r="D85" s="48"/>
      <c r="E85" s="160"/>
    </row>
    <row r="86" spans="2:6" x14ac:dyDescent="0.25">
      <c r="B86" s="47"/>
      <c r="C86" s="48"/>
      <c r="D86" s="48"/>
      <c r="E86" s="160"/>
    </row>
    <row r="87" spans="2:6" x14ac:dyDescent="0.25">
      <c r="B87" s="47"/>
      <c r="C87" s="48"/>
      <c r="D87" s="48"/>
      <c r="E87" s="160"/>
    </row>
    <row r="88" spans="2:6" x14ac:dyDescent="0.25">
      <c r="B88" s="47"/>
      <c r="C88" s="48"/>
      <c r="D88" s="48"/>
      <c r="E88" s="160"/>
    </row>
    <row r="89" spans="2:6" x14ac:dyDescent="0.25">
      <c r="B89" s="47"/>
      <c r="C89" s="48"/>
      <c r="D89" s="48"/>
      <c r="E89" s="160"/>
    </row>
    <row r="90" spans="2:6" ht="15.75" thickBot="1" x14ac:dyDescent="0.3">
      <c r="B90" s="151" t="s">
        <v>70</v>
      </c>
      <c r="C90" s="71"/>
      <c r="D90" s="71"/>
      <c r="E90" s="80"/>
    </row>
    <row r="92" spans="2:6" ht="15.75" thickBot="1" x14ac:dyDescent="0.3"/>
    <row r="93" spans="2:6" x14ac:dyDescent="0.25">
      <c r="B93" s="73" t="s">
        <v>398</v>
      </c>
      <c r="C93" s="61"/>
      <c r="D93" s="62"/>
    </row>
    <row r="94" spans="2:6" x14ac:dyDescent="0.25">
      <c r="B94" s="63" t="s">
        <v>399</v>
      </c>
      <c r="C94" s="64" t="s">
        <v>248</v>
      </c>
      <c r="D94" s="66" t="s">
        <v>261</v>
      </c>
    </row>
    <row r="95" spans="2:6" x14ac:dyDescent="0.25">
      <c r="B95" s="47"/>
      <c r="C95" s="48"/>
      <c r="D95" s="98"/>
      <c r="F95" s="418" t="s">
        <v>1187</v>
      </c>
    </row>
    <row r="96" spans="2:6" x14ac:dyDescent="0.25">
      <c r="B96" s="47"/>
      <c r="C96" s="48"/>
      <c r="D96" s="98"/>
      <c r="F96" s="418"/>
    </row>
    <row r="97" spans="2:9" x14ac:dyDescent="0.25">
      <c r="B97" s="47"/>
      <c r="C97" s="48"/>
      <c r="D97" s="98"/>
      <c r="F97" s="418" t="s">
        <v>1188</v>
      </c>
    </row>
    <row r="98" spans="2:9" ht="15.75" thickBot="1" x14ac:dyDescent="0.3">
      <c r="B98" s="54"/>
      <c r="C98" s="55"/>
      <c r="D98" s="652"/>
    </row>
    <row r="100" spans="2:9" x14ac:dyDescent="0.25">
      <c r="D100" s="24"/>
    </row>
    <row r="101" spans="2:9" x14ac:dyDescent="0.25">
      <c r="D101" s="24"/>
    </row>
    <row r="103" spans="2:9" ht="15.75" thickBot="1" x14ac:dyDescent="0.3"/>
    <row r="104" spans="2:9" x14ac:dyDescent="0.25">
      <c r="B104" s="73" t="s">
        <v>1614</v>
      </c>
      <c r="C104" s="61"/>
      <c r="D104" s="61"/>
      <c r="E104" s="61"/>
      <c r="F104" s="61"/>
      <c r="G104" s="62"/>
      <c r="I104" s="418" t="s">
        <v>1850</v>
      </c>
    </row>
    <row r="105" spans="2:9" x14ac:dyDescent="0.25">
      <c r="B105" s="47" t="s">
        <v>1023</v>
      </c>
      <c r="C105" s="64" t="s">
        <v>1606</v>
      </c>
      <c r="D105" s="64"/>
      <c r="E105" s="64"/>
      <c r="F105" s="48"/>
      <c r="G105" s="66"/>
      <c r="I105" s="418" t="s">
        <v>1851</v>
      </c>
    </row>
    <row r="106" spans="2:9" x14ac:dyDescent="0.25">
      <c r="B106" s="63"/>
      <c r="C106" s="64"/>
      <c r="D106" s="64"/>
      <c r="E106" s="64"/>
      <c r="F106" s="64"/>
      <c r="G106" s="66"/>
      <c r="I106" s="418"/>
    </row>
    <row r="107" spans="2:9" x14ac:dyDescent="0.25">
      <c r="B107" s="47" t="s">
        <v>1022</v>
      </c>
      <c r="C107" s="64" t="s">
        <v>1608</v>
      </c>
      <c r="D107" s="64"/>
      <c r="E107" s="64"/>
      <c r="F107" s="48">
        <v>672831</v>
      </c>
      <c r="G107" s="66"/>
    </row>
    <row r="108" spans="2:9" x14ac:dyDescent="0.25">
      <c r="B108" s="63"/>
      <c r="C108" s="64" t="s">
        <v>1607</v>
      </c>
      <c r="D108" s="64"/>
      <c r="E108" s="64"/>
      <c r="F108" s="48"/>
      <c r="G108" s="66"/>
    </row>
    <row r="109" spans="2:9" x14ac:dyDescent="0.25">
      <c r="B109" s="63"/>
      <c r="C109" s="64" t="s">
        <v>1610</v>
      </c>
      <c r="D109" s="64"/>
      <c r="E109" s="64"/>
      <c r="F109" s="64">
        <f>F108-F107</f>
        <v>-672831</v>
      </c>
      <c r="G109" s="66"/>
    </row>
    <row r="110" spans="2:9" x14ac:dyDescent="0.25">
      <c r="B110" s="63"/>
      <c r="C110" s="64"/>
      <c r="D110" s="64"/>
      <c r="E110" s="64"/>
      <c r="F110" s="64"/>
      <c r="G110" s="66"/>
    </row>
    <row r="111" spans="2:9" x14ac:dyDescent="0.25">
      <c r="B111" s="47" t="s">
        <v>1609</v>
      </c>
      <c r="C111" s="64" t="s">
        <v>1608</v>
      </c>
      <c r="D111" s="64"/>
      <c r="E111" s="64"/>
      <c r="F111" s="48"/>
      <c r="G111" s="66"/>
    </row>
    <row r="112" spans="2:9" x14ac:dyDescent="0.25">
      <c r="B112" s="63"/>
      <c r="C112" s="64"/>
      <c r="D112" s="64"/>
      <c r="E112" s="64"/>
      <c r="F112" s="64"/>
      <c r="G112" s="66"/>
    </row>
    <row r="113" spans="2:8" x14ac:dyDescent="0.25">
      <c r="B113" s="63" t="s">
        <v>1612</v>
      </c>
      <c r="C113" s="64"/>
      <c r="D113" s="64"/>
      <c r="E113" s="64"/>
      <c r="F113" s="48"/>
      <c r="G113" s="66"/>
    </row>
    <row r="114" spans="2:8" x14ac:dyDescent="0.25">
      <c r="B114" s="63"/>
      <c r="C114" s="64"/>
      <c r="D114" s="64"/>
      <c r="E114" s="64"/>
      <c r="F114" s="64"/>
      <c r="G114" s="66"/>
    </row>
    <row r="115" spans="2:8" x14ac:dyDescent="0.25">
      <c r="B115" s="63" t="s">
        <v>1611</v>
      </c>
      <c r="C115" s="642" t="str">
        <f>" ("&amp;F108&amp;"- "&amp;F113&amp;") = "&amp;F108-F113</f>
        <v xml:space="preserve"> (- ) = 0</v>
      </c>
      <c r="D115" s="64"/>
      <c r="E115" s="64"/>
      <c r="F115" s="64">
        <f>F108-F113</f>
        <v>0</v>
      </c>
      <c r="G115" s="66"/>
    </row>
    <row r="116" spans="2:8" x14ac:dyDescent="0.25">
      <c r="B116" s="63"/>
      <c r="C116" s="64"/>
      <c r="D116" s="64"/>
      <c r="E116" s="64"/>
      <c r="F116" s="64"/>
      <c r="G116" s="66"/>
    </row>
    <row r="117" spans="2:8" x14ac:dyDescent="0.25">
      <c r="B117" s="653"/>
      <c r="C117" s="64"/>
      <c r="D117" s="64"/>
      <c r="E117" s="64"/>
      <c r="F117" s="64"/>
      <c r="G117" s="66"/>
    </row>
    <row r="118" spans="2:8" x14ac:dyDescent="0.25">
      <c r="B118" s="654" t="s">
        <v>681</v>
      </c>
      <c r="C118" s="64"/>
      <c r="D118" s="64"/>
      <c r="E118" s="64">
        <f>F115</f>
        <v>0</v>
      </c>
      <c r="F118" s="64"/>
      <c r="G118" s="66"/>
      <c r="H118" s="418" t="s">
        <v>1622</v>
      </c>
    </row>
    <row r="119" spans="2:8" x14ac:dyDescent="0.25">
      <c r="B119" s="63" t="s">
        <v>1613</v>
      </c>
      <c r="C119" s="64"/>
      <c r="D119" s="64"/>
      <c r="E119" s="64">
        <f>F113</f>
        <v>0</v>
      </c>
      <c r="F119" s="64"/>
      <c r="G119" s="66"/>
    </row>
    <row r="120" spans="2:8" x14ac:dyDescent="0.25">
      <c r="B120" s="63" t="s">
        <v>304</v>
      </c>
      <c r="C120" s="64"/>
      <c r="D120" s="64"/>
      <c r="E120" s="64"/>
      <c r="F120" s="64">
        <f>F111</f>
        <v>0</v>
      </c>
      <c r="G120" s="66"/>
    </row>
    <row r="121" spans="2:8" x14ac:dyDescent="0.25">
      <c r="B121" s="63"/>
      <c r="C121" s="64"/>
      <c r="D121" s="64"/>
      <c r="E121" s="64"/>
      <c r="F121" s="64"/>
      <c r="G121" s="66"/>
    </row>
    <row r="122" spans="2:8" x14ac:dyDescent="0.25">
      <c r="B122" s="63"/>
      <c r="C122" s="64"/>
      <c r="D122" s="64"/>
      <c r="E122" s="64"/>
      <c r="F122" s="64"/>
      <c r="G122" s="66"/>
    </row>
    <row r="123" spans="2:8" x14ac:dyDescent="0.25">
      <c r="B123" s="493" t="s">
        <v>1849</v>
      </c>
      <c r="C123" s="64"/>
      <c r="D123" s="64"/>
      <c r="E123" s="64"/>
      <c r="F123" s="64"/>
      <c r="G123" s="66"/>
    </row>
    <row r="124" spans="2:8" x14ac:dyDescent="0.25">
      <c r="B124" s="78" t="s">
        <v>1615</v>
      </c>
      <c r="C124" s="64"/>
      <c r="D124" s="64"/>
      <c r="E124" s="64"/>
      <c r="F124" s="64"/>
      <c r="G124" s="66"/>
    </row>
    <row r="125" spans="2:8" x14ac:dyDescent="0.25">
      <c r="B125" s="63" t="s">
        <v>1616</v>
      </c>
      <c r="C125" s="64"/>
      <c r="D125" s="64"/>
      <c r="E125" s="64"/>
      <c r="F125" s="68"/>
      <c r="G125" s="66"/>
    </row>
    <row r="126" spans="2:8" x14ac:dyDescent="0.25">
      <c r="B126" s="63" t="s">
        <v>1617</v>
      </c>
      <c r="C126" s="64"/>
      <c r="D126" s="64"/>
      <c r="E126" s="64"/>
      <c r="F126" s="68"/>
      <c r="G126" s="66"/>
    </row>
    <row r="127" spans="2:8" x14ac:dyDescent="0.25">
      <c r="B127" s="63"/>
      <c r="C127" s="64"/>
      <c r="D127" s="64"/>
      <c r="E127" s="64"/>
      <c r="F127" s="83">
        <f>F125+F126</f>
        <v>0</v>
      </c>
      <c r="G127" s="66"/>
    </row>
    <row r="128" spans="2:8" x14ac:dyDescent="0.25">
      <c r="B128" s="63" t="s">
        <v>1618</v>
      </c>
      <c r="C128" s="64"/>
      <c r="D128" s="64"/>
      <c r="E128" s="64"/>
      <c r="F128" s="68"/>
      <c r="G128" s="66"/>
    </row>
    <row r="129" spans="2:7" x14ac:dyDescent="0.25">
      <c r="B129" s="63" t="s">
        <v>1619</v>
      </c>
      <c r="C129" s="64"/>
      <c r="D129" s="64"/>
      <c r="E129" s="64"/>
      <c r="F129" s="83">
        <f>F128-F127</f>
        <v>0</v>
      </c>
      <c r="G129" s="66"/>
    </row>
    <row r="130" spans="2:7" x14ac:dyDescent="0.25">
      <c r="B130" s="63"/>
      <c r="C130" s="64"/>
      <c r="D130" s="64"/>
      <c r="E130" s="64"/>
      <c r="F130" s="64"/>
      <c r="G130" s="66"/>
    </row>
    <row r="131" spans="2:7" x14ac:dyDescent="0.25">
      <c r="B131" s="654" t="s">
        <v>1620</v>
      </c>
      <c r="C131" s="64"/>
      <c r="D131" s="64"/>
      <c r="E131" s="83">
        <f>F129</f>
        <v>0</v>
      </c>
      <c r="F131" s="83"/>
      <c r="G131" s="66"/>
    </row>
    <row r="132" spans="2:7" x14ac:dyDescent="0.25">
      <c r="B132" s="654" t="s">
        <v>1621</v>
      </c>
      <c r="C132" s="64"/>
      <c r="D132" s="64"/>
      <c r="E132" s="83"/>
      <c r="F132" s="83">
        <f>F129</f>
        <v>0</v>
      </c>
      <c r="G132" s="66"/>
    </row>
    <row r="133" spans="2:7" ht="15.75" thickBot="1" x14ac:dyDescent="0.3">
      <c r="B133" s="70"/>
      <c r="C133" s="71"/>
      <c r="D133" s="71"/>
      <c r="E133" s="71"/>
      <c r="F133" s="71"/>
      <c r="G133" s="80"/>
    </row>
  </sheetData>
  <hyperlinks>
    <hyperlink ref="A1" location="Main!A1" display="Main" xr:uid="{D1CAD3B3-4971-438B-A4BD-17478F1ED4E3}"/>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A1:S109"/>
  <sheetViews>
    <sheetView zoomScale="70" zoomScaleNormal="70" workbookViewId="0"/>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1:7" x14ac:dyDescent="0.25">
      <c r="A1" s="161" t="s">
        <v>1984</v>
      </c>
    </row>
    <row r="2" spans="1:7" x14ac:dyDescent="0.25">
      <c r="B2" s="492" t="s">
        <v>164</v>
      </c>
    </row>
    <row r="3" spans="1:7" x14ac:dyDescent="0.25">
      <c r="B3" s="418" t="s">
        <v>165</v>
      </c>
    </row>
    <row r="4" spans="1:7" x14ac:dyDescent="0.25">
      <c r="B4" s="418" t="s">
        <v>290</v>
      </c>
    </row>
    <row r="5" spans="1:7" x14ac:dyDescent="0.25">
      <c r="B5" s="418" t="s">
        <v>166</v>
      </c>
    </row>
    <row r="6" spans="1:7" x14ac:dyDescent="0.25">
      <c r="B6" s="418" t="s">
        <v>291</v>
      </c>
    </row>
    <row r="8" spans="1:7" x14ac:dyDescent="0.25">
      <c r="B8" s="418" t="s">
        <v>1408</v>
      </c>
      <c r="G8" s="418" t="s">
        <v>1198</v>
      </c>
    </row>
    <row r="9" spans="1:7" x14ac:dyDescent="0.25">
      <c r="B9" s="418" t="s">
        <v>1407</v>
      </c>
      <c r="G9" s="418" t="s">
        <v>1199</v>
      </c>
    </row>
    <row r="10" spans="1:7" x14ac:dyDescent="0.25">
      <c r="B10" s="418" t="s">
        <v>1411</v>
      </c>
      <c r="G10" s="418" t="s">
        <v>1200</v>
      </c>
    </row>
    <row r="11" spans="1:7" x14ac:dyDescent="0.25">
      <c r="B11" s="418" t="s">
        <v>1410</v>
      </c>
      <c r="G11" s="418" t="s">
        <v>1201</v>
      </c>
    </row>
    <row r="12" spans="1:7" x14ac:dyDescent="0.25">
      <c r="B12" s="418" t="s">
        <v>1413</v>
      </c>
    </row>
    <row r="13" spans="1:7" x14ac:dyDescent="0.25">
      <c r="B13" s="418" t="s">
        <v>1412</v>
      </c>
      <c r="G13" s="656" t="s">
        <v>1625</v>
      </c>
    </row>
    <row r="14" spans="1:7" x14ac:dyDescent="0.25">
      <c r="B14" s="492" t="s">
        <v>1409</v>
      </c>
    </row>
    <row r="16" spans="1:7" x14ac:dyDescent="0.25">
      <c r="B16" s="15" t="s">
        <v>139</v>
      </c>
      <c r="C16" s="23">
        <f>IF(C21="advance",C18+C19+C17,C18+C17)</f>
        <v>350.04199999999997</v>
      </c>
      <c r="D16" t="s">
        <v>212</v>
      </c>
      <c r="E16" s="90" t="s">
        <v>1709</v>
      </c>
    </row>
    <row r="17" spans="2:19" x14ac:dyDescent="0.25">
      <c r="B17" s="15" t="s">
        <v>295</v>
      </c>
      <c r="C17" s="34">
        <v>0</v>
      </c>
      <c r="E17" s="90" t="s">
        <v>296</v>
      </c>
      <c r="R17" s="11"/>
      <c r="S17" s="11"/>
    </row>
    <row r="18" spans="2:19" x14ac:dyDescent="0.25">
      <c r="B18" s="15" t="s">
        <v>138</v>
      </c>
      <c r="C18" s="34">
        <f>77*3.546</f>
        <v>273.04199999999997</v>
      </c>
      <c r="D18" t="str">
        <f ca="1">IFERROR(_xlfn.FORMULATEXT(C18)," ")</f>
        <v>=77*3.546</v>
      </c>
      <c r="E18" t="s">
        <v>294</v>
      </c>
      <c r="R18" s="11"/>
      <c r="S18" s="11"/>
    </row>
    <row r="19" spans="2:19" x14ac:dyDescent="0.25">
      <c r="B19" s="15" t="s">
        <v>140</v>
      </c>
      <c r="C19" s="34">
        <v>77</v>
      </c>
      <c r="R19" s="11"/>
      <c r="S19" s="11"/>
    </row>
    <row r="20" spans="2:19" x14ac:dyDescent="0.25">
      <c r="B20" s="15" t="s">
        <v>134</v>
      </c>
      <c r="C20" s="35">
        <v>0.05</v>
      </c>
    </row>
    <row r="21" spans="2:19" x14ac:dyDescent="0.25">
      <c r="B21" s="15" t="s">
        <v>135</v>
      </c>
      <c r="C21" s="36" t="s">
        <v>137</v>
      </c>
    </row>
    <row r="22" spans="2:19" x14ac:dyDescent="0.25">
      <c r="B22" s="15" t="s">
        <v>144</v>
      </c>
      <c r="C22" s="36">
        <v>5</v>
      </c>
      <c r="D22" t="s">
        <v>472</v>
      </c>
    </row>
    <row r="23" spans="2:19" x14ac:dyDescent="0.25">
      <c r="B23" s="15" t="s">
        <v>145</v>
      </c>
      <c r="C23" s="36">
        <v>10</v>
      </c>
      <c r="D23" t="s">
        <v>472</v>
      </c>
    </row>
    <row r="24" spans="2:19" x14ac:dyDescent="0.25">
      <c r="B24" s="15" t="s">
        <v>148</v>
      </c>
      <c r="C24" s="36" t="s">
        <v>146</v>
      </c>
      <c r="E24" s="12"/>
      <c r="R24" s="11"/>
    </row>
    <row r="25" spans="2:19" x14ac:dyDescent="0.25">
      <c r="B25" s="15" t="s">
        <v>162</v>
      </c>
      <c r="C25" s="34">
        <v>0</v>
      </c>
      <c r="D25" s="12"/>
      <c r="F25" s="37" t="s">
        <v>167</v>
      </c>
      <c r="S25" s="11"/>
    </row>
    <row r="26" spans="2:19" x14ac:dyDescent="0.25">
      <c r="B26" s="15" t="s">
        <v>163</v>
      </c>
      <c r="C26" s="34">
        <v>0</v>
      </c>
      <c r="S26" s="11"/>
    </row>
    <row r="27" spans="2:19" x14ac:dyDescent="0.25">
      <c r="B27" s="15"/>
      <c r="S27" s="11"/>
    </row>
    <row r="28" spans="2:19" x14ac:dyDescent="0.25">
      <c r="S28" s="11"/>
    </row>
    <row r="29" spans="2:19" ht="15.75" thickBot="1" x14ac:dyDescent="0.3">
      <c r="B29" s="617" t="s">
        <v>1414</v>
      </c>
    </row>
    <row r="30" spans="2:19" ht="15.75" thickBot="1" x14ac:dyDescent="0.3">
      <c r="B30" s="143" t="s">
        <v>12</v>
      </c>
      <c r="C30" s="144" t="s">
        <v>131</v>
      </c>
      <c r="D30" s="144" t="s">
        <v>64</v>
      </c>
      <c r="E30" s="144" t="s">
        <v>132</v>
      </c>
      <c r="F30" s="145" t="s">
        <v>133</v>
      </c>
    </row>
    <row r="31" spans="2:19" x14ac:dyDescent="0.25">
      <c r="B31" s="134"/>
      <c r="C31" s="135" t="s">
        <v>141</v>
      </c>
      <c r="D31" s="135" t="s">
        <v>141</v>
      </c>
      <c r="E31" s="135" t="s">
        <v>141</v>
      </c>
      <c r="F31" s="136" t="s">
        <v>141</v>
      </c>
    </row>
    <row r="32" spans="2:19" x14ac:dyDescent="0.25">
      <c r="B32" s="137">
        <v>44561</v>
      </c>
      <c r="C32" s="83">
        <f>C18</f>
        <v>273.04199999999997</v>
      </c>
      <c r="D32" s="83">
        <f t="shared" ref="D32:D37" si="0">IF($C$21="arrears",C32*$C$20,(C32+E32)*$C$20)</f>
        <v>13.652099999999999</v>
      </c>
      <c r="E32" s="104">
        <f>IF(C21="ADVANCE",0,-$C$19)</f>
        <v>0</v>
      </c>
      <c r="F32" s="69">
        <f t="shared" ref="F32:F37" si="1">C32+D32+E32</f>
        <v>286.69409999999999</v>
      </c>
      <c r="I32" s="12"/>
    </row>
    <row r="33" spans="2:13" x14ac:dyDescent="0.25">
      <c r="B33" s="137">
        <f>B32+365</f>
        <v>44926</v>
      </c>
      <c r="C33" s="83">
        <f>F32</f>
        <v>286.69409999999999</v>
      </c>
      <c r="D33" s="83">
        <f t="shared" si="0"/>
        <v>10.484705</v>
      </c>
      <c r="E33" s="104">
        <f>-$C$19</f>
        <v>-77</v>
      </c>
      <c r="F33" s="69">
        <f t="shared" si="1"/>
        <v>220.17880500000001</v>
      </c>
      <c r="H33" s="12"/>
    </row>
    <row r="34" spans="2:13" x14ac:dyDescent="0.25">
      <c r="B34" s="137">
        <f>B33+365</f>
        <v>45291</v>
      </c>
      <c r="C34" s="83">
        <f>F33</f>
        <v>220.17880500000001</v>
      </c>
      <c r="D34" s="83">
        <f t="shared" si="0"/>
        <v>7.1589402500000006</v>
      </c>
      <c r="E34" s="104">
        <f>-$C$19</f>
        <v>-77</v>
      </c>
      <c r="F34" s="69">
        <f t="shared" si="1"/>
        <v>150.33774525000001</v>
      </c>
      <c r="I34" s="12"/>
      <c r="J34" s="12"/>
    </row>
    <row r="35" spans="2:13" x14ac:dyDescent="0.25">
      <c r="B35" s="137">
        <f>B34+365</f>
        <v>45656</v>
      </c>
      <c r="C35" s="17">
        <f>F34</f>
        <v>150.33774525000001</v>
      </c>
      <c r="D35" s="83">
        <f t="shared" si="0"/>
        <v>3.6668872625000009</v>
      </c>
      <c r="E35" s="104">
        <f>-$C$19</f>
        <v>-77</v>
      </c>
      <c r="F35" s="138">
        <f t="shared" si="1"/>
        <v>77.004632512500024</v>
      </c>
      <c r="I35" s="12"/>
      <c r="J35" s="12"/>
    </row>
    <row r="36" spans="2:13" x14ac:dyDescent="0.25">
      <c r="B36" s="137">
        <f>B35+365</f>
        <v>46021</v>
      </c>
      <c r="C36" s="17">
        <f>F35</f>
        <v>77.004632512500024</v>
      </c>
      <c r="D36" s="83">
        <f t="shared" si="0"/>
        <v>2.3162562500118612E-4</v>
      </c>
      <c r="E36" s="104">
        <f>-$C$19</f>
        <v>-77</v>
      </c>
      <c r="F36" s="69">
        <f t="shared" si="1"/>
        <v>4.8641381250291715E-3</v>
      </c>
    </row>
    <row r="37" spans="2:13" x14ac:dyDescent="0.25">
      <c r="B37" s="137">
        <f>B36+365</f>
        <v>46386</v>
      </c>
      <c r="C37" s="17">
        <f>F36</f>
        <v>4.8641381250291715E-3</v>
      </c>
      <c r="D37" s="83">
        <f t="shared" si="0"/>
        <v>-3.8497567930937486</v>
      </c>
      <c r="E37" s="104">
        <f>-$C$19</f>
        <v>-77</v>
      </c>
      <c r="F37" s="69">
        <f t="shared" si="1"/>
        <v>-80.844892654968717</v>
      </c>
    </row>
    <row r="38" spans="2:13" x14ac:dyDescent="0.25">
      <c r="B38" s="63"/>
      <c r="C38" s="64"/>
      <c r="D38" s="64"/>
      <c r="E38" s="64"/>
      <c r="F38" s="66"/>
    </row>
    <row r="39" spans="2:13" x14ac:dyDescent="0.25">
      <c r="B39" s="63"/>
      <c r="C39" s="64"/>
      <c r="D39" s="64"/>
      <c r="E39" s="64"/>
      <c r="F39" s="66"/>
    </row>
    <row r="40" spans="2:13" x14ac:dyDescent="0.25">
      <c r="B40" s="63" t="s">
        <v>142</v>
      </c>
      <c r="C40" s="17">
        <f>F33</f>
        <v>220.17880500000001</v>
      </c>
      <c r="D40" s="64"/>
      <c r="E40" s="64"/>
      <c r="F40" s="66"/>
    </row>
    <row r="41" spans="2:13" x14ac:dyDescent="0.25">
      <c r="B41" s="63" t="s">
        <v>143</v>
      </c>
      <c r="C41" s="17">
        <f>F32-F33</f>
        <v>66.515294999999981</v>
      </c>
      <c r="D41" s="48" t="s">
        <v>297</v>
      </c>
      <c r="E41" s="17"/>
      <c r="F41" s="66"/>
      <c r="G41" t="s">
        <v>1415</v>
      </c>
    </row>
    <row r="42" spans="2:13" ht="15.75" thickBot="1" x14ac:dyDescent="0.3">
      <c r="B42" s="78" t="str">
        <f>"Lease payable at year end"</f>
        <v>Lease payable at year end</v>
      </c>
      <c r="C42" s="33">
        <f>C40+C41</f>
        <v>286.69409999999999</v>
      </c>
      <c r="D42" s="64"/>
      <c r="E42" s="64"/>
      <c r="F42" s="66"/>
    </row>
    <row r="43" spans="2:13" ht="15.75" thickBot="1" x14ac:dyDescent="0.3">
      <c r="B43" s="70"/>
      <c r="C43" s="71"/>
      <c r="D43" s="71"/>
      <c r="E43" s="71"/>
      <c r="F43" s="80"/>
    </row>
    <row r="44" spans="2:13" x14ac:dyDescent="0.25">
      <c r="B44" s="418" t="s">
        <v>1416</v>
      </c>
    </row>
    <row r="45" spans="2:13" x14ac:dyDescent="0.25">
      <c r="B45" t="s">
        <v>139</v>
      </c>
      <c r="C45" s="11">
        <f>C16</f>
        <v>350.04199999999997</v>
      </c>
      <c r="D45" s="11"/>
    </row>
    <row r="46" spans="2:13" x14ac:dyDescent="0.25">
      <c r="B46" t="s">
        <v>292</v>
      </c>
      <c r="C46" s="11" cm="1">
        <f t="array" ref="C46">_xlfn.IFS(AND($C$22&lt;$C$23,$C$24="No"),(C45-$C$25)/$C$22,OR($C$23&lt;$C$22,$C$24="Yes"),(C45-$C$26)/$C$23)</f>
        <v>35.004199999999997</v>
      </c>
      <c r="D46" s="11"/>
      <c r="E46" s="12"/>
    </row>
    <row r="47" spans="2:13" ht="15.75" thickBot="1" x14ac:dyDescent="0.3">
      <c r="C47" s="11"/>
      <c r="D47" s="11"/>
      <c r="E47" s="12"/>
    </row>
    <row r="48" spans="2:13" ht="15.75" thickBot="1" x14ac:dyDescent="0.3">
      <c r="B48" s="143" t="s">
        <v>155</v>
      </c>
      <c r="C48" s="144"/>
      <c r="D48" s="145"/>
      <c r="E48" s="12"/>
      <c r="K48" s="64"/>
      <c r="L48" s="64"/>
      <c r="M48" s="64"/>
    </row>
    <row r="49" spans="2:13" x14ac:dyDescent="0.25">
      <c r="B49" s="63"/>
      <c r="C49" s="135" t="s">
        <v>152</v>
      </c>
      <c r="D49" s="136" t="s">
        <v>153</v>
      </c>
      <c r="E49" s="12"/>
      <c r="K49" s="64"/>
      <c r="L49" s="64"/>
      <c r="M49" s="64"/>
    </row>
    <row r="50" spans="2:13" x14ac:dyDescent="0.25">
      <c r="B50" s="63"/>
      <c r="C50" s="135"/>
      <c r="D50" s="136"/>
      <c r="E50" s="12"/>
      <c r="K50" s="64"/>
      <c r="L50" s="64"/>
      <c r="M50" s="64"/>
    </row>
    <row r="51" spans="2:13" x14ac:dyDescent="0.25">
      <c r="B51" s="63"/>
      <c r="C51" s="140" t="s">
        <v>10</v>
      </c>
      <c r="D51" s="141" t="s">
        <v>10</v>
      </c>
      <c r="E51" s="12"/>
      <c r="K51" s="64"/>
      <c r="L51" s="64"/>
      <c r="M51" s="64"/>
    </row>
    <row r="52" spans="2:13" x14ac:dyDescent="0.25">
      <c r="B52" s="63" t="s">
        <v>156</v>
      </c>
      <c r="C52" s="104">
        <f>C16</f>
        <v>350.04199999999997</v>
      </c>
      <c r="D52" s="66"/>
      <c r="E52" s="12"/>
      <c r="K52" s="64"/>
      <c r="L52" s="64"/>
      <c r="M52" s="64"/>
    </row>
    <row r="53" spans="2:13" x14ac:dyDescent="0.25">
      <c r="B53" s="63" t="s">
        <v>157</v>
      </c>
      <c r="C53" s="64"/>
      <c r="D53" s="115">
        <f>C18</f>
        <v>273.04199999999997</v>
      </c>
      <c r="E53" s="12"/>
      <c r="K53" s="64"/>
      <c r="L53" s="64"/>
      <c r="M53" s="64"/>
    </row>
    <row r="54" spans="2:13" x14ac:dyDescent="0.25">
      <c r="B54" s="63" t="s">
        <v>158</v>
      </c>
      <c r="C54" s="64"/>
      <c r="D54" s="142">
        <f>IF(C21="advance",C19,0)</f>
        <v>77</v>
      </c>
      <c r="E54" s="12"/>
      <c r="K54" s="64"/>
      <c r="L54" s="64"/>
      <c r="M54" s="64"/>
    </row>
    <row r="55" spans="2:13" x14ac:dyDescent="0.25">
      <c r="B55" s="47" t="s">
        <v>298</v>
      </c>
      <c r="C55" s="103">
        <f>IF(C17&lt;0,C17,0)</f>
        <v>0</v>
      </c>
      <c r="D55" s="115">
        <f>IF(C17&gt;0,C17,0)</f>
        <v>0</v>
      </c>
      <c r="E55" s="12"/>
      <c r="K55" s="64"/>
      <c r="L55" s="64"/>
      <c r="M55" s="64"/>
    </row>
    <row r="56" spans="2:13" x14ac:dyDescent="0.25">
      <c r="B56" s="63"/>
      <c r="C56" s="64"/>
      <c r="D56" s="66"/>
      <c r="E56" s="12"/>
      <c r="K56" s="64"/>
      <c r="L56" s="64"/>
      <c r="M56" s="64"/>
    </row>
    <row r="57" spans="2:13" x14ac:dyDescent="0.25">
      <c r="B57" s="63"/>
      <c r="C57" s="64"/>
      <c r="D57" s="66"/>
      <c r="E57" s="12"/>
      <c r="K57" s="64"/>
      <c r="L57" s="64"/>
      <c r="M57" s="64"/>
    </row>
    <row r="58" spans="2:13" x14ac:dyDescent="0.25">
      <c r="B58" s="63"/>
      <c r="C58" s="135" t="s">
        <v>152</v>
      </c>
      <c r="D58" s="136" t="s">
        <v>153</v>
      </c>
      <c r="E58" s="12"/>
      <c r="K58" s="64"/>
      <c r="L58" s="64"/>
      <c r="M58" s="64"/>
    </row>
    <row r="59" spans="2:13" x14ac:dyDescent="0.25">
      <c r="B59" s="63"/>
      <c r="C59" s="140" t="s">
        <v>10</v>
      </c>
      <c r="D59" s="141" t="s">
        <v>10</v>
      </c>
      <c r="E59" s="12"/>
      <c r="K59" s="64"/>
      <c r="L59" s="64"/>
      <c r="M59" s="64"/>
    </row>
    <row r="60" spans="2:13" x14ac:dyDescent="0.25">
      <c r="B60" s="63" t="s">
        <v>293</v>
      </c>
      <c r="C60" s="17">
        <f>D32</f>
        <v>13.652099999999999</v>
      </c>
      <c r="D60" s="66"/>
      <c r="E60" s="12"/>
      <c r="K60" s="64"/>
      <c r="L60" s="64"/>
      <c r="M60" s="64"/>
    </row>
    <row r="61" spans="2:13" x14ac:dyDescent="0.25">
      <c r="B61" s="63" t="s">
        <v>154</v>
      </c>
      <c r="C61" s="83">
        <f>IF((D32+E32)&lt;0,-(D32+E32),0)</f>
        <v>0</v>
      </c>
      <c r="D61" s="77">
        <f>IF((D32+E32)&gt;0,(D32+E32),0)</f>
        <v>13.652099999999999</v>
      </c>
      <c r="E61" s="12"/>
      <c r="K61" s="64"/>
      <c r="L61" s="64"/>
      <c r="M61" s="64"/>
    </row>
    <row r="62" spans="2:13" x14ac:dyDescent="0.25">
      <c r="B62" s="47" t="s">
        <v>298</v>
      </c>
      <c r="C62" s="64"/>
      <c r="D62" s="115">
        <f>E32</f>
        <v>0</v>
      </c>
      <c r="E62" s="12"/>
      <c r="K62" s="64"/>
      <c r="L62" s="64"/>
      <c r="M62" s="64"/>
    </row>
    <row r="63" spans="2:13" x14ac:dyDescent="0.25">
      <c r="B63" s="63"/>
      <c r="C63" s="64"/>
      <c r="D63" s="66"/>
      <c r="E63" s="12"/>
      <c r="K63" s="64"/>
      <c r="L63" s="64"/>
      <c r="M63" s="64"/>
    </row>
    <row r="64" spans="2:13" x14ac:dyDescent="0.25">
      <c r="B64" s="63"/>
      <c r="C64" s="64"/>
      <c r="D64" s="66"/>
      <c r="E64" s="12"/>
      <c r="K64" s="64"/>
      <c r="L64" s="64"/>
      <c r="M64" s="64"/>
    </row>
    <row r="65" spans="2:13" x14ac:dyDescent="0.25">
      <c r="B65" s="63"/>
      <c r="C65" s="135" t="s">
        <v>152</v>
      </c>
      <c r="D65" s="136" t="s">
        <v>153</v>
      </c>
      <c r="E65" s="12"/>
      <c r="K65" s="64"/>
      <c r="L65" s="64"/>
      <c r="M65" s="64"/>
    </row>
    <row r="66" spans="2:13" x14ac:dyDescent="0.25">
      <c r="B66" s="63"/>
      <c r="C66" s="140" t="s">
        <v>10</v>
      </c>
      <c r="D66" s="141" t="s">
        <v>10</v>
      </c>
      <c r="E66" s="12"/>
      <c r="K66" s="64"/>
      <c r="L66" s="64"/>
      <c r="M66" s="64"/>
    </row>
    <row r="67" spans="2:13" x14ac:dyDescent="0.25">
      <c r="B67" s="63" t="s">
        <v>159</v>
      </c>
      <c r="C67" s="17">
        <f>C46</f>
        <v>35.004199999999997</v>
      </c>
      <c r="D67" s="66"/>
      <c r="E67" s="12"/>
      <c r="K67" s="64"/>
      <c r="L67" s="64"/>
      <c r="M67" s="64"/>
    </row>
    <row r="68" spans="2:13" x14ac:dyDescent="0.25">
      <c r="B68" s="63" t="s">
        <v>160</v>
      </c>
      <c r="C68" s="64"/>
      <c r="D68" s="69">
        <f>C46</f>
        <v>35.004199999999997</v>
      </c>
      <c r="E68" s="12"/>
      <c r="K68" s="64"/>
      <c r="L68" s="64"/>
      <c r="M68" s="64"/>
    </row>
    <row r="69" spans="2:13" x14ac:dyDescent="0.25">
      <c r="B69" s="63"/>
      <c r="C69" s="64"/>
      <c r="D69" s="66"/>
      <c r="E69" s="12"/>
      <c r="K69" s="64"/>
      <c r="L69" s="64"/>
      <c r="M69" s="64"/>
    </row>
    <row r="70" spans="2:13" ht="15.75" thickBot="1" x14ac:dyDescent="0.3">
      <c r="B70" s="70"/>
      <c r="C70" s="71"/>
      <c r="D70" s="80"/>
      <c r="E70" s="12"/>
      <c r="K70" s="64"/>
      <c r="L70" s="64"/>
      <c r="M70" s="64"/>
    </row>
    <row r="71" spans="2:13" x14ac:dyDescent="0.25">
      <c r="C71" s="11"/>
      <c r="D71" s="11"/>
      <c r="E71" s="12"/>
      <c r="K71" s="64"/>
      <c r="L71" s="64"/>
      <c r="M71" s="64"/>
    </row>
    <row r="72" spans="2:13" x14ac:dyDescent="0.25">
      <c r="C72" s="11"/>
      <c r="D72" s="11"/>
      <c r="E72" s="12"/>
      <c r="K72" s="64"/>
      <c r="L72" s="64"/>
      <c r="M72" s="64"/>
    </row>
    <row r="73" spans="2:13" x14ac:dyDescent="0.25">
      <c r="B73" s="1" t="s">
        <v>1989</v>
      </c>
    </row>
    <row r="74" spans="2:13" x14ac:dyDescent="0.25">
      <c r="B74" s="418" t="s">
        <v>1990</v>
      </c>
      <c r="C74" s="12"/>
    </row>
    <row r="75" spans="2:13" x14ac:dyDescent="0.25">
      <c r="B75" s="418" t="s">
        <v>1991</v>
      </c>
      <c r="C75" s="12"/>
    </row>
    <row r="76" spans="2:13" x14ac:dyDescent="0.25">
      <c r="B76" s="418" t="s">
        <v>1992</v>
      </c>
      <c r="C76" s="12"/>
    </row>
    <row r="77" spans="2:13" x14ac:dyDescent="0.25">
      <c r="B77" s="418" t="s">
        <v>1993</v>
      </c>
      <c r="C77" s="12"/>
    </row>
    <row r="78" spans="2:13" x14ac:dyDescent="0.25">
      <c r="B78" s="934" t="s">
        <v>1994</v>
      </c>
    </row>
    <row r="80" spans="2:13" x14ac:dyDescent="0.25">
      <c r="B80" s="15" t="s">
        <v>1995</v>
      </c>
      <c r="C80" s="34"/>
      <c r="K80" s="877" t="s">
        <v>1996</v>
      </c>
      <c r="L80" s="877"/>
      <c r="M80" s="877"/>
    </row>
    <row r="81" spans="2:13" x14ac:dyDescent="0.25">
      <c r="B81" s="15" t="s">
        <v>1997</v>
      </c>
      <c r="C81" s="34"/>
      <c r="K81" s="877"/>
      <c r="L81" s="877"/>
      <c r="M81" s="877"/>
    </row>
    <row r="82" spans="2:13" x14ac:dyDescent="0.25">
      <c r="B82" s="15" t="s">
        <v>1998</v>
      </c>
      <c r="C82" s="14"/>
      <c r="K82" s="877"/>
      <c r="L82" s="877"/>
      <c r="M82" s="877"/>
    </row>
    <row r="83" spans="2:13" x14ac:dyDescent="0.25">
      <c r="B83" s="15" t="s">
        <v>1999</v>
      </c>
      <c r="C83" s="14"/>
      <c r="K83" s="877"/>
      <c r="L83" s="877"/>
      <c r="M83" s="877"/>
    </row>
    <row r="84" spans="2:13" x14ac:dyDescent="0.25">
      <c r="B84" s="15" t="s">
        <v>140</v>
      </c>
      <c r="C84" s="34"/>
      <c r="K84" s="418"/>
      <c r="L84" s="418"/>
      <c r="M84" s="418"/>
    </row>
    <row r="85" spans="2:13" x14ac:dyDescent="0.25">
      <c r="B85" s="15" t="s">
        <v>144</v>
      </c>
      <c r="C85" s="34"/>
      <c r="K85" s="418"/>
      <c r="L85" s="418"/>
      <c r="M85" s="418"/>
    </row>
    <row r="86" spans="2:13" x14ac:dyDescent="0.25">
      <c r="B86" s="15" t="s">
        <v>145</v>
      </c>
      <c r="C86" s="34"/>
      <c r="K86" s="418"/>
      <c r="L86" s="418"/>
      <c r="M86" s="418"/>
    </row>
    <row r="87" spans="2:13" x14ac:dyDescent="0.25">
      <c r="B87" s="15" t="s">
        <v>134</v>
      </c>
      <c r="C87" s="35"/>
      <c r="K87" s="418"/>
      <c r="L87" s="418"/>
      <c r="M87" s="418"/>
    </row>
    <row r="88" spans="2:13" x14ac:dyDescent="0.25">
      <c r="B88" s="15" t="s">
        <v>135</v>
      </c>
      <c r="C88" s="36"/>
      <c r="J88" s="40" t="e">
        <f>C89/C83</f>
        <v>#DIV/0!</v>
      </c>
      <c r="K88" s="418" t="s">
        <v>2000</v>
      </c>
      <c r="L88" s="418"/>
      <c r="M88" s="418"/>
    </row>
    <row r="89" spans="2:13" x14ac:dyDescent="0.25">
      <c r="B89" s="15" t="s">
        <v>138</v>
      </c>
      <c r="C89" s="34"/>
      <c r="D89" s="37" t="str">
        <f ca="1">IFERROR(_xlfn.FORMULATEXT(C89)," ")</f>
        <v xml:space="preserve"> </v>
      </c>
      <c r="E89" s="37" t="s">
        <v>2001</v>
      </c>
      <c r="J89" s="12"/>
      <c r="K89" s="418"/>
      <c r="L89" s="418"/>
      <c r="M89" s="418"/>
    </row>
    <row r="90" spans="2:13" x14ac:dyDescent="0.25">
      <c r="B90" s="15" t="s">
        <v>150</v>
      </c>
      <c r="C90" s="34"/>
      <c r="K90" s="418"/>
      <c r="L90" s="418"/>
      <c r="M90" s="418"/>
    </row>
    <row r="91" spans="2:13" x14ac:dyDescent="0.25">
      <c r="B91" s="15" t="s">
        <v>151</v>
      </c>
      <c r="C91" s="23">
        <f>C90-C82</f>
        <v>0</v>
      </c>
      <c r="D91" s="37" t="s">
        <v>2002</v>
      </c>
      <c r="J91" s="547"/>
      <c r="K91" s="418"/>
      <c r="L91" s="418"/>
      <c r="M91" s="418"/>
    </row>
    <row r="92" spans="2:13" x14ac:dyDescent="0.25">
      <c r="J92" s="12"/>
      <c r="K92" s="418"/>
      <c r="L92" s="418"/>
      <c r="M92" s="418"/>
    </row>
    <row r="93" spans="2:13" x14ac:dyDescent="0.25">
      <c r="B93" s="645" t="s">
        <v>273</v>
      </c>
      <c r="C93" s="32">
        <f>C90</f>
        <v>0</v>
      </c>
      <c r="K93" s="418"/>
      <c r="L93" s="418"/>
      <c r="M93" s="418"/>
    </row>
    <row r="94" spans="2:13" x14ac:dyDescent="0.25">
      <c r="B94" t="s">
        <v>2003</v>
      </c>
      <c r="C94" s="32">
        <f>C89</f>
        <v>0</v>
      </c>
      <c r="K94" s="418"/>
      <c r="L94" s="418"/>
      <c r="M94" s="418"/>
    </row>
    <row r="95" spans="2:13" x14ac:dyDescent="0.25">
      <c r="B95" t="s">
        <v>2004</v>
      </c>
      <c r="C95" s="32" t="e">
        <f>(C82/C83)*C89</f>
        <v>#DIV/0!</v>
      </c>
      <c r="D95" s="37" t="s">
        <v>2005</v>
      </c>
      <c r="K95" s="418" t="s">
        <v>2006</v>
      </c>
      <c r="L95" s="418"/>
      <c r="M95" s="418"/>
    </row>
    <row r="96" spans="2:13" x14ac:dyDescent="0.25">
      <c r="B96" t="str">
        <f>IF(C91&gt;0,"CR SPL - gain on sale","DR  SPL - loss on sale")</f>
        <v>DR  SPL - loss on sale</v>
      </c>
      <c r="C96" s="11" t="e">
        <f>C91/C83*(C90-C89)</f>
        <v>#DIV/0!</v>
      </c>
      <c r="D96" s="37" t="s">
        <v>2007</v>
      </c>
      <c r="K96" s="418" t="s">
        <v>2008</v>
      </c>
      <c r="L96" s="418"/>
      <c r="M96" s="418"/>
    </row>
    <row r="97" spans="2:13" x14ac:dyDescent="0.25">
      <c r="B97" t="s">
        <v>2009</v>
      </c>
      <c r="C97" s="11">
        <f>C80</f>
        <v>0</v>
      </c>
      <c r="K97" s="418"/>
      <c r="L97" s="418"/>
      <c r="M97" s="418"/>
    </row>
    <row r="98" spans="2:13" x14ac:dyDescent="0.25">
      <c r="B98" t="s">
        <v>2010</v>
      </c>
      <c r="C98" s="11">
        <f>C81</f>
        <v>0</v>
      </c>
    </row>
    <row r="102" spans="2:13" x14ac:dyDescent="0.25">
      <c r="B102" t="s">
        <v>139</v>
      </c>
      <c r="C102" s="11" t="e">
        <f>C95</f>
        <v>#DIV/0!</v>
      </c>
    </row>
    <row r="103" spans="2:13" x14ac:dyDescent="0.25">
      <c r="B103" t="s">
        <v>2011</v>
      </c>
      <c r="C103" s="11" t="e">
        <f>IF(C85&lt;C86,C102/C85,C102/C86)</f>
        <v>#DIV/0!</v>
      </c>
      <c r="D103" s="37" t="e">
        <f>IF(C85&lt;C86,"="&amp;C102&amp;"/"&amp;C85,"="&amp;C102&amp;"/"&amp;C86)</f>
        <v>#DIV/0!</v>
      </c>
      <c r="E103" s="12"/>
    </row>
    <row r="108" spans="2:13" x14ac:dyDescent="0.25">
      <c r="C108" s="560"/>
      <c r="D108" s="560"/>
    </row>
    <row r="109" spans="2:13" x14ac:dyDescent="0.25">
      <c r="C109" s="560"/>
      <c r="D109" s="560"/>
    </row>
  </sheetData>
  <autoFilter ref="B2:B6" xr:uid="{EB76DAB7-A69C-405D-AE8E-17E25900784D}"/>
  <mergeCells count="1">
    <mergeCell ref="K80:M83"/>
  </mergeCells>
  <hyperlinks>
    <hyperlink ref="A1" location="Main!A1" display="Main" xr:uid="{1807A02D-159E-4EFC-B0D6-AEF5001DA29A}"/>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C21</xm:sqref>
        </x14:dataValidation>
        <x14:dataValidation type="list" allowBlank="1" showInputMessage="1" showErrorMessage="1" xr:uid="{84398A4A-35BC-41C5-A2B6-48595C54374F}">
          <x14:formula1>
            <xm:f>Inputs!$B$5:$B$6</xm:f>
          </x14:formula1>
          <xm:sqref>C24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146</v>
      </c>
    </row>
    <row r="6" spans="2:2" x14ac:dyDescent="0.25">
      <c r="B6" t="s">
        <v>147</v>
      </c>
    </row>
    <row r="8" spans="2:2" x14ac:dyDescent="0.25">
      <c r="B8" t="s">
        <v>170</v>
      </c>
    </row>
    <row r="9" spans="2:2" x14ac:dyDescent="0.25">
      <c r="B9" t="s">
        <v>171</v>
      </c>
    </row>
    <row r="11" spans="2:2" x14ac:dyDescent="0.25">
      <c r="B11" t="s">
        <v>364</v>
      </c>
    </row>
    <row r="12" spans="2:2" x14ac:dyDescent="0.25">
      <c r="B12" t="s">
        <v>365</v>
      </c>
    </row>
    <row r="14" spans="2:2" x14ac:dyDescent="0.25">
      <c r="B14" t="s">
        <v>414</v>
      </c>
    </row>
    <row r="15" spans="2:2" x14ac:dyDescent="0.25">
      <c r="B15" t="s">
        <v>415</v>
      </c>
    </row>
    <row r="17" spans="2:2" x14ac:dyDescent="0.25">
      <c r="B17" t="s">
        <v>439</v>
      </c>
    </row>
    <row r="19" spans="2:2" x14ac:dyDescent="0.25">
      <c r="B19" t="s">
        <v>542</v>
      </c>
    </row>
    <row r="20" spans="2:2" x14ac:dyDescent="0.25">
      <c r="B20" t="s">
        <v>540</v>
      </c>
    </row>
    <row r="21" spans="2:2" x14ac:dyDescent="0.25">
      <c r="B21" t="s">
        <v>541</v>
      </c>
    </row>
    <row r="23" spans="2:2" x14ac:dyDescent="0.25">
      <c r="B23" t="s">
        <v>543</v>
      </c>
    </row>
    <row r="24" spans="2:2" x14ac:dyDescent="0.25">
      <c r="B24" t="s">
        <v>544</v>
      </c>
    </row>
    <row r="26" spans="2:2" x14ac:dyDescent="0.25">
      <c r="B26" t="s">
        <v>545</v>
      </c>
    </row>
    <row r="27" spans="2:2" x14ac:dyDescent="0.25">
      <c r="B27" t="s">
        <v>546</v>
      </c>
    </row>
    <row r="29" spans="2:2" x14ac:dyDescent="0.25">
      <c r="B29" t="s">
        <v>547</v>
      </c>
    </row>
    <row r="30" spans="2:2" x14ac:dyDescent="0.25">
      <c r="B30" t="s">
        <v>549</v>
      </c>
    </row>
    <row r="31" spans="2:2" x14ac:dyDescent="0.25">
      <c r="B31" t="s">
        <v>548</v>
      </c>
    </row>
    <row r="33" spans="2:2" x14ac:dyDescent="0.25">
      <c r="B33" t="s">
        <v>561</v>
      </c>
    </row>
    <row r="34" spans="2:2" x14ac:dyDescent="0.25">
      <c r="B34" t="s">
        <v>562</v>
      </c>
    </row>
    <row r="35" spans="2:2" x14ac:dyDescent="0.25">
      <c r="B35" t="s">
        <v>563</v>
      </c>
    </row>
    <row r="36" spans="2:2" x14ac:dyDescent="0.25">
      <c r="B36" t="s">
        <v>429</v>
      </c>
    </row>
    <row r="38" spans="2:2" x14ac:dyDescent="0.25">
      <c r="B38">
        <v>1</v>
      </c>
    </row>
    <row r="39" spans="2:2" x14ac:dyDescent="0.25">
      <c r="B39">
        <v>2</v>
      </c>
    </row>
    <row r="40" spans="2:2" x14ac:dyDescent="0.25">
      <c r="B40">
        <v>3</v>
      </c>
    </row>
    <row r="42" spans="2:2" x14ac:dyDescent="0.25">
      <c r="B42" t="s">
        <v>781</v>
      </c>
    </row>
    <row r="43" spans="2:2" x14ac:dyDescent="0.25">
      <c r="B43" t="s">
        <v>793</v>
      </c>
    </row>
    <row r="45" spans="2:2" x14ac:dyDescent="0.25">
      <c r="B45" t="s">
        <v>870</v>
      </c>
    </row>
    <row r="46" spans="2:2" x14ac:dyDescent="0.25">
      <c r="B46" t="s">
        <v>871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U22"/>
  <sheetViews>
    <sheetView zoomScale="80" zoomScaleNormal="80" workbookViewId="0"/>
  </sheetViews>
  <sheetFormatPr defaultRowHeight="15" x14ac:dyDescent="0.25"/>
  <cols>
    <col min="4" max="4" width="10.5703125" bestFit="1" customWidth="1"/>
    <col min="5" max="5" width="14.7109375" customWidth="1"/>
    <col min="6" max="6" width="15.85546875" customWidth="1"/>
    <col min="7" max="7" width="16.28515625" bestFit="1" customWidth="1"/>
    <col min="8" max="8" width="16.140625" customWidth="1"/>
    <col min="9" max="9" width="10.85546875" customWidth="1"/>
    <col min="10" max="10" width="11.140625" bestFit="1" customWidth="1"/>
    <col min="11" max="11" width="11.7109375" customWidth="1"/>
    <col min="12" max="13" width="15.7109375" customWidth="1"/>
    <col min="14" max="14" width="11.140625" bestFit="1" customWidth="1"/>
    <col min="15" max="15" width="15.85546875" bestFit="1" customWidth="1"/>
    <col min="16" max="17" width="17.85546875" customWidth="1"/>
    <col min="18" max="18" width="16" bestFit="1" customWidth="1"/>
    <col min="19" max="20" width="19.85546875" customWidth="1"/>
  </cols>
  <sheetData>
    <row r="1" spans="1:21" x14ac:dyDescent="0.25">
      <c r="A1" s="161" t="s">
        <v>1984</v>
      </c>
    </row>
    <row r="2" spans="1:21" x14ac:dyDescent="0.25">
      <c r="D2" s="37" t="s">
        <v>1806</v>
      </c>
    </row>
    <row r="3" spans="1:21" x14ac:dyDescent="0.25">
      <c r="D3" s="1" t="s">
        <v>1079</v>
      </c>
      <c r="E3" s="1" t="s">
        <v>1743</v>
      </c>
      <c r="F3" s="1" t="s">
        <v>1742</v>
      </c>
      <c r="G3" s="1" t="s">
        <v>1802</v>
      </c>
      <c r="H3" s="1" t="s">
        <v>613</v>
      </c>
      <c r="I3" s="926" t="s">
        <v>1803</v>
      </c>
      <c r="J3" s="926"/>
      <c r="K3" s="1" t="s">
        <v>36</v>
      </c>
      <c r="L3" s="1" t="s">
        <v>1841</v>
      </c>
      <c r="M3" s="1" t="s">
        <v>380</v>
      </c>
      <c r="N3" s="1" t="s">
        <v>379</v>
      </c>
      <c r="O3" s="1" t="s">
        <v>497</v>
      </c>
      <c r="P3" s="1" t="s">
        <v>1843</v>
      </c>
      <c r="Q3" s="1" t="s">
        <v>1855</v>
      </c>
      <c r="R3" s="1" t="s">
        <v>1804</v>
      </c>
      <c r="S3" s="1" t="s">
        <v>157</v>
      </c>
      <c r="T3" s="1" t="s">
        <v>1840</v>
      </c>
    </row>
    <row r="4" spans="1:21" x14ac:dyDescent="0.25">
      <c r="D4" s="1"/>
      <c r="E4" s="1"/>
      <c r="F4" s="1"/>
      <c r="G4" s="1"/>
      <c r="H4" s="1"/>
      <c r="I4" s="13" t="s">
        <v>36</v>
      </c>
      <c r="J4" s="13" t="s">
        <v>379</v>
      </c>
      <c r="K4" s="1"/>
      <c r="L4" s="1"/>
      <c r="M4" s="1"/>
      <c r="N4" s="1"/>
      <c r="O4" s="1"/>
      <c r="P4" s="1"/>
      <c r="Q4" s="1"/>
      <c r="R4" s="1"/>
      <c r="S4" s="1"/>
      <c r="T4" s="1"/>
    </row>
    <row r="5" spans="1:21" x14ac:dyDescent="0.25">
      <c r="D5" t="s">
        <v>10</v>
      </c>
      <c r="E5" t="s">
        <v>10</v>
      </c>
      <c r="F5" t="s">
        <v>10</v>
      </c>
      <c r="G5" t="s">
        <v>10</v>
      </c>
      <c r="H5" t="s">
        <v>10</v>
      </c>
      <c r="I5" t="s">
        <v>10</v>
      </c>
      <c r="J5" t="s">
        <v>10</v>
      </c>
      <c r="K5" t="s">
        <v>10</v>
      </c>
      <c r="L5" t="s">
        <v>10</v>
      </c>
      <c r="M5" t="s">
        <v>10</v>
      </c>
      <c r="N5" t="s">
        <v>10</v>
      </c>
      <c r="O5" t="s">
        <v>10</v>
      </c>
      <c r="R5" t="s">
        <v>10</v>
      </c>
      <c r="S5" t="s">
        <v>10</v>
      </c>
      <c r="T5" t="s">
        <v>10</v>
      </c>
    </row>
    <row r="6" spans="1:21" x14ac:dyDescent="0.25">
      <c r="C6" s="16" t="s">
        <v>1801</v>
      </c>
      <c r="D6" s="14"/>
      <c r="E6" s="14"/>
      <c r="F6" s="14"/>
      <c r="G6" s="14"/>
      <c r="H6" s="14"/>
      <c r="I6" s="14">
        <v>0</v>
      </c>
      <c r="J6" s="14"/>
      <c r="K6" s="14"/>
      <c r="L6" s="14"/>
      <c r="M6" s="14"/>
      <c r="N6" s="14"/>
      <c r="O6" s="14"/>
      <c r="P6" s="14"/>
      <c r="Q6" s="14"/>
      <c r="R6" s="14"/>
      <c r="S6" s="14"/>
      <c r="T6" s="14"/>
    </row>
    <row r="7" spans="1:21" x14ac:dyDescent="0.25">
      <c r="B7" s="1" t="s">
        <v>1805</v>
      </c>
      <c r="C7" s="1">
        <v>1</v>
      </c>
      <c r="D7" s="14"/>
      <c r="E7" s="14"/>
      <c r="F7" s="14"/>
      <c r="G7" s="14"/>
      <c r="H7" s="14"/>
      <c r="I7" s="14"/>
      <c r="J7" s="14"/>
      <c r="K7" s="14"/>
      <c r="L7" s="14"/>
      <c r="M7" s="14"/>
      <c r="N7" s="14"/>
      <c r="O7" s="14"/>
      <c r="P7" s="14"/>
      <c r="Q7" s="14"/>
      <c r="R7" s="14"/>
      <c r="S7" s="14"/>
      <c r="T7" s="14"/>
      <c r="U7" s="37"/>
    </row>
    <row r="8" spans="1:21" x14ac:dyDescent="0.25">
      <c r="C8" s="1">
        <v>2</v>
      </c>
      <c r="D8" s="14"/>
      <c r="E8" s="14"/>
      <c r="F8" s="14"/>
      <c r="G8" s="14"/>
      <c r="H8" s="14"/>
      <c r="I8" s="14"/>
      <c r="J8" s="14"/>
      <c r="K8" s="14"/>
      <c r="L8" s="14"/>
      <c r="M8" s="14"/>
      <c r="N8" s="14"/>
      <c r="O8" s="14"/>
      <c r="P8" s="14"/>
      <c r="Q8" s="14"/>
      <c r="R8" s="14"/>
      <c r="S8" s="14"/>
      <c r="T8" s="14"/>
      <c r="U8" s="37"/>
    </row>
    <row r="9" spans="1:21" x14ac:dyDescent="0.25">
      <c r="C9" s="1">
        <v>3</v>
      </c>
      <c r="D9" s="14"/>
      <c r="E9" s="14"/>
      <c r="F9" s="14"/>
      <c r="G9" s="14"/>
      <c r="H9" s="14"/>
      <c r="I9" s="14"/>
      <c r="J9" s="14"/>
      <c r="K9" s="14"/>
      <c r="L9" s="14"/>
      <c r="M9" s="14"/>
      <c r="N9" s="14"/>
      <c r="O9" s="14"/>
      <c r="P9" s="14"/>
      <c r="Q9" s="14"/>
      <c r="R9" s="14"/>
      <c r="S9" s="14"/>
      <c r="T9" s="14"/>
      <c r="U9" s="37"/>
    </row>
    <row r="10" spans="1:21" x14ac:dyDescent="0.25">
      <c r="C10" s="1">
        <v>4</v>
      </c>
      <c r="D10" s="14"/>
      <c r="E10" s="14"/>
      <c r="F10" s="14"/>
      <c r="G10" s="14"/>
      <c r="H10" s="14"/>
      <c r="I10" s="14"/>
      <c r="J10" s="14"/>
      <c r="K10" s="14"/>
      <c r="L10" s="14"/>
      <c r="M10" s="14"/>
      <c r="N10" s="14"/>
      <c r="O10" s="14"/>
      <c r="P10" s="14"/>
      <c r="Q10" s="14"/>
      <c r="R10" s="14"/>
      <c r="S10" s="14"/>
      <c r="T10" s="14"/>
      <c r="U10" s="37"/>
    </row>
    <row r="11" spans="1:21" x14ac:dyDescent="0.25">
      <c r="C11" s="1">
        <v>5</v>
      </c>
      <c r="D11" s="14"/>
      <c r="E11" s="14"/>
      <c r="F11" s="14"/>
      <c r="G11" s="14"/>
      <c r="H11" s="14"/>
      <c r="I11" s="14"/>
      <c r="J11" s="14"/>
      <c r="K11" s="14"/>
      <c r="L11" s="14"/>
      <c r="M11" s="14"/>
      <c r="N11" s="14"/>
      <c r="O11" s="14"/>
      <c r="P11" s="14"/>
      <c r="Q11" s="14"/>
      <c r="R11" s="14"/>
      <c r="S11" s="14"/>
      <c r="T11" s="14"/>
      <c r="U11" s="37"/>
    </row>
    <row r="12" spans="1:21" x14ac:dyDescent="0.25">
      <c r="C12" s="1">
        <v>6</v>
      </c>
      <c r="D12" s="14"/>
      <c r="E12" s="14"/>
      <c r="F12" s="14"/>
      <c r="G12" s="14"/>
      <c r="H12" s="14"/>
      <c r="I12" s="14"/>
      <c r="J12" s="14"/>
      <c r="K12" s="14"/>
      <c r="L12" s="14"/>
      <c r="M12" s="14"/>
      <c r="N12" s="14"/>
      <c r="O12" s="14"/>
      <c r="P12" s="14"/>
      <c r="Q12" s="14"/>
      <c r="R12" s="14"/>
      <c r="S12" s="14"/>
      <c r="T12" s="14"/>
      <c r="U12" s="37"/>
    </row>
    <row r="13" spans="1:21" x14ac:dyDescent="0.25">
      <c r="C13" s="1">
        <v>7</v>
      </c>
      <c r="D13" s="14"/>
      <c r="E13" s="14"/>
      <c r="F13" s="14"/>
      <c r="G13" s="14"/>
      <c r="H13" s="14"/>
      <c r="I13" s="14"/>
      <c r="J13" s="14"/>
      <c r="K13" s="14"/>
      <c r="L13" s="14"/>
      <c r="M13" s="14"/>
      <c r="N13" s="14"/>
      <c r="O13" s="14"/>
      <c r="P13" s="14"/>
      <c r="Q13" s="14"/>
      <c r="R13" s="14"/>
      <c r="S13" s="14"/>
      <c r="T13" s="14"/>
    </row>
    <row r="14" spans="1:21" x14ac:dyDescent="0.25">
      <c r="C14" s="1">
        <v>8</v>
      </c>
      <c r="D14" s="14"/>
      <c r="E14" s="14"/>
      <c r="F14" s="14"/>
      <c r="G14" s="14"/>
      <c r="H14" s="14"/>
      <c r="I14" s="14"/>
      <c r="J14" s="14"/>
      <c r="K14" s="14"/>
      <c r="L14" s="14"/>
      <c r="M14" s="14"/>
      <c r="N14" s="14"/>
      <c r="O14" s="14"/>
      <c r="P14" s="14"/>
      <c r="Q14" s="14"/>
      <c r="R14" s="14"/>
      <c r="S14" s="14"/>
      <c r="T14" s="14"/>
    </row>
    <row r="15" spans="1:21" x14ac:dyDescent="0.25">
      <c r="C15" s="1">
        <v>9</v>
      </c>
      <c r="D15" s="14"/>
      <c r="E15" s="14"/>
      <c r="F15" s="14"/>
      <c r="G15" s="14"/>
      <c r="H15" s="14"/>
      <c r="I15" s="14"/>
      <c r="J15" s="14"/>
      <c r="K15" s="14"/>
      <c r="L15" s="14"/>
      <c r="M15" s="14"/>
      <c r="N15" s="14"/>
      <c r="O15" s="14"/>
      <c r="P15" s="14"/>
      <c r="Q15" s="14"/>
      <c r="R15" s="14"/>
      <c r="S15" s="14"/>
      <c r="T15" s="14"/>
    </row>
    <row r="16" spans="1:21" x14ac:dyDescent="0.25">
      <c r="C16" s="16" t="s">
        <v>1807</v>
      </c>
      <c r="D16" s="11">
        <f>SUM(D6:D15)</f>
        <v>0</v>
      </c>
      <c r="E16" s="11">
        <f t="shared" ref="E16:S16" si="0">SUM(E6:E15)</f>
        <v>0</v>
      </c>
      <c r="F16" s="11">
        <f t="shared" si="0"/>
        <v>0</v>
      </c>
      <c r="G16" s="11">
        <f t="shared" si="0"/>
        <v>0</v>
      </c>
      <c r="H16" s="11">
        <f t="shared" si="0"/>
        <v>0</v>
      </c>
      <c r="I16" s="11">
        <f t="shared" si="0"/>
        <v>0</v>
      </c>
      <c r="J16" s="11">
        <f t="shared" si="0"/>
        <v>0</v>
      </c>
      <c r="K16" s="11">
        <f t="shared" si="0"/>
        <v>0</v>
      </c>
      <c r="L16" s="11">
        <f t="shared" ref="L16" si="1">SUM(L6:L15)</f>
        <v>0</v>
      </c>
      <c r="M16" s="11">
        <f t="shared" ref="M16" si="2">SUM(M6:M15)</f>
        <v>0</v>
      </c>
      <c r="N16" s="11">
        <f t="shared" ref="N16" si="3">SUM(N6:N15)</f>
        <v>0</v>
      </c>
      <c r="O16" s="11">
        <f t="shared" si="0"/>
        <v>0</v>
      </c>
      <c r="P16" s="11">
        <f t="shared" si="0"/>
        <v>0</v>
      </c>
      <c r="Q16" s="11">
        <f t="shared" si="0"/>
        <v>0</v>
      </c>
      <c r="R16" s="11">
        <f t="shared" si="0"/>
        <v>0</v>
      </c>
      <c r="S16" s="11">
        <f t="shared" si="0"/>
        <v>0</v>
      </c>
      <c r="T16" s="11"/>
    </row>
    <row r="19" spans="2:5" x14ac:dyDescent="0.25">
      <c r="C19" s="15" t="s">
        <v>1852</v>
      </c>
      <c r="D19" s="12">
        <f>SUM(D7:D15)*0.19</f>
        <v>0</v>
      </c>
    </row>
    <row r="21" spans="2:5" x14ac:dyDescent="0.25">
      <c r="B21" s="174" t="s">
        <v>1133</v>
      </c>
      <c r="D21" s="12">
        <f>D19</f>
        <v>0</v>
      </c>
    </row>
    <row r="22" spans="2:5" x14ac:dyDescent="0.25">
      <c r="B22" s="174" t="s">
        <v>1853</v>
      </c>
      <c r="E22" s="12">
        <f>D19</f>
        <v>0</v>
      </c>
    </row>
  </sheetData>
  <mergeCells count="1">
    <mergeCell ref="I3:J3"/>
  </mergeCells>
  <phoneticPr fontId="3" type="noConversion"/>
  <hyperlinks>
    <hyperlink ref="A1" location="Main!A1" display="Main" xr:uid="{B35C2198-DCFF-4E7A-B220-4F21575D6D14}"/>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A1:AT128"/>
  <sheetViews>
    <sheetView topLeftCell="R1" zoomScale="80" zoomScaleNormal="80" workbookViewId="0">
      <pane ySplit="5" topLeftCell="A45" activePane="bottomLeft" state="frozen"/>
      <selection activeCell="B28" sqref="B28"/>
      <selection pane="bottomLeft" activeCell="U73" sqref="U73"/>
    </sheetView>
  </sheetViews>
  <sheetFormatPr defaultColWidth="3.5703125" defaultRowHeight="15" x14ac:dyDescent="0.25"/>
  <cols>
    <col min="1" max="1" width="3.5703125" style="587"/>
    <col min="2" max="2" width="73.7109375" style="587" customWidth="1"/>
    <col min="3" max="3" width="93.140625" style="599" hidden="1" customWidth="1"/>
    <col min="4" max="5" width="17.28515625" style="601" customWidth="1"/>
    <col min="6" max="16" width="3.5703125" style="587"/>
    <col min="17" max="17" width="48.28515625" style="587" bestFit="1" customWidth="1"/>
    <col min="18" max="18" width="28.28515625" style="587" bestFit="1" customWidth="1"/>
    <col min="19" max="19" width="17.7109375" style="587" bestFit="1" customWidth="1"/>
    <col min="20" max="20" width="25.85546875" style="587" bestFit="1" customWidth="1"/>
    <col min="21" max="23" width="3.5703125" style="587"/>
    <col min="24" max="24" width="5.140625" style="587" customWidth="1"/>
    <col min="25" max="32" width="3.5703125" style="587"/>
    <col min="33" max="33" width="13.5703125" style="587" customWidth="1"/>
    <col min="34" max="45" width="3.5703125" style="587"/>
    <col min="46" max="46" width="15.140625" style="587" customWidth="1"/>
    <col min="47" max="16384" width="3.5703125" style="587"/>
  </cols>
  <sheetData>
    <row r="1" spans="1:46" x14ac:dyDescent="0.25">
      <c r="A1" s="161" t="s">
        <v>1984</v>
      </c>
    </row>
    <row r="2" spans="1:46" ht="18.75" customHeight="1" x14ac:dyDescent="0.25">
      <c r="B2" s="589" t="s">
        <v>636</v>
      </c>
      <c r="C2" s="927" t="s">
        <v>637</v>
      </c>
      <c r="D2" s="593"/>
      <c r="E2" s="593"/>
    </row>
    <row r="3" spans="1:46" ht="18.75" customHeight="1" x14ac:dyDescent="0.25">
      <c r="B3" s="590" t="s">
        <v>1265</v>
      </c>
      <c r="C3" s="928"/>
      <c r="D3" s="593"/>
      <c r="E3" s="593"/>
    </row>
    <row r="4" spans="1:46" ht="18.75" customHeight="1" thickBot="1" x14ac:dyDescent="0.3">
      <c r="B4" s="591" t="s">
        <v>699</v>
      </c>
      <c r="C4" s="929"/>
      <c r="D4" s="593"/>
      <c r="E4" s="593"/>
    </row>
    <row r="5" spans="1:46" ht="18.75" customHeight="1" x14ac:dyDescent="0.25">
      <c r="B5" s="592"/>
      <c r="C5" s="594" t="s">
        <v>645</v>
      </c>
      <c r="D5" s="595" t="s">
        <v>10</v>
      </c>
      <c r="E5" s="595" t="s">
        <v>10</v>
      </c>
      <c r="Q5" s="603" t="s">
        <v>1149</v>
      </c>
    </row>
    <row r="6" spans="1:46" ht="18.75" customHeight="1" x14ac:dyDescent="0.25">
      <c r="B6" s="590" t="s">
        <v>1196</v>
      </c>
      <c r="C6" s="588"/>
      <c r="D6" s="596"/>
      <c r="E6" s="596"/>
      <c r="Q6"/>
      <c r="R6"/>
      <c r="S6" s="13" t="s">
        <v>1022</v>
      </c>
      <c r="T6" s="13" t="s">
        <v>1023</v>
      </c>
      <c r="U6"/>
      <c r="V6" s="604"/>
      <c r="W6" s="604"/>
      <c r="X6" s="604"/>
    </row>
    <row r="7" spans="1:46" ht="18.75" customHeight="1" x14ac:dyDescent="0.25">
      <c r="B7" s="592" t="str">
        <f>IF(D7&gt;0,"Cash receipts from customers","Cashpaidtocustomers")</f>
        <v>Cash receipts from customers</v>
      </c>
      <c r="C7" s="588"/>
      <c r="D7" s="807">
        <f>R22</f>
        <v>42835</v>
      </c>
      <c r="E7" s="808"/>
      <c r="Q7" s="1" t="s">
        <v>92</v>
      </c>
      <c r="R7"/>
      <c r="S7" s="2" t="s">
        <v>10</v>
      </c>
      <c r="T7" s="2" t="s">
        <v>10</v>
      </c>
      <c r="U7"/>
      <c r="V7" s="604"/>
      <c r="W7" s="604"/>
      <c r="X7" s="604"/>
      <c r="Z7" s="721" t="s">
        <v>69</v>
      </c>
      <c r="AA7" s="722"/>
      <c r="AB7" s="722"/>
      <c r="AC7" s="722"/>
      <c r="AD7" s="722"/>
      <c r="AE7" s="722"/>
      <c r="AF7" s="722"/>
      <c r="AG7" s="720"/>
      <c r="AJ7" s="721" t="s">
        <v>1151</v>
      </c>
      <c r="AK7" s="722"/>
      <c r="AL7" s="722"/>
      <c r="AM7" s="722"/>
      <c r="AN7" s="722"/>
      <c r="AO7" s="723"/>
      <c r="AP7" s="723"/>
      <c r="AQ7" s="723"/>
      <c r="AR7" s="723"/>
      <c r="AS7" s="723"/>
      <c r="AT7" s="723"/>
    </row>
    <row r="8" spans="1:46" ht="18.75" customHeight="1" x14ac:dyDescent="0.25">
      <c r="B8" s="592" t="str">
        <f>IF(D8&lt;0,"Cash paid to suppliers and employees","Cash received from suppliers")</f>
        <v>Cash paid to suppliers and employees</v>
      </c>
      <c r="C8" s="588"/>
      <c r="D8" s="815">
        <f>-T22</f>
        <v>-34684</v>
      </c>
      <c r="E8" s="808"/>
      <c r="Q8" t="s">
        <v>1150</v>
      </c>
      <c r="R8"/>
      <c r="S8" s="3">
        <v>998</v>
      </c>
      <c r="T8" s="3">
        <v>56</v>
      </c>
      <c r="U8"/>
      <c r="V8" s="604"/>
      <c r="W8" s="604"/>
      <c r="X8" s="604"/>
      <c r="Z8" s="722" t="s">
        <v>67</v>
      </c>
      <c r="AA8" s="722"/>
      <c r="AB8" s="722"/>
      <c r="AC8" s="722"/>
      <c r="AD8" s="722"/>
      <c r="AE8" s="722"/>
      <c r="AF8" s="722"/>
      <c r="AG8" s="719"/>
      <c r="AH8" s="663"/>
      <c r="AI8" s="663"/>
      <c r="AJ8" s="722" t="s">
        <v>1873</v>
      </c>
      <c r="AK8" s="722"/>
      <c r="AL8" s="722"/>
      <c r="AM8" s="722"/>
      <c r="AN8" s="722"/>
      <c r="AO8" s="723"/>
      <c r="AP8" s="723"/>
      <c r="AQ8" s="723"/>
      <c r="AR8" s="723"/>
      <c r="AS8" s="723"/>
      <c r="AT8" s="607"/>
    </row>
    <row r="9" spans="1:46" ht="18.75" customHeight="1" x14ac:dyDescent="0.25">
      <c r="B9" s="592" t="s">
        <v>1142</v>
      </c>
      <c r="C9" s="588"/>
      <c r="D9" s="814">
        <f>D7+D8</f>
        <v>8151</v>
      </c>
      <c r="E9" s="808"/>
      <c r="Q9" t="s">
        <v>85</v>
      </c>
      <c r="R9"/>
      <c r="S9" s="3">
        <v>-469</v>
      </c>
      <c r="T9" s="3">
        <v>-310</v>
      </c>
      <c r="U9"/>
      <c r="V9" s="604"/>
      <c r="W9" s="604"/>
      <c r="X9" s="604"/>
      <c r="Z9" s="722" t="s">
        <v>1871</v>
      </c>
      <c r="AA9" s="722"/>
      <c r="AB9" s="722"/>
      <c r="AC9" s="722"/>
      <c r="AD9" s="722"/>
      <c r="AE9" s="722"/>
      <c r="AF9" s="722"/>
      <c r="AG9" s="719"/>
      <c r="AH9" s="663"/>
      <c r="AI9" s="663"/>
      <c r="AJ9" s="722" t="s">
        <v>1743</v>
      </c>
      <c r="AK9" s="722"/>
      <c r="AL9" s="722"/>
      <c r="AM9" s="722"/>
      <c r="AN9" s="722"/>
      <c r="AO9" s="723"/>
      <c r="AP9" s="723"/>
      <c r="AQ9" s="723"/>
      <c r="AR9" s="723"/>
      <c r="AS9" s="723"/>
      <c r="AT9" s="607"/>
    </row>
    <row r="10" spans="1:46" ht="18.75" customHeight="1" thickBot="1" x14ac:dyDescent="0.3">
      <c r="B10" s="592" t="s">
        <v>611</v>
      </c>
      <c r="C10" s="588" t="s">
        <v>1266</v>
      </c>
      <c r="D10" s="807">
        <f>-T33</f>
        <v>-51</v>
      </c>
      <c r="E10" s="808"/>
      <c r="Q10"/>
      <c r="R10"/>
      <c r="S10" s="223">
        <f>SUM(S8:S9)</f>
        <v>529</v>
      </c>
      <c r="T10" s="223">
        <f>SUM(T8:T9)</f>
        <v>-254</v>
      </c>
      <c r="U10"/>
      <c r="V10" s="604"/>
      <c r="W10" s="604"/>
      <c r="X10" s="604"/>
      <c r="Z10" s="722" t="s">
        <v>1872</v>
      </c>
      <c r="AA10" s="722"/>
      <c r="AB10" s="722"/>
      <c r="AC10" s="722"/>
      <c r="AD10" s="722"/>
      <c r="AE10" s="722"/>
      <c r="AF10" s="722"/>
      <c r="AG10" s="719"/>
      <c r="AH10" s="663"/>
      <c r="AI10" s="663"/>
      <c r="AJ10" s="722" t="s">
        <v>1876</v>
      </c>
      <c r="AK10" s="722"/>
      <c r="AL10" s="722"/>
      <c r="AM10" s="722"/>
      <c r="AN10" s="722"/>
      <c r="AO10" s="723"/>
      <c r="AP10" s="723"/>
      <c r="AQ10" s="723"/>
      <c r="AR10" s="723"/>
      <c r="AS10" s="723"/>
      <c r="AT10" s="607"/>
    </row>
    <row r="11" spans="1:46" ht="18.75" customHeight="1" thickTop="1" x14ac:dyDescent="0.25">
      <c r="B11" s="592" t="s">
        <v>616</v>
      </c>
      <c r="C11" s="588"/>
      <c r="D11" s="815">
        <f>-T42</f>
        <v>-1770</v>
      </c>
      <c r="E11" s="808"/>
      <c r="Q11"/>
      <c r="R11"/>
      <c r="S11"/>
      <c r="T11"/>
      <c r="U11"/>
      <c r="V11" s="604"/>
      <c r="W11" s="604"/>
      <c r="X11" s="604"/>
      <c r="Z11" s="722"/>
      <c r="AA11" s="722"/>
      <c r="AB11" s="722"/>
      <c r="AC11" s="722"/>
      <c r="AD11" s="722"/>
      <c r="AE11" s="722"/>
      <c r="AF11" s="722"/>
      <c r="AG11" s="720">
        <f>AG8-AG9+AG10</f>
        <v>0</v>
      </c>
      <c r="AH11" s="663"/>
      <c r="AI11" s="663"/>
      <c r="AJ11" s="722" t="s">
        <v>1877</v>
      </c>
      <c r="AK11" s="723"/>
      <c r="AL11" s="723"/>
      <c r="AM11" s="723"/>
      <c r="AN11" s="723"/>
      <c r="AO11" s="723"/>
      <c r="AP11" s="723"/>
      <c r="AQ11" s="723"/>
      <c r="AR11" s="723"/>
      <c r="AS11" s="723"/>
      <c r="AT11" s="607"/>
    </row>
    <row r="12" spans="1:46" ht="18.75" customHeight="1" x14ac:dyDescent="0.25">
      <c r="B12" s="597" t="s">
        <v>1267</v>
      </c>
      <c r="C12" s="588" t="s">
        <v>1268</v>
      </c>
      <c r="D12" s="816"/>
      <c r="E12" s="817">
        <f>SUM(D9:D11)</f>
        <v>6330</v>
      </c>
      <c r="Q12"/>
      <c r="R12"/>
      <c r="S12"/>
      <c r="T12"/>
      <c r="U12"/>
      <c r="V12" s="604"/>
      <c r="W12" s="604"/>
      <c r="X12" s="604"/>
      <c r="AH12" s="663"/>
      <c r="AI12" s="663"/>
      <c r="AJ12" s="722" t="s">
        <v>1874</v>
      </c>
      <c r="AK12" s="722"/>
      <c r="AL12" s="722"/>
      <c r="AM12" s="722"/>
      <c r="AN12" s="722"/>
      <c r="AO12" s="723"/>
      <c r="AP12" s="723"/>
      <c r="AQ12" s="723"/>
      <c r="AR12" s="723"/>
      <c r="AS12" s="723"/>
      <c r="AT12" s="607"/>
    </row>
    <row r="13" spans="1:46" ht="18.75" customHeight="1" x14ac:dyDescent="0.25">
      <c r="B13" s="592"/>
      <c r="C13" s="588"/>
      <c r="D13" s="808"/>
      <c r="E13" s="808"/>
      <c r="Q13" t="s">
        <v>606</v>
      </c>
      <c r="R13"/>
      <c r="S13"/>
      <c r="T13"/>
      <c r="U13"/>
      <c r="V13" s="604"/>
      <c r="W13" s="604"/>
      <c r="X13" s="604"/>
      <c r="Z13" s="663"/>
      <c r="AA13" s="663"/>
      <c r="AB13" s="663"/>
      <c r="AC13" s="663"/>
      <c r="AD13" s="663"/>
      <c r="AE13" s="663"/>
      <c r="AF13" s="663"/>
      <c r="AG13" s="663"/>
      <c r="AH13" s="663"/>
      <c r="AI13" s="663"/>
      <c r="AJ13" s="722" t="s">
        <v>1875</v>
      </c>
      <c r="AK13" s="722"/>
      <c r="AL13" s="722"/>
      <c r="AM13" s="722"/>
      <c r="AN13" s="722"/>
      <c r="AO13" s="723"/>
      <c r="AP13" s="723"/>
      <c r="AQ13" s="723"/>
      <c r="AR13" s="723"/>
      <c r="AS13" s="723"/>
      <c r="AT13" s="607"/>
    </row>
    <row r="14" spans="1:46" ht="18.75" customHeight="1" x14ac:dyDescent="0.25">
      <c r="B14" s="590" t="s">
        <v>1197</v>
      </c>
      <c r="C14" s="588" t="s">
        <v>649</v>
      </c>
      <c r="D14" s="808"/>
      <c r="E14" s="808"/>
      <c r="Q14"/>
      <c r="R14" t="s">
        <v>607</v>
      </c>
      <c r="S14"/>
      <c r="T14" t="s">
        <v>86</v>
      </c>
      <c r="U14"/>
      <c r="V14" s="604"/>
      <c r="W14" s="604"/>
      <c r="X14" s="604"/>
      <c r="AJ14" s="723"/>
      <c r="AK14" s="723"/>
      <c r="AL14" s="723"/>
      <c r="AM14" s="723"/>
      <c r="AN14" s="723"/>
      <c r="AO14" s="723"/>
      <c r="AP14" s="723"/>
      <c r="AQ14" s="723"/>
      <c r="AR14" s="723"/>
      <c r="AS14" s="723"/>
      <c r="AT14" s="723">
        <f>SUM(AT8:AT13)</f>
        <v>0</v>
      </c>
    </row>
    <row r="15" spans="1:46" ht="18.75" customHeight="1" x14ac:dyDescent="0.25">
      <c r="B15" s="592" t="s">
        <v>1269</v>
      </c>
      <c r="C15" s="588"/>
      <c r="D15" s="807"/>
      <c r="E15" s="808"/>
      <c r="Q15"/>
      <c r="R15" s="2" t="s">
        <v>10</v>
      </c>
      <c r="S15"/>
      <c r="T15" s="2" t="s">
        <v>10</v>
      </c>
      <c r="U15"/>
      <c r="V15" s="604"/>
      <c r="W15" s="604"/>
      <c r="X15" s="604"/>
    </row>
    <row r="16" spans="1:46" ht="18.75" customHeight="1" x14ac:dyDescent="0.25">
      <c r="B16" s="592" t="s">
        <v>1270</v>
      </c>
      <c r="C16" s="588"/>
      <c r="D16" s="807"/>
      <c r="E16" s="808"/>
      <c r="Q16" s="15" t="s">
        <v>608</v>
      </c>
      <c r="R16" s="788">
        <v>5239</v>
      </c>
      <c r="S16" s="830" t="s">
        <v>608</v>
      </c>
      <c r="T16" s="788">
        <f>5019-5</f>
        <v>5014</v>
      </c>
      <c r="U16"/>
      <c r="V16" s="605" t="s">
        <v>1250</v>
      </c>
      <c r="W16" s="604"/>
      <c r="X16" s="604"/>
    </row>
    <row r="17" spans="2:27" ht="18.75" customHeight="1" x14ac:dyDescent="0.25">
      <c r="B17" s="592" t="s">
        <v>1271</v>
      </c>
      <c r="C17" s="588" t="s">
        <v>1272</v>
      </c>
      <c r="D17" s="807">
        <f>-+T52</f>
        <v>-6448</v>
      </c>
      <c r="E17" s="808"/>
      <c r="Q17" s="15" t="s">
        <v>58</v>
      </c>
      <c r="R17" s="788">
        <v>45231</v>
      </c>
      <c r="S17" s="830" t="s">
        <v>69</v>
      </c>
      <c r="T17" s="788">
        <f>18762-3621+3345</f>
        <v>18486</v>
      </c>
      <c r="U17"/>
      <c r="V17" s="605" t="s">
        <v>1152</v>
      </c>
      <c r="W17" s="604"/>
      <c r="X17" s="604"/>
    </row>
    <row r="18" spans="2:27" ht="18.75" customHeight="1" x14ac:dyDescent="0.25">
      <c r="B18" s="592" t="s">
        <v>1273</v>
      </c>
      <c r="C18" s="588" t="s">
        <v>1272</v>
      </c>
      <c r="D18" s="807">
        <f>+T57</f>
        <v>61</v>
      </c>
      <c r="E18" s="808"/>
      <c r="Q18" s="15" t="s">
        <v>1249</v>
      </c>
      <c r="R18" s="786"/>
      <c r="S18" s="830" t="s">
        <v>703</v>
      </c>
      <c r="T18" s="788">
        <v>9357</v>
      </c>
      <c r="U18"/>
      <c r="V18" s="604"/>
      <c r="W18" s="604"/>
      <c r="X18" s="604"/>
    </row>
    <row r="19" spans="2:27" ht="18.75" customHeight="1" x14ac:dyDescent="0.25">
      <c r="B19" s="592" t="s">
        <v>1274</v>
      </c>
      <c r="C19" s="588" t="s">
        <v>1275</v>
      </c>
      <c r="D19" s="807">
        <f>-+T98</f>
        <v>-25</v>
      </c>
      <c r="E19" s="808"/>
      <c r="Q19" s="174" t="s">
        <v>1248</v>
      </c>
      <c r="R19" s="786"/>
      <c r="S19" s="830" t="s">
        <v>1151</v>
      </c>
      <c r="T19" s="788">
        <f>10236-3224-15+10</f>
        <v>7007</v>
      </c>
      <c r="U19"/>
      <c r="V19" s="605" t="s">
        <v>1678</v>
      </c>
      <c r="W19" s="604"/>
      <c r="X19" s="604"/>
    </row>
    <row r="20" spans="2:27" ht="18.75" customHeight="1" x14ac:dyDescent="0.25">
      <c r="B20" s="592" t="s">
        <v>1276</v>
      </c>
      <c r="C20" s="588" t="s">
        <v>1275</v>
      </c>
      <c r="D20" s="807"/>
      <c r="E20" s="808"/>
      <c r="Q20"/>
      <c r="R20" s="831">
        <f>SUM(R16:R19)</f>
        <v>50470</v>
      </c>
      <c r="S20" s="831"/>
      <c r="T20" s="831">
        <f>SUM(T16:T19)</f>
        <v>39864</v>
      </c>
      <c r="U20"/>
      <c r="V20" s="604"/>
      <c r="W20" s="604"/>
      <c r="X20" s="604"/>
    </row>
    <row r="21" spans="2:27" ht="18.75" customHeight="1" x14ac:dyDescent="0.25">
      <c r="B21" s="592" t="s">
        <v>627</v>
      </c>
      <c r="C21" s="588" t="s">
        <v>1277</v>
      </c>
      <c r="D21" s="807">
        <f>+T67</f>
        <v>3</v>
      </c>
      <c r="E21" s="808"/>
      <c r="Q21" s="15" t="s">
        <v>609</v>
      </c>
      <c r="R21" s="788">
        <v>7635</v>
      </c>
      <c r="S21" s="830" t="s">
        <v>609</v>
      </c>
      <c r="T21" s="788">
        <f>5187-7</f>
        <v>5180</v>
      </c>
      <c r="U21"/>
      <c r="V21" s="604"/>
      <c r="W21" s="604"/>
      <c r="X21" s="604"/>
      <c r="AA21" s="663"/>
    </row>
    <row r="22" spans="2:27" ht="18.75" customHeight="1" thickBot="1" x14ac:dyDescent="0.3">
      <c r="B22" s="592" t="s">
        <v>1141</v>
      </c>
      <c r="C22" s="588" t="s">
        <v>1277</v>
      </c>
      <c r="D22" s="815">
        <f>+T79</f>
        <v>5</v>
      </c>
      <c r="E22" s="808"/>
      <c r="Q22" s="15" t="s">
        <v>610</v>
      </c>
      <c r="R22" s="801">
        <f>R20-R21</f>
        <v>42835</v>
      </c>
      <c r="S22" s="802"/>
      <c r="T22" s="801">
        <f>T20-T21</f>
        <v>34684</v>
      </c>
      <c r="U22"/>
      <c r="V22" s="604"/>
      <c r="W22" s="604"/>
      <c r="X22" s="604"/>
    </row>
    <row r="23" spans="2:27" ht="18.75" customHeight="1" thickTop="1" x14ac:dyDescent="0.25">
      <c r="B23" s="597" t="s">
        <v>1278</v>
      </c>
      <c r="C23" s="588" t="s">
        <v>1268</v>
      </c>
      <c r="D23" s="816"/>
      <c r="E23" s="817">
        <f>SUM(D15:D22)</f>
        <v>-6404</v>
      </c>
      <c r="Q23"/>
      <c r="R23" s="802"/>
      <c r="S23" s="802"/>
      <c r="T23" s="802"/>
      <c r="U23"/>
      <c r="V23" s="604"/>
      <c r="W23" s="604"/>
      <c r="X23" s="604"/>
    </row>
    <row r="24" spans="2:27" ht="18.75" customHeight="1" x14ac:dyDescent="0.25">
      <c r="B24" s="592"/>
      <c r="C24" s="588"/>
      <c r="D24" s="808"/>
      <c r="E24" s="808"/>
      <c r="Q24" s="1" t="s">
        <v>1143</v>
      </c>
      <c r="R24" s="802"/>
      <c r="S24" s="802"/>
      <c r="T24" s="837">
        <f>R22+T22</f>
        <v>77519</v>
      </c>
      <c r="U24"/>
      <c r="V24" s="604"/>
      <c r="W24" s="604"/>
      <c r="X24" s="604"/>
    </row>
    <row r="25" spans="2:27" ht="18.75" customHeight="1" x14ac:dyDescent="0.25">
      <c r="B25" s="590" t="s">
        <v>1145</v>
      </c>
      <c r="C25" s="588"/>
      <c r="D25" s="808"/>
      <c r="E25" s="808"/>
      <c r="Q25"/>
      <c r="R25"/>
      <c r="S25" s="802"/>
      <c r="T25" s="802"/>
      <c r="U25"/>
      <c r="V25" s="604"/>
      <c r="W25" s="604"/>
      <c r="X25" s="604"/>
    </row>
    <row r="26" spans="2:27" ht="18.75" customHeight="1" x14ac:dyDescent="0.25">
      <c r="B26" s="592" t="s">
        <v>1146</v>
      </c>
      <c r="C26" s="588"/>
      <c r="D26" s="807">
        <f>-+T86</f>
        <v>2950</v>
      </c>
      <c r="E26" s="808"/>
      <c r="Q26" s="1" t="s">
        <v>611</v>
      </c>
      <c r="R26"/>
      <c r="S26" s="802"/>
      <c r="T26" s="802"/>
      <c r="U26"/>
      <c r="V26" s="604"/>
      <c r="W26" s="604"/>
      <c r="X26" s="604"/>
    </row>
    <row r="27" spans="2:27" ht="18.75" customHeight="1" x14ac:dyDescent="0.25">
      <c r="B27" s="592" t="s">
        <v>1279</v>
      </c>
      <c r="C27" s="588"/>
      <c r="D27" s="807"/>
      <c r="E27" s="808"/>
      <c r="Q27" t="s">
        <v>612</v>
      </c>
      <c r="R27"/>
      <c r="S27" s="802"/>
      <c r="T27" s="788">
        <v>5</v>
      </c>
      <c r="U27"/>
      <c r="V27" s="604"/>
      <c r="W27" s="604"/>
      <c r="X27" s="604"/>
    </row>
    <row r="28" spans="2:27" ht="18.75" customHeight="1" x14ac:dyDescent="0.25">
      <c r="B28" s="592" t="s">
        <v>1280</v>
      </c>
      <c r="C28" s="588" t="s">
        <v>1281</v>
      </c>
      <c r="D28" s="840">
        <f>T91</f>
        <v>0</v>
      </c>
      <c r="E28" s="808"/>
      <c r="Q28" t="s">
        <v>613</v>
      </c>
      <c r="R28"/>
      <c r="S28" s="802"/>
      <c r="T28" s="788">
        <v>53</v>
      </c>
      <c r="U28"/>
      <c r="V28" s="604"/>
      <c r="W28" s="604"/>
      <c r="X28" s="604"/>
    </row>
    <row r="29" spans="2:27" ht="18.75" customHeight="1" x14ac:dyDescent="0.25">
      <c r="B29" s="592" t="s">
        <v>1282</v>
      </c>
      <c r="C29" s="588" t="s">
        <v>1283</v>
      </c>
      <c r="D29" s="840">
        <f>-T104</f>
        <v>0</v>
      </c>
      <c r="E29" s="808"/>
      <c r="Q29" t="s">
        <v>614</v>
      </c>
      <c r="R29"/>
      <c r="S29" s="802"/>
      <c r="T29" s="788"/>
      <c r="U29"/>
      <c r="V29" s="604"/>
      <c r="W29" s="604"/>
      <c r="X29" s="604"/>
    </row>
    <row r="30" spans="2:27" ht="18.75" customHeight="1" x14ac:dyDescent="0.25">
      <c r="B30" s="592" t="s">
        <v>1144</v>
      </c>
      <c r="C30" s="588"/>
      <c r="D30" s="807">
        <f>-+T122</f>
        <v>-93</v>
      </c>
      <c r="E30" s="808"/>
      <c r="Q30" t="s">
        <v>626</v>
      </c>
      <c r="R30"/>
      <c r="S30" s="802"/>
      <c r="T30" s="788"/>
      <c r="U30"/>
      <c r="V30" s="604"/>
      <c r="W30" s="604"/>
      <c r="X30" s="604"/>
    </row>
    <row r="31" spans="2:27" ht="18.75" customHeight="1" x14ac:dyDescent="0.25">
      <c r="B31" s="592" t="s">
        <v>358</v>
      </c>
      <c r="C31" s="588" t="s">
        <v>1277</v>
      </c>
      <c r="D31" s="815">
        <f>-+T76</f>
        <v>-2000</v>
      </c>
      <c r="E31" s="808"/>
      <c r="Q31"/>
      <c r="R31"/>
      <c r="S31" s="802"/>
      <c r="T31" s="791">
        <f>T27+T28-T30+T29</f>
        <v>58</v>
      </c>
      <c r="U31"/>
      <c r="V31" s="604"/>
      <c r="W31" s="604"/>
      <c r="X31" s="604"/>
    </row>
    <row r="32" spans="2:27" ht="18.75" customHeight="1" x14ac:dyDescent="0.25">
      <c r="B32" s="597" t="s">
        <v>1284</v>
      </c>
      <c r="C32" s="588" t="s">
        <v>1268</v>
      </c>
      <c r="D32" s="816"/>
      <c r="E32" s="818">
        <f>SUM(D26:D31)</f>
        <v>857</v>
      </c>
      <c r="Q32" t="s">
        <v>615</v>
      </c>
      <c r="R32"/>
      <c r="S32" s="802"/>
      <c r="T32" s="788">
        <v>7</v>
      </c>
      <c r="U32"/>
      <c r="V32" s="604"/>
      <c r="W32" s="604"/>
      <c r="X32" s="604"/>
    </row>
    <row r="33" spans="2:24" ht="18.75" customHeight="1" thickBot="1" x14ac:dyDescent="0.3">
      <c r="B33" s="592"/>
      <c r="C33" s="588"/>
      <c r="D33" s="808"/>
      <c r="E33" s="816"/>
      <c r="Q33" t="s">
        <v>611</v>
      </c>
      <c r="R33"/>
      <c r="S33" s="802"/>
      <c r="T33" s="794">
        <f>T31-T32</f>
        <v>51</v>
      </c>
      <c r="U33"/>
      <c r="V33" s="604"/>
      <c r="W33" s="604"/>
      <c r="X33" s="604"/>
    </row>
    <row r="34" spans="2:24" ht="18.75" customHeight="1" thickTop="1" x14ac:dyDescent="0.25">
      <c r="B34" s="590" t="s">
        <v>1285</v>
      </c>
      <c r="C34" s="588" t="s">
        <v>1286</v>
      </c>
      <c r="D34" s="808"/>
      <c r="E34" s="817">
        <f>SUM(E12,E23,E32)</f>
        <v>783</v>
      </c>
      <c r="Q34"/>
      <c r="R34"/>
      <c r="S34" s="802"/>
      <c r="T34" s="802"/>
      <c r="U34"/>
      <c r="V34" s="604"/>
      <c r="W34" s="604"/>
      <c r="X34" s="604"/>
    </row>
    <row r="35" spans="2:24" ht="18.75" customHeight="1" x14ac:dyDescent="0.25">
      <c r="B35" s="598" t="s">
        <v>1287</v>
      </c>
      <c r="C35" s="588" t="s">
        <v>1288</v>
      </c>
      <c r="D35" s="808"/>
      <c r="E35" s="815">
        <f>T10</f>
        <v>-254</v>
      </c>
      <c r="Q35" s="1" t="s">
        <v>616</v>
      </c>
      <c r="R35"/>
      <c r="S35" s="802"/>
      <c r="T35" s="802"/>
      <c r="U35"/>
      <c r="V35" s="604"/>
      <c r="W35" s="604"/>
      <c r="X35" s="604"/>
    </row>
    <row r="36" spans="2:24" ht="18.75" customHeight="1" thickBot="1" x14ac:dyDescent="0.3">
      <c r="B36" s="590" t="s">
        <v>1289</v>
      </c>
      <c r="C36" s="588" t="s">
        <v>1288</v>
      </c>
      <c r="D36" s="808"/>
      <c r="E36" s="819">
        <f>S10</f>
        <v>529</v>
      </c>
      <c r="Q36" t="s">
        <v>617</v>
      </c>
      <c r="R36"/>
      <c r="S36" s="788">
        <v>750</v>
      </c>
      <c r="T36" s="831"/>
      <c r="U36"/>
      <c r="V36" s="604"/>
      <c r="W36" s="604"/>
      <c r="X36" s="604"/>
    </row>
    <row r="37" spans="2:24" ht="18.75" customHeight="1" x14ac:dyDescent="0.25">
      <c r="D37" s="600"/>
      <c r="E37" s="600"/>
      <c r="Q37" t="s">
        <v>618</v>
      </c>
      <c r="R37"/>
      <c r="S37" s="788">
        <v>95</v>
      </c>
      <c r="T37" s="831">
        <f>S37+S36</f>
        <v>845</v>
      </c>
      <c r="U37"/>
      <c r="V37" s="604"/>
      <c r="W37" s="604"/>
      <c r="X37" s="604"/>
    </row>
    <row r="38" spans="2:24" ht="18.75" customHeight="1" x14ac:dyDescent="0.25">
      <c r="C38" s="588" t="s">
        <v>1290</v>
      </c>
      <c r="D38" s="930">
        <f>E36-(SUM(E34:E35))</f>
        <v>0</v>
      </c>
      <c r="E38" s="931"/>
      <c r="Q38" t="s">
        <v>1</v>
      </c>
      <c r="R38"/>
      <c r="S38" s="831"/>
      <c r="T38" s="788">
        <v>2125</v>
      </c>
      <c r="U38"/>
      <c r="V38" s="604"/>
      <c r="W38" s="604"/>
      <c r="X38" s="604"/>
    </row>
    <row r="39" spans="2:24" ht="18.75" customHeight="1" x14ac:dyDescent="0.25">
      <c r="D39" s="600"/>
      <c r="E39" s="600"/>
      <c r="Q39"/>
      <c r="R39"/>
      <c r="S39" s="831"/>
      <c r="T39" s="831">
        <f>T37+T38</f>
        <v>2970</v>
      </c>
      <c r="U39"/>
      <c r="V39" s="604"/>
      <c r="W39" s="604"/>
      <c r="X39" s="604"/>
    </row>
    <row r="40" spans="2:24" ht="18.75" customHeight="1" x14ac:dyDescent="0.25">
      <c r="D40" s="600"/>
      <c r="E40" s="600"/>
      <c r="Q40" t="s">
        <v>619</v>
      </c>
      <c r="R40"/>
      <c r="S40" s="788">
        <v>1050</v>
      </c>
      <c r="T40" s="831"/>
      <c r="U40"/>
      <c r="V40" s="604"/>
      <c r="W40" s="604"/>
      <c r="X40" s="604"/>
    </row>
    <row r="41" spans="2:24" ht="18.75" customHeight="1" x14ac:dyDescent="0.25">
      <c r="D41" s="600"/>
      <c r="E41" s="600"/>
      <c r="Q41" t="s">
        <v>620</v>
      </c>
      <c r="R41"/>
      <c r="S41" s="788">
        <v>150</v>
      </c>
      <c r="T41" s="831">
        <f>S41+S40</f>
        <v>1200</v>
      </c>
      <c r="U41"/>
      <c r="V41" s="604"/>
      <c r="W41" s="604"/>
      <c r="X41" s="604"/>
    </row>
    <row r="42" spans="2:24" ht="18.75" customHeight="1" thickBot="1" x14ac:dyDescent="0.3">
      <c r="D42" s="600"/>
      <c r="E42" s="600"/>
      <c r="Q42" t="s">
        <v>616</v>
      </c>
      <c r="R42"/>
      <c r="S42" s="831"/>
      <c r="T42" s="794">
        <f>T39-T41</f>
        <v>1770</v>
      </c>
      <c r="U42"/>
      <c r="V42" s="604"/>
      <c r="W42" s="604"/>
      <c r="X42" s="604"/>
    </row>
    <row r="43" spans="2:24" ht="18.75" customHeight="1" thickTop="1" x14ac:dyDescent="0.25">
      <c r="D43" s="600"/>
      <c r="E43" s="600"/>
      <c r="Q43"/>
      <c r="R43"/>
      <c r="S43" s="802"/>
      <c r="T43" s="802"/>
      <c r="U43"/>
      <c r="V43" s="604"/>
      <c r="W43" s="604"/>
      <c r="X43" s="604"/>
    </row>
    <row r="44" spans="2:24" ht="18.75" customHeight="1" x14ac:dyDescent="0.25">
      <c r="D44" s="600"/>
      <c r="E44" s="600"/>
      <c r="Q44" s="1" t="s">
        <v>621</v>
      </c>
      <c r="R44"/>
      <c r="S44" s="802"/>
      <c r="T44" s="802"/>
      <c r="U44"/>
      <c r="V44" s="604"/>
      <c r="W44" s="604"/>
      <c r="X44" s="604"/>
    </row>
    <row r="45" spans="2:24" ht="18.75" customHeight="1" x14ac:dyDescent="0.25">
      <c r="D45" s="600"/>
      <c r="E45" s="600"/>
      <c r="Q45" t="s">
        <v>622</v>
      </c>
      <c r="R45"/>
      <c r="S45" s="802"/>
      <c r="T45" s="788">
        <v>9567</v>
      </c>
      <c r="U45"/>
      <c r="V45" s="604"/>
      <c r="W45" s="604"/>
      <c r="X45" s="604"/>
    </row>
    <row r="46" spans="2:24" ht="18.75" customHeight="1" x14ac:dyDescent="0.25">
      <c r="D46" s="600"/>
      <c r="E46" s="600"/>
      <c r="Q46" t="s">
        <v>623</v>
      </c>
      <c r="R46"/>
      <c r="S46" s="802"/>
      <c r="T46" s="788"/>
      <c r="U46"/>
      <c r="V46" s="604"/>
      <c r="W46" s="604"/>
      <c r="X46" s="604"/>
    </row>
    <row r="47" spans="2:24" ht="18.75" customHeight="1" x14ac:dyDescent="0.25">
      <c r="D47" s="600"/>
      <c r="E47" s="600"/>
      <c r="Q47" t="s">
        <v>625</v>
      </c>
      <c r="R47"/>
      <c r="S47" s="802"/>
      <c r="T47" s="788">
        <v>3224</v>
      </c>
      <c r="U47"/>
      <c r="V47" s="604"/>
      <c r="W47" s="604"/>
      <c r="X47" s="604"/>
    </row>
    <row r="48" spans="2:24" ht="18.75" customHeight="1" x14ac:dyDescent="0.25">
      <c r="D48" s="600"/>
      <c r="E48" s="600"/>
      <c r="Q48" t="s">
        <v>1251</v>
      </c>
      <c r="R48"/>
      <c r="S48" s="802"/>
      <c r="T48" s="788">
        <v>76</v>
      </c>
      <c r="U48"/>
      <c r="V48" s="604"/>
      <c r="W48" s="604"/>
      <c r="X48" s="604"/>
    </row>
    <row r="49" spans="4:24" ht="18.75" customHeight="1" x14ac:dyDescent="0.25">
      <c r="D49" s="600"/>
      <c r="E49" s="600"/>
      <c r="Q49" t="s">
        <v>1252</v>
      </c>
      <c r="R49"/>
      <c r="S49" s="802"/>
      <c r="T49" s="788">
        <v>130</v>
      </c>
      <c r="U49"/>
      <c r="V49" s="604"/>
      <c r="W49" s="604"/>
      <c r="X49" s="604"/>
    </row>
    <row r="50" spans="4:24" ht="18.75" customHeight="1" x14ac:dyDescent="0.25">
      <c r="D50" s="600"/>
      <c r="E50" s="600"/>
      <c r="Q50"/>
      <c r="R50"/>
      <c r="S50" s="802"/>
      <c r="T50" s="791">
        <f>T45-T47+T46-T48+T49</f>
        <v>6397</v>
      </c>
      <c r="U50"/>
      <c r="V50" s="604"/>
      <c r="W50" s="604"/>
      <c r="X50" s="604"/>
    </row>
    <row r="51" spans="4:24" ht="18.75" customHeight="1" x14ac:dyDescent="0.25">
      <c r="D51" s="600"/>
      <c r="E51" s="600"/>
      <c r="Q51" t="s">
        <v>624</v>
      </c>
      <c r="R51"/>
      <c r="S51" s="802"/>
      <c r="T51" s="788">
        <v>12845</v>
      </c>
      <c r="U51"/>
      <c r="V51" s="604"/>
      <c r="W51" s="604"/>
      <c r="X51" s="604"/>
    </row>
    <row r="52" spans="4:24" ht="18.75" customHeight="1" thickBot="1" x14ac:dyDescent="0.3">
      <c r="D52" s="600"/>
      <c r="E52" s="600"/>
      <c r="Q52" t="s">
        <v>621</v>
      </c>
      <c r="R52"/>
      <c r="S52" s="802"/>
      <c r="T52" s="794">
        <f>T51-T50</f>
        <v>6448</v>
      </c>
      <c r="U52"/>
      <c r="V52" s="604"/>
      <c r="W52" s="604"/>
      <c r="X52" s="604"/>
    </row>
    <row r="53" spans="4:24" ht="18.75" customHeight="1" thickTop="1" x14ac:dyDescent="0.25">
      <c r="D53" s="600"/>
      <c r="E53" s="600"/>
      <c r="Q53"/>
      <c r="R53"/>
      <c r="S53" s="802"/>
      <c r="T53" s="824"/>
      <c r="U53"/>
      <c r="V53" s="604"/>
      <c r="W53" s="604"/>
      <c r="X53" s="604"/>
    </row>
    <row r="54" spans="4:24" x14ac:dyDescent="0.25">
      <c r="Q54" s="1" t="s">
        <v>1313</v>
      </c>
      <c r="R54" s="606"/>
      <c r="S54" s="838"/>
      <c r="T54" s="838"/>
      <c r="U54" s="606"/>
      <c r="V54" s="604"/>
      <c r="W54" s="604"/>
      <c r="X54" s="604"/>
    </row>
    <row r="55" spans="4:24" x14ac:dyDescent="0.25">
      <c r="Q55" t="s">
        <v>217</v>
      </c>
      <c r="R55" s="606"/>
      <c r="S55" s="838"/>
      <c r="T55" s="800">
        <v>76</v>
      </c>
      <c r="U55" s="606"/>
      <c r="V55" s="604"/>
      <c r="W55" s="604"/>
      <c r="X55" s="604"/>
    </row>
    <row r="56" spans="4:24" x14ac:dyDescent="0.25">
      <c r="Q56" t="s">
        <v>1314</v>
      </c>
      <c r="R56" s="606"/>
      <c r="S56" s="838"/>
      <c r="T56" s="800">
        <v>15</v>
      </c>
      <c r="U56" s="606"/>
      <c r="V56" s="604"/>
      <c r="W56" s="604"/>
      <c r="X56" s="604"/>
    </row>
    <row r="57" spans="4:24" ht="15.75" thickBot="1" x14ac:dyDescent="0.3">
      <c r="Q57" t="s">
        <v>1313</v>
      </c>
      <c r="R57" s="606"/>
      <c r="S57" s="838"/>
      <c r="T57" s="794">
        <f>T55-T56</f>
        <v>61</v>
      </c>
      <c r="U57" s="606"/>
      <c r="V57" s="604"/>
      <c r="W57" s="604"/>
      <c r="X57" s="604"/>
    </row>
    <row r="58" spans="4:24" ht="15.75" thickTop="1" x14ac:dyDescent="0.25">
      <c r="Q58" s="606"/>
      <c r="R58" s="606"/>
      <c r="S58" s="838"/>
      <c r="T58" s="838"/>
      <c r="U58" s="606"/>
      <c r="V58" s="604"/>
      <c r="W58" s="604"/>
      <c r="X58" s="604"/>
    </row>
    <row r="59" spans="4:24" x14ac:dyDescent="0.25">
      <c r="Q59" s="606"/>
      <c r="R59" s="606"/>
      <c r="S59" s="838"/>
      <c r="T59" s="838"/>
      <c r="U59" s="606"/>
      <c r="V59" s="604"/>
      <c r="W59" s="604"/>
      <c r="X59" s="604"/>
    </row>
    <row r="60" spans="4:24" x14ac:dyDescent="0.25">
      <c r="Q60" s="1" t="s">
        <v>627</v>
      </c>
      <c r="R60"/>
      <c r="S60" s="802"/>
      <c r="T60" s="824"/>
      <c r="U60"/>
      <c r="V60" s="604"/>
      <c r="W60" s="604"/>
      <c r="X60" s="604"/>
    </row>
    <row r="61" spans="4:24" x14ac:dyDescent="0.25">
      <c r="Q61" t="s">
        <v>628</v>
      </c>
      <c r="R61"/>
      <c r="S61" s="802"/>
      <c r="T61" s="786"/>
      <c r="U61"/>
      <c r="V61" s="604"/>
      <c r="W61" s="604"/>
      <c r="X61" s="604"/>
    </row>
    <row r="62" spans="4:24" x14ac:dyDescent="0.25">
      <c r="Q62" t="s">
        <v>629</v>
      </c>
      <c r="R62"/>
      <c r="S62" s="802"/>
      <c r="T62" s="788">
        <v>3</v>
      </c>
      <c r="U62"/>
      <c r="V62" s="604"/>
      <c r="W62" s="604"/>
      <c r="X62" s="604"/>
    </row>
    <row r="63" spans="4:24" x14ac:dyDescent="0.25">
      <c r="Q63" t="s">
        <v>1195</v>
      </c>
      <c r="R63"/>
      <c r="S63" s="802"/>
      <c r="T63" s="788"/>
      <c r="U63"/>
      <c r="V63" s="604"/>
      <c r="W63" s="604"/>
      <c r="X63" s="604"/>
    </row>
    <row r="64" spans="4:24" x14ac:dyDescent="0.25">
      <c r="Q64" t="s">
        <v>333</v>
      </c>
      <c r="R64"/>
      <c r="S64" s="802"/>
      <c r="T64" s="788"/>
      <c r="U64"/>
      <c r="V64" s="604"/>
      <c r="W64" s="604"/>
      <c r="X64" s="604"/>
    </row>
    <row r="65" spans="17:24" x14ac:dyDescent="0.25">
      <c r="Q65"/>
      <c r="R65"/>
      <c r="S65" s="802"/>
      <c r="T65" s="798">
        <f>T61+T62+T64-T63</f>
        <v>3</v>
      </c>
      <c r="U65"/>
      <c r="V65" s="604"/>
      <c r="W65" s="604"/>
      <c r="X65" s="604"/>
    </row>
    <row r="66" spans="17:24" x14ac:dyDescent="0.25">
      <c r="Q66" t="s">
        <v>630</v>
      </c>
      <c r="R66"/>
      <c r="S66" s="802"/>
      <c r="T66" s="786">
        <v>0</v>
      </c>
      <c r="U66"/>
      <c r="V66" s="604"/>
      <c r="W66" s="604"/>
      <c r="X66" s="604"/>
    </row>
    <row r="67" spans="17:24" ht="15.75" thickBot="1" x14ac:dyDescent="0.3">
      <c r="Q67" t="s">
        <v>627</v>
      </c>
      <c r="R67"/>
      <c r="S67" s="802"/>
      <c r="T67" s="794">
        <f>T65-T66</f>
        <v>3</v>
      </c>
      <c r="U67"/>
      <c r="V67" s="604"/>
      <c r="W67" s="604"/>
      <c r="X67" s="604"/>
    </row>
    <row r="68" spans="17:24" ht="15.75" thickTop="1" x14ac:dyDescent="0.25">
      <c r="Q68"/>
      <c r="R68"/>
      <c r="S68" s="802"/>
      <c r="T68" s="824"/>
      <c r="U68"/>
      <c r="V68" s="604"/>
      <c r="W68" s="604"/>
      <c r="X68" s="604"/>
    </row>
    <row r="69" spans="17:24" x14ac:dyDescent="0.25">
      <c r="Q69" s="1" t="s">
        <v>358</v>
      </c>
      <c r="R69"/>
      <c r="S69" s="802"/>
      <c r="T69" s="824"/>
      <c r="U69"/>
      <c r="V69" s="604"/>
      <c r="W69" s="604"/>
      <c r="X69" s="604"/>
    </row>
    <row r="70" spans="17:24" x14ac:dyDescent="0.25">
      <c r="Q70" t="s">
        <v>631</v>
      </c>
      <c r="R70"/>
      <c r="S70" s="802"/>
      <c r="T70" s="799">
        <v>4637</v>
      </c>
      <c r="U70"/>
      <c r="V70" s="604"/>
      <c r="W70" s="604"/>
      <c r="X70" s="604"/>
    </row>
    <row r="71" spans="17:24" x14ac:dyDescent="0.25">
      <c r="Q71" t="s">
        <v>632</v>
      </c>
      <c r="R71"/>
      <c r="S71" s="802"/>
      <c r="T71" s="799">
        <v>4706</v>
      </c>
      <c r="U71"/>
      <c r="V71" s="604"/>
      <c r="W71" s="604"/>
      <c r="X71" s="604"/>
    </row>
    <row r="72" spans="17:24" x14ac:dyDescent="0.25">
      <c r="Q72" t="s">
        <v>1305</v>
      </c>
      <c r="R72"/>
      <c r="S72" s="802"/>
      <c r="T72" s="799"/>
      <c r="U72"/>
      <c r="V72" s="604"/>
      <c r="W72" s="604"/>
      <c r="X72" s="604"/>
    </row>
    <row r="73" spans="17:24" x14ac:dyDescent="0.25">
      <c r="Q73" t="s">
        <v>633</v>
      </c>
      <c r="R73"/>
      <c r="S73" s="802"/>
      <c r="T73" s="799"/>
      <c r="U73" s="418" t="s">
        <v>635</v>
      </c>
      <c r="V73" s="604"/>
      <c r="W73" s="604"/>
      <c r="X73" s="604"/>
    </row>
    <row r="74" spans="17:24" x14ac:dyDescent="0.25">
      <c r="Q74"/>
      <c r="R74"/>
      <c r="S74" s="802"/>
      <c r="T74" s="791">
        <f>T70+T71-T72+T73</f>
        <v>9343</v>
      </c>
      <c r="U74"/>
    </row>
    <row r="75" spans="17:24" x14ac:dyDescent="0.25">
      <c r="Q75" t="s">
        <v>634</v>
      </c>
      <c r="R75"/>
      <c r="S75" s="802"/>
      <c r="T75" s="799">
        <v>7343</v>
      </c>
      <c r="U75"/>
    </row>
    <row r="76" spans="17:24" ht="15.75" thickBot="1" x14ac:dyDescent="0.3">
      <c r="Q76" t="s">
        <v>358</v>
      </c>
      <c r="R76"/>
      <c r="S76" s="802"/>
      <c r="T76" s="801">
        <f>-(T75-T74)</f>
        <v>2000</v>
      </c>
      <c r="U76"/>
    </row>
    <row r="77" spans="17:24" ht="15.75" thickTop="1" x14ac:dyDescent="0.25">
      <c r="Q77"/>
      <c r="R77"/>
      <c r="S77" s="802"/>
      <c r="T77" s="802"/>
      <c r="U77"/>
    </row>
    <row r="78" spans="17:24" x14ac:dyDescent="0.25">
      <c r="Q78"/>
      <c r="R78"/>
      <c r="S78" s="802"/>
      <c r="T78" s="802"/>
      <c r="U78"/>
    </row>
    <row r="79" spans="17:24" x14ac:dyDescent="0.25">
      <c r="Q79" s="1" t="s">
        <v>1141</v>
      </c>
      <c r="R79"/>
      <c r="S79" s="802"/>
      <c r="T79" s="786">
        <v>5</v>
      </c>
      <c r="U79"/>
    </row>
    <row r="80" spans="17:24" x14ac:dyDescent="0.25">
      <c r="Q80"/>
      <c r="R80"/>
      <c r="S80" s="802"/>
      <c r="T80" s="802"/>
      <c r="U80"/>
    </row>
    <row r="81" spans="17:21" x14ac:dyDescent="0.25">
      <c r="Q81" s="1" t="s">
        <v>1306</v>
      </c>
      <c r="R81" s="606"/>
      <c r="S81" s="838"/>
      <c r="T81" s="838"/>
      <c r="U81" s="606"/>
    </row>
    <row r="82" spans="17:21" x14ac:dyDescent="0.25">
      <c r="Q82" t="s">
        <v>1307</v>
      </c>
      <c r="R82" s="606"/>
      <c r="S82" s="838"/>
      <c r="T82" s="797"/>
      <c r="U82" s="606"/>
    </row>
    <row r="83" spans="17:21" x14ac:dyDescent="0.25">
      <c r="Q83" t="s">
        <v>22</v>
      </c>
      <c r="R83" s="606"/>
      <c r="S83" s="838"/>
      <c r="T83" s="786">
        <f>1500*2-50</f>
        <v>2950</v>
      </c>
      <c r="U83" s="606"/>
    </row>
    <row r="84" spans="17:21" x14ac:dyDescent="0.25">
      <c r="Q84"/>
      <c r="R84" s="606"/>
      <c r="S84" s="838"/>
      <c r="T84" s="791">
        <f>SUM(T82:T83)</f>
        <v>2950</v>
      </c>
      <c r="U84" s="606"/>
    </row>
    <row r="85" spans="17:21" x14ac:dyDescent="0.25">
      <c r="Q85" t="s">
        <v>1308</v>
      </c>
      <c r="R85" s="606"/>
      <c r="S85" s="838"/>
      <c r="T85" s="799"/>
      <c r="U85" s="606"/>
    </row>
    <row r="86" spans="17:21" ht="15.75" thickBot="1" x14ac:dyDescent="0.3">
      <c r="Q86" t="s">
        <v>1306</v>
      </c>
      <c r="R86" s="606"/>
      <c r="S86" s="838"/>
      <c r="T86" s="801">
        <f>T85-T84</f>
        <v>-2950</v>
      </c>
      <c r="U86" s="606"/>
    </row>
    <row r="87" spans="17:21" ht="15.75" thickTop="1" x14ac:dyDescent="0.25">
      <c r="Q87" s="606"/>
      <c r="R87" s="606"/>
      <c r="S87" s="838"/>
      <c r="T87" s="838"/>
      <c r="U87" s="606"/>
    </row>
    <row r="88" spans="17:21" x14ac:dyDescent="0.25">
      <c r="Q88" s="1" t="s">
        <v>1309</v>
      </c>
      <c r="R88" s="606"/>
      <c r="S88" s="838"/>
      <c r="T88" s="838"/>
      <c r="U88" s="606"/>
    </row>
    <row r="89" spans="17:21" x14ac:dyDescent="0.25">
      <c r="Q89" t="s">
        <v>1310</v>
      </c>
      <c r="R89" s="606"/>
      <c r="S89" s="838"/>
      <c r="T89" s="800"/>
      <c r="U89" s="606"/>
    </row>
    <row r="90" spans="17:21" x14ac:dyDescent="0.25">
      <c r="Q90" t="s">
        <v>1311</v>
      </c>
      <c r="R90" s="606"/>
      <c r="S90" s="838"/>
      <c r="T90" s="800"/>
      <c r="U90" s="606"/>
    </row>
    <row r="91" spans="17:21" ht="15.75" thickBot="1" x14ac:dyDescent="0.3">
      <c r="Q91" t="s">
        <v>1312</v>
      </c>
      <c r="R91" s="606"/>
      <c r="S91" s="838"/>
      <c r="T91" s="801">
        <f>T90-T89</f>
        <v>0</v>
      </c>
      <c r="U91" s="606"/>
    </row>
    <row r="92" spans="17:21" ht="15.75" thickTop="1" x14ac:dyDescent="0.25">
      <c r="Q92"/>
      <c r="R92" s="606"/>
      <c r="S92" s="838"/>
      <c r="T92" s="824"/>
      <c r="U92" s="606"/>
    </row>
    <row r="93" spans="17:21" x14ac:dyDescent="0.25">
      <c r="Q93" s="1" t="s">
        <v>1147</v>
      </c>
      <c r="R93" s="606"/>
      <c r="S93" s="838"/>
      <c r="T93" s="838"/>
      <c r="U93" s="606"/>
    </row>
    <row r="94" spans="17:21" x14ac:dyDescent="0.25">
      <c r="Q94" t="s">
        <v>1435</v>
      </c>
      <c r="R94" s="606"/>
      <c r="S94" s="838"/>
      <c r="T94" s="800">
        <v>25</v>
      </c>
      <c r="U94" s="606"/>
    </row>
    <row r="95" spans="17:21" x14ac:dyDescent="0.25">
      <c r="Q95" t="s">
        <v>1436</v>
      </c>
      <c r="R95" s="606"/>
      <c r="S95" s="838"/>
      <c r="T95" s="800">
        <v>10</v>
      </c>
      <c r="U95" s="606"/>
    </row>
    <row r="96" spans="17:21" x14ac:dyDescent="0.25">
      <c r="Q96" s="606"/>
      <c r="R96" s="606"/>
      <c r="S96" s="838"/>
      <c r="T96" s="803">
        <f>SUM(T94:T95)</f>
        <v>35</v>
      </c>
      <c r="U96" s="606"/>
    </row>
    <row r="97" spans="17:21" x14ac:dyDescent="0.25">
      <c r="Q97" t="s">
        <v>1437</v>
      </c>
      <c r="R97" s="606"/>
      <c r="S97" s="838"/>
      <c r="T97" s="800">
        <v>60</v>
      </c>
      <c r="U97" s="606"/>
    </row>
    <row r="98" spans="17:21" ht="15.75" thickBot="1" x14ac:dyDescent="0.3">
      <c r="Q98" t="s">
        <v>1147</v>
      </c>
      <c r="R98" s="606"/>
      <c r="S98" s="838"/>
      <c r="T98" s="804">
        <f>T97-T96</f>
        <v>25</v>
      </c>
      <c r="U98" s="606"/>
    </row>
    <row r="99" spans="17:21" ht="15.75" thickTop="1" x14ac:dyDescent="0.25">
      <c r="Q99" s="606"/>
      <c r="R99" s="606"/>
      <c r="S99" s="838"/>
      <c r="T99" s="838"/>
      <c r="U99" s="606"/>
    </row>
    <row r="100" spans="17:21" x14ac:dyDescent="0.25">
      <c r="Q100" s="606"/>
      <c r="R100" s="606"/>
      <c r="S100" s="838"/>
      <c r="T100" s="838"/>
      <c r="U100" s="606"/>
    </row>
    <row r="101" spans="17:21" x14ac:dyDescent="0.25">
      <c r="Q101" s="1" t="s">
        <v>1438</v>
      </c>
      <c r="R101" s="606"/>
      <c r="S101" s="838"/>
      <c r="T101" s="838"/>
      <c r="U101" s="606"/>
    </row>
    <row r="102" spans="17:21" x14ac:dyDescent="0.25">
      <c r="Q102" t="s">
        <v>1439</v>
      </c>
      <c r="R102" s="606"/>
      <c r="S102" s="838"/>
      <c r="T102" s="786"/>
      <c r="U102" s="606"/>
    </row>
    <row r="103" spans="17:21" x14ac:dyDescent="0.25">
      <c r="Q103" t="s">
        <v>1440</v>
      </c>
      <c r="R103" s="606"/>
      <c r="S103" s="838"/>
      <c r="T103" s="786"/>
      <c r="U103" s="606"/>
    </row>
    <row r="104" spans="17:21" ht="15.75" thickBot="1" x14ac:dyDescent="0.3">
      <c r="Q104" t="s">
        <v>1438</v>
      </c>
      <c r="R104" s="606"/>
      <c r="S104" s="838"/>
      <c r="T104" s="804">
        <f>T102-T103</f>
        <v>0</v>
      </c>
      <c r="U104" s="606"/>
    </row>
    <row r="105" spans="17:21" ht="15.75" thickTop="1" x14ac:dyDescent="0.25">
      <c r="Q105" s="606"/>
      <c r="R105" s="606"/>
      <c r="S105" s="838"/>
      <c r="T105" s="838"/>
      <c r="U105" s="606"/>
    </row>
    <row r="106" spans="17:21" x14ac:dyDescent="0.25">
      <c r="Q106" s="606"/>
      <c r="R106" s="606"/>
      <c r="S106" s="838"/>
      <c r="T106" s="838"/>
      <c r="U106" s="606"/>
    </row>
    <row r="107" spans="17:21" ht="15.75" x14ac:dyDescent="0.25">
      <c r="Q107" s="626" t="s">
        <v>1148</v>
      </c>
      <c r="R107" s="606"/>
      <c r="S107" s="838"/>
      <c r="T107" s="838"/>
      <c r="U107" s="606"/>
    </row>
    <row r="108" spans="17:21" x14ac:dyDescent="0.25">
      <c r="Q108" t="s">
        <v>1435</v>
      </c>
      <c r="R108" s="606"/>
      <c r="S108" s="838"/>
      <c r="T108" s="800"/>
      <c r="U108" s="606"/>
    </row>
    <row r="109" spans="17:21" x14ac:dyDescent="0.25">
      <c r="Q109" t="s">
        <v>1441</v>
      </c>
      <c r="R109" s="606"/>
      <c r="S109" s="838"/>
      <c r="T109" s="800"/>
      <c r="U109" s="606"/>
    </row>
    <row r="110" spans="17:21" x14ac:dyDescent="0.25">
      <c r="Q110"/>
      <c r="R110" s="606"/>
      <c r="S110" s="838"/>
      <c r="T110" s="803">
        <f>SUM(T108:T109)</f>
        <v>0</v>
      </c>
      <c r="U110" s="606"/>
    </row>
    <row r="111" spans="17:21" x14ac:dyDescent="0.25">
      <c r="Q111" t="s">
        <v>1437</v>
      </c>
      <c r="R111" s="606"/>
      <c r="S111" s="838"/>
      <c r="T111" s="800"/>
      <c r="U111" s="606"/>
    </row>
    <row r="112" spans="17:21" x14ac:dyDescent="0.25">
      <c r="Q112" t="s">
        <v>1442</v>
      </c>
      <c r="R112" s="606"/>
      <c r="S112" s="838"/>
      <c r="T112" s="838">
        <f>T110-T111</f>
        <v>0</v>
      </c>
      <c r="U112" s="606"/>
    </row>
    <row r="113" spans="17:21" x14ac:dyDescent="0.25">
      <c r="Q113" t="s">
        <v>1443</v>
      </c>
      <c r="R113" s="606"/>
      <c r="S113" s="838"/>
      <c r="T113" s="800"/>
      <c r="U113" s="606"/>
    </row>
    <row r="114" spans="17:21" ht="15.75" thickBot="1" x14ac:dyDescent="0.3">
      <c r="Q114" t="s">
        <v>1148</v>
      </c>
      <c r="R114" s="606"/>
      <c r="S114" s="838"/>
      <c r="T114" s="804">
        <f>T113+T112</f>
        <v>0</v>
      </c>
      <c r="U114" s="606"/>
    </row>
    <row r="115" spans="17:21" ht="15.75" thickTop="1" x14ac:dyDescent="0.25">
      <c r="Q115" s="606"/>
      <c r="R115" s="606"/>
      <c r="S115" s="838"/>
      <c r="T115" s="838"/>
      <c r="U115" s="606"/>
    </row>
    <row r="116" spans="17:21" x14ac:dyDescent="0.25">
      <c r="Q116" s="606"/>
      <c r="R116" s="606"/>
      <c r="S116" s="838"/>
      <c r="T116" s="838"/>
      <c r="U116" s="606"/>
    </row>
    <row r="117" spans="17:21" ht="15.75" x14ac:dyDescent="0.25">
      <c r="Q117" s="626" t="s">
        <v>1511</v>
      </c>
      <c r="R117" s="606"/>
      <c r="S117" s="838"/>
      <c r="T117" s="838"/>
      <c r="U117" s="606"/>
    </row>
    <row r="118" spans="17:21" x14ac:dyDescent="0.25">
      <c r="Q118" t="s">
        <v>1512</v>
      </c>
      <c r="R118" s="606"/>
      <c r="S118" s="838"/>
      <c r="T118" s="800">
        <f>132+65</f>
        <v>197</v>
      </c>
      <c r="U118" s="606"/>
    </row>
    <row r="119" spans="17:21" x14ac:dyDescent="0.25">
      <c r="Q119" t="s">
        <v>1513</v>
      </c>
      <c r="R119" s="606"/>
      <c r="S119" s="838"/>
      <c r="T119" s="800">
        <v>130</v>
      </c>
      <c r="U119" s="606"/>
    </row>
    <row r="120" spans="17:21" x14ac:dyDescent="0.25">
      <c r="Q120"/>
      <c r="R120" s="606"/>
      <c r="S120" s="838"/>
      <c r="T120" s="839">
        <f>T118+T119</f>
        <v>327</v>
      </c>
      <c r="U120" s="606"/>
    </row>
    <row r="121" spans="17:21" x14ac:dyDescent="0.25">
      <c r="Q121" t="s">
        <v>1514</v>
      </c>
      <c r="R121" s="606"/>
      <c r="S121" s="838"/>
      <c r="T121" s="800">
        <f>154+80</f>
        <v>234</v>
      </c>
      <c r="U121" s="606"/>
    </row>
    <row r="122" spans="17:21" ht="15.75" thickBot="1" x14ac:dyDescent="0.3">
      <c r="Q122" t="s">
        <v>1144</v>
      </c>
      <c r="R122" s="606"/>
      <c r="S122" s="838"/>
      <c r="T122" s="804">
        <f>T120-T121</f>
        <v>93</v>
      </c>
      <c r="U122" s="606"/>
    </row>
    <row r="123" spans="17:21" ht="15.75" thickTop="1" x14ac:dyDescent="0.25">
      <c r="Q123" s="606"/>
      <c r="R123" s="606"/>
      <c r="S123" s="606"/>
      <c r="T123" s="606"/>
      <c r="U123" s="606"/>
    </row>
    <row r="124" spans="17:21" x14ac:dyDescent="0.25">
      <c r="Q124" s="606"/>
      <c r="R124" s="606"/>
      <c r="S124" s="606"/>
      <c r="T124" s="606"/>
      <c r="U124" s="606"/>
    </row>
    <row r="125" spans="17:21" x14ac:dyDescent="0.25">
      <c r="Q125" s="606"/>
      <c r="R125" s="606"/>
      <c r="S125" s="606"/>
      <c r="T125" s="606"/>
      <c r="U125" s="606"/>
    </row>
    <row r="126" spans="17:21" x14ac:dyDescent="0.25">
      <c r="Q126" s="606"/>
      <c r="R126" s="606"/>
      <c r="S126" s="606"/>
      <c r="T126" s="606"/>
      <c r="U126" s="606"/>
    </row>
    <row r="127" spans="17:21" x14ac:dyDescent="0.25">
      <c r="Q127" s="606"/>
      <c r="R127" s="606"/>
      <c r="S127" s="606"/>
      <c r="T127" s="606"/>
      <c r="U127" s="606"/>
    </row>
    <row r="128" spans="17:21" x14ac:dyDescent="0.25">
      <c r="Q128" s="606"/>
      <c r="R128" s="606"/>
      <c r="S128" s="606"/>
      <c r="T128" s="606"/>
      <c r="U128" s="606"/>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hyperlinks>
    <hyperlink ref="A1" location="Main!A1" display="Main" xr:uid="{6C7E31A6-01BD-4E6A-8298-9BCF765556A3}"/>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A1:R130"/>
  <sheetViews>
    <sheetView zoomScale="70" zoomScaleNormal="70" workbookViewId="0">
      <pane xSplit="3" ySplit="6" topLeftCell="D10" activePane="bottomRight" state="frozen"/>
      <selection pane="topRight" activeCell="D1" sqref="D1"/>
      <selection pane="bottomLeft" activeCell="A7" sqref="A7"/>
      <selection pane="bottomRight"/>
    </sheetView>
  </sheetViews>
  <sheetFormatPr defaultColWidth="3.5703125" defaultRowHeight="15" x14ac:dyDescent="0.25"/>
  <cols>
    <col min="1" max="1" width="3.5703125" style="587"/>
    <col min="2" max="2" width="73.7109375" style="587" customWidth="1"/>
    <col min="3" max="3" width="104" style="599" hidden="1" customWidth="1"/>
    <col min="4" max="5" width="17.28515625" style="601" customWidth="1"/>
    <col min="6" max="8" width="3.5703125" style="587"/>
    <col min="9" max="9" width="65.5703125" style="587" bestFit="1" customWidth="1"/>
    <col min="10" max="10" width="12.28515625" style="587" customWidth="1"/>
    <col min="11" max="11" width="24.28515625" style="587" bestFit="1" customWidth="1"/>
    <col min="12" max="12" width="25.85546875" style="587" customWidth="1"/>
    <col min="13" max="13" width="19.5703125" style="587" customWidth="1"/>
    <col min="14" max="14" width="3.5703125" style="587"/>
    <col min="15" max="15" width="6.28515625" style="587" bestFit="1" customWidth="1"/>
    <col min="16" max="16" width="6" style="587" bestFit="1" customWidth="1"/>
    <col min="17" max="17" width="3.5703125" style="587"/>
    <col min="18" max="18" width="6.28515625" style="587" bestFit="1" customWidth="1"/>
    <col min="19" max="16384" width="3.5703125" style="587"/>
  </cols>
  <sheetData>
    <row r="1" spans="1:18" x14ac:dyDescent="0.25">
      <c r="A1" s="161" t="s">
        <v>1984</v>
      </c>
    </row>
    <row r="2" spans="1:18" ht="18.75" customHeight="1" x14ac:dyDescent="0.25">
      <c r="B2" s="589" t="s">
        <v>636</v>
      </c>
      <c r="C2" s="927" t="s">
        <v>637</v>
      </c>
      <c r="D2" s="593"/>
      <c r="E2" s="593"/>
      <c r="I2" s="271"/>
      <c r="J2" s="271"/>
      <c r="K2" s="725" t="s">
        <v>1022</v>
      </c>
      <c r="L2" s="725" t="s">
        <v>1023</v>
      </c>
    </row>
    <row r="3" spans="1:18" ht="18.75" customHeight="1" x14ac:dyDescent="0.25">
      <c r="B3" s="590" t="s">
        <v>1265</v>
      </c>
      <c r="C3" s="928"/>
      <c r="D3" s="593"/>
      <c r="E3" s="593"/>
      <c r="I3" s="270" t="s">
        <v>92</v>
      </c>
      <c r="J3" s="271"/>
      <c r="K3" s="726" t="s">
        <v>10</v>
      </c>
      <c r="L3" s="726" t="s">
        <v>10</v>
      </c>
    </row>
    <row r="4" spans="1:18" ht="18.75" customHeight="1" thickBot="1" x14ac:dyDescent="0.3">
      <c r="B4" s="591" t="s">
        <v>699</v>
      </c>
      <c r="C4" s="929"/>
      <c r="D4" s="593"/>
      <c r="E4" s="593"/>
      <c r="I4" s="271" t="s">
        <v>1150</v>
      </c>
      <c r="J4" s="271"/>
      <c r="K4" s="786">
        <v>2680</v>
      </c>
      <c r="L4" s="786">
        <v>1868</v>
      </c>
    </row>
    <row r="5" spans="1:18" ht="18.75" customHeight="1" x14ac:dyDescent="0.25">
      <c r="B5" s="592"/>
      <c r="C5" s="594" t="s">
        <v>645</v>
      </c>
      <c r="D5" s="595" t="s">
        <v>10</v>
      </c>
      <c r="E5" s="595" t="s">
        <v>10</v>
      </c>
      <c r="I5" s="271" t="s">
        <v>85</v>
      </c>
      <c r="J5" s="271"/>
      <c r="K5" s="786">
        <v>-7885</v>
      </c>
      <c r="L5" s="786">
        <v>-9817</v>
      </c>
    </row>
    <row r="6" spans="1:18" ht="18.75" customHeight="1" thickBot="1" x14ac:dyDescent="0.3">
      <c r="B6" s="590" t="s">
        <v>1196</v>
      </c>
      <c r="C6" s="588"/>
      <c r="D6" s="596"/>
      <c r="E6" s="596"/>
      <c r="I6" s="271"/>
      <c r="J6" s="271"/>
      <c r="K6" s="787">
        <f>SUM(K4:K5)</f>
        <v>-5205</v>
      </c>
      <c r="L6" s="787">
        <f>SUM(L4:L5)</f>
        <v>-7949</v>
      </c>
    </row>
    <row r="7" spans="1:18" ht="18.75" customHeight="1" thickTop="1" x14ac:dyDescent="0.25">
      <c r="B7" s="592" t="s">
        <v>1291</v>
      </c>
      <c r="C7" s="588" t="s">
        <v>1292</v>
      </c>
      <c r="D7" s="807">
        <v>-1727</v>
      </c>
      <c r="E7" s="808"/>
    </row>
    <row r="8" spans="1:18" ht="18.75" customHeight="1" x14ac:dyDescent="0.25">
      <c r="B8" s="592" t="s">
        <v>1167</v>
      </c>
      <c r="C8" s="588"/>
      <c r="D8" s="809"/>
      <c r="E8" s="808"/>
      <c r="I8" s="270" t="s">
        <v>606</v>
      </c>
      <c r="J8" s="271"/>
      <c r="K8" s="271"/>
      <c r="L8" s="271"/>
      <c r="M8" s="271"/>
      <c r="N8" s="271"/>
    </row>
    <row r="9" spans="1:18" ht="18.75" customHeight="1" x14ac:dyDescent="0.25">
      <c r="B9" s="602" t="s">
        <v>1293</v>
      </c>
      <c r="C9" s="588" t="s">
        <v>1294</v>
      </c>
      <c r="D9" s="810"/>
      <c r="E9" s="808"/>
      <c r="I9" s="271"/>
      <c r="J9" s="271" t="s">
        <v>56</v>
      </c>
      <c r="K9" s="271" t="s">
        <v>607</v>
      </c>
      <c r="L9" s="271" t="s">
        <v>86</v>
      </c>
      <c r="M9" s="271" t="s">
        <v>119</v>
      </c>
      <c r="N9" s="271"/>
    </row>
    <row r="10" spans="1:18" ht="18.75" customHeight="1" x14ac:dyDescent="0.25">
      <c r="B10" s="602" t="s">
        <v>1295</v>
      </c>
      <c r="C10" s="588" t="s">
        <v>1294</v>
      </c>
      <c r="D10" s="810"/>
      <c r="E10" s="808"/>
      <c r="I10" s="271"/>
      <c r="J10" s="726" t="s">
        <v>10</v>
      </c>
      <c r="K10" s="726" t="s">
        <v>10</v>
      </c>
      <c r="L10" s="726" t="s">
        <v>10</v>
      </c>
      <c r="M10" s="726" t="s">
        <v>10</v>
      </c>
      <c r="N10" s="271"/>
      <c r="R10" s="605" t="s">
        <v>1170</v>
      </c>
    </row>
    <row r="11" spans="1:18" ht="18.75" customHeight="1" x14ac:dyDescent="0.25">
      <c r="B11" s="602" t="s">
        <v>1296</v>
      </c>
      <c r="C11" s="588" t="s">
        <v>1294</v>
      </c>
      <c r="D11" s="810"/>
      <c r="E11" s="808"/>
      <c r="I11" s="271" t="s">
        <v>608</v>
      </c>
      <c r="J11" s="788">
        <f>19689-630</f>
        <v>19059</v>
      </c>
      <c r="K11" s="788">
        <v>7736</v>
      </c>
      <c r="L11" s="788">
        <f>13685-168</f>
        <v>13517</v>
      </c>
      <c r="M11" s="786">
        <v>7183</v>
      </c>
      <c r="N11" s="271"/>
      <c r="R11" s="605" t="s">
        <v>1169</v>
      </c>
    </row>
    <row r="12" spans="1:18" ht="18.75" customHeight="1" x14ac:dyDescent="0.25">
      <c r="B12" s="602" t="s">
        <v>1297</v>
      </c>
      <c r="C12" s="588" t="s">
        <v>1294</v>
      </c>
      <c r="D12" s="810"/>
      <c r="E12" s="808"/>
      <c r="I12" s="271" t="s">
        <v>1168</v>
      </c>
      <c r="J12" s="788"/>
      <c r="K12" s="788"/>
      <c r="L12" s="788"/>
      <c r="M12" s="786"/>
      <c r="N12" s="271"/>
    </row>
    <row r="13" spans="1:18" ht="18.75" customHeight="1" x14ac:dyDescent="0.25">
      <c r="B13" s="602" t="s">
        <v>1298</v>
      </c>
      <c r="C13" s="588" t="s">
        <v>1294</v>
      </c>
      <c r="D13" s="810"/>
      <c r="E13" s="808"/>
      <c r="I13" s="271" t="s">
        <v>609</v>
      </c>
      <c r="J13" s="788">
        <v>21658</v>
      </c>
      <c r="K13" s="788">
        <v>13702</v>
      </c>
      <c r="L13" s="788">
        <f>24372-240</f>
        <v>24132</v>
      </c>
      <c r="M13" s="786">
        <v>5769</v>
      </c>
      <c r="N13" s="271"/>
    </row>
    <row r="14" spans="1:18" ht="18.75" customHeight="1" thickBot="1" x14ac:dyDescent="0.3">
      <c r="B14" s="602" t="s">
        <v>1299</v>
      </c>
      <c r="C14" s="588" t="s">
        <v>1294</v>
      </c>
      <c r="D14" s="810"/>
      <c r="E14" s="808"/>
      <c r="I14" s="271" t="s">
        <v>610</v>
      </c>
      <c r="J14" s="787">
        <f>J13-J11-J12</f>
        <v>2599</v>
      </c>
      <c r="K14" s="787">
        <f>K13-K11-K12</f>
        <v>5966</v>
      </c>
      <c r="L14" s="787">
        <f>L13-L11-L12</f>
        <v>10615</v>
      </c>
      <c r="M14" s="787">
        <f>M13-M11-M12</f>
        <v>-1414</v>
      </c>
      <c r="N14" s="271"/>
    </row>
    <row r="15" spans="1:18" ht="18.75" customHeight="1" thickTop="1" x14ac:dyDescent="0.25">
      <c r="B15" s="602" t="s">
        <v>1300</v>
      </c>
      <c r="C15" s="588" t="s">
        <v>1294</v>
      </c>
      <c r="D15" s="810"/>
      <c r="E15" s="808"/>
      <c r="I15" s="270" t="s">
        <v>1143</v>
      </c>
      <c r="J15" s="770"/>
      <c r="K15" s="770"/>
      <c r="L15" s="771"/>
      <c r="M15" s="789">
        <f>-(J14+K14+L14+M14)</f>
        <v>-17766</v>
      </c>
      <c r="N15" s="271"/>
    </row>
    <row r="16" spans="1:18" ht="18.75" customHeight="1" x14ac:dyDescent="0.25">
      <c r="B16" s="602" t="s">
        <v>1301</v>
      </c>
      <c r="C16" s="588" t="s">
        <v>1294</v>
      </c>
      <c r="D16" s="810"/>
      <c r="E16" s="808"/>
      <c r="I16" s="271"/>
      <c r="J16" s="271"/>
      <c r="K16" s="271"/>
      <c r="L16" s="271"/>
      <c r="M16" s="271"/>
      <c r="N16" s="271"/>
    </row>
    <row r="17" spans="2:14" ht="18.75" customHeight="1" x14ac:dyDescent="0.25">
      <c r="B17" s="602" t="s">
        <v>1302</v>
      </c>
      <c r="C17" s="588" t="s">
        <v>1294</v>
      </c>
      <c r="D17" s="810"/>
      <c r="E17" s="808"/>
      <c r="I17" s="271"/>
      <c r="J17" s="271"/>
      <c r="K17" s="271"/>
      <c r="L17" s="271"/>
      <c r="M17" s="271"/>
      <c r="N17" s="271"/>
    </row>
    <row r="18" spans="2:14" ht="18.75" customHeight="1" x14ac:dyDescent="0.25">
      <c r="B18" s="602" t="s">
        <v>629</v>
      </c>
      <c r="C18" s="588" t="s">
        <v>1294</v>
      </c>
      <c r="D18" s="810"/>
      <c r="E18" s="808"/>
      <c r="I18" s="271" t="s">
        <v>1304</v>
      </c>
      <c r="J18" s="271"/>
      <c r="K18" s="271"/>
      <c r="L18" s="271"/>
      <c r="M18" s="271"/>
      <c r="N18" s="271"/>
    </row>
    <row r="19" spans="2:14" ht="18.75" customHeight="1" x14ac:dyDescent="0.25">
      <c r="B19" s="602" t="s">
        <v>613</v>
      </c>
      <c r="C19" s="588" t="s">
        <v>1294</v>
      </c>
      <c r="D19" s="811"/>
      <c r="E19" s="808"/>
    </row>
    <row r="20" spans="2:14" ht="18.75" customHeight="1" x14ac:dyDescent="0.25">
      <c r="B20" s="602"/>
      <c r="C20" s="588"/>
      <c r="D20" s="812">
        <f>SUM(D7:D19)</f>
        <v>-1727</v>
      </c>
      <c r="E20" s="808"/>
      <c r="I20" s="270" t="s">
        <v>611</v>
      </c>
      <c r="J20" s="271"/>
      <c r="K20" s="271"/>
      <c r="L20"/>
    </row>
    <row r="21" spans="2:14" ht="18.75" customHeight="1" x14ac:dyDescent="0.25">
      <c r="B21" s="602" t="str">
        <f>IF(D21&lt;0,"Increase in inventories","Decrease in inventories")</f>
        <v>Increase in inventories</v>
      </c>
      <c r="C21" s="588" t="s">
        <v>1294</v>
      </c>
      <c r="D21" s="813">
        <f>-J14</f>
        <v>-2599</v>
      </c>
      <c r="E21" s="808"/>
      <c r="I21" s="271" t="s">
        <v>612</v>
      </c>
      <c r="J21" s="271"/>
      <c r="K21" s="790"/>
      <c r="L21" s="788">
        <v>168</v>
      </c>
      <c r="M21" s="587" t="str">
        <f ca="1">IFERROR(_xlfn.FORMULATEXT(L21)," ")</f>
        <v xml:space="preserve"> </v>
      </c>
    </row>
    <row r="22" spans="2:14" ht="18.75" customHeight="1" x14ac:dyDescent="0.25">
      <c r="B22" s="602" t="str">
        <f>IF(D22&lt;0,"Increase in trade and other receivables","Decrease in trade and other receivables")</f>
        <v>Increase in trade and other receivables</v>
      </c>
      <c r="C22" s="588" t="s">
        <v>1294</v>
      </c>
      <c r="D22" s="813">
        <f>-K14</f>
        <v>-5966</v>
      </c>
      <c r="E22" s="808"/>
      <c r="I22" s="271" t="s">
        <v>613</v>
      </c>
      <c r="J22" s="271"/>
      <c r="K22" s="790"/>
      <c r="L22" s="788">
        <v>2856</v>
      </c>
      <c r="M22" s="587" t="str">
        <f t="shared" ref="M22:M79" ca="1" si="0">IFERROR(_xlfn.FORMULATEXT(L22)," ")</f>
        <v xml:space="preserve"> </v>
      </c>
    </row>
    <row r="23" spans="2:14" ht="18.75" customHeight="1" x14ac:dyDescent="0.25">
      <c r="B23" s="602" t="str">
        <f>IF(D23&gt;0,"Increase in trade and other payables","Decrease in trade and other payables")</f>
        <v>Increase in trade and other payables</v>
      </c>
      <c r="C23" s="588" t="s">
        <v>1294</v>
      </c>
      <c r="D23" s="807">
        <f>L14</f>
        <v>10615</v>
      </c>
      <c r="E23" s="808"/>
      <c r="I23" s="271" t="s">
        <v>614</v>
      </c>
      <c r="J23" s="271"/>
      <c r="K23" s="790"/>
      <c r="L23" s="788"/>
      <c r="M23" s="587" t="str">
        <f t="shared" ca="1" si="0"/>
        <v xml:space="preserve"> </v>
      </c>
    </row>
    <row r="24" spans="2:14" ht="18.75" customHeight="1" x14ac:dyDescent="0.25">
      <c r="B24" s="602" t="str">
        <f>IF(D24&gt;0,"Increase in provisions","Decrease in provisions")</f>
        <v>Decrease in provisions</v>
      </c>
      <c r="C24" s="588" t="s">
        <v>1294</v>
      </c>
      <c r="D24" s="807">
        <f>M14</f>
        <v>-1414</v>
      </c>
      <c r="E24" s="808"/>
      <c r="I24" s="271" t="s">
        <v>83</v>
      </c>
      <c r="J24" s="271"/>
      <c r="K24" s="790"/>
      <c r="L24" s="788"/>
    </row>
    <row r="25" spans="2:14" ht="18.75" customHeight="1" x14ac:dyDescent="0.25">
      <c r="B25" s="592" t="s">
        <v>1142</v>
      </c>
      <c r="C25" s="588"/>
      <c r="D25" s="814">
        <f>SUM(D20:D24)</f>
        <v>-1091</v>
      </c>
      <c r="E25" s="808"/>
      <c r="I25" s="271" t="s">
        <v>1972</v>
      </c>
      <c r="J25" s="271"/>
      <c r="K25" s="790"/>
      <c r="L25" s="788"/>
    </row>
    <row r="26" spans="2:14" ht="18.75" customHeight="1" x14ac:dyDescent="0.25">
      <c r="B26" s="592" t="s">
        <v>611</v>
      </c>
      <c r="C26" s="588" t="s">
        <v>1266</v>
      </c>
      <c r="D26" s="807">
        <f>-L29</f>
        <v>-3024</v>
      </c>
      <c r="E26" s="808"/>
      <c r="I26" s="271" t="s">
        <v>626</v>
      </c>
      <c r="J26" s="271"/>
      <c r="K26" s="790"/>
      <c r="L26" s="788"/>
      <c r="M26" s="587" t="str">
        <f t="shared" ca="1" si="0"/>
        <v xml:space="preserve"> </v>
      </c>
    </row>
    <row r="27" spans="2:14" ht="18.75" customHeight="1" x14ac:dyDescent="0.25">
      <c r="B27" s="592" t="s">
        <v>616</v>
      </c>
      <c r="C27" s="588"/>
      <c r="D27" s="815">
        <f>-L38</f>
        <v>-1519</v>
      </c>
      <c r="E27" s="808"/>
      <c r="I27" s="271"/>
      <c r="J27" s="271"/>
      <c r="K27" s="790"/>
      <c r="L27" s="791">
        <f>L21+L22-L26+L23+L24+L25</f>
        <v>3024</v>
      </c>
    </row>
    <row r="28" spans="2:14" ht="18.75" customHeight="1" x14ac:dyDescent="0.25">
      <c r="B28" s="597" t="s">
        <v>1267</v>
      </c>
      <c r="C28" s="588" t="s">
        <v>1268</v>
      </c>
      <c r="D28" s="816"/>
      <c r="E28" s="817">
        <f>SUM(D25:D27)</f>
        <v>-5634</v>
      </c>
      <c r="I28" s="271" t="s">
        <v>615</v>
      </c>
      <c r="J28" s="271"/>
      <c r="K28" s="790"/>
      <c r="L28" s="788">
        <v>0</v>
      </c>
      <c r="M28" s="587" t="str">
        <f t="shared" ca="1" si="0"/>
        <v xml:space="preserve"> </v>
      </c>
    </row>
    <row r="29" spans="2:14" ht="18.75" customHeight="1" thickBot="1" x14ac:dyDescent="0.3">
      <c r="B29" s="592"/>
      <c r="C29" s="588"/>
      <c r="D29" s="808"/>
      <c r="E29" s="808"/>
      <c r="I29" s="271" t="s">
        <v>611</v>
      </c>
      <c r="J29" s="271"/>
      <c r="K29" s="790"/>
      <c r="L29" s="792">
        <f>L27-L28</f>
        <v>3024</v>
      </c>
    </row>
    <row r="30" spans="2:14" ht="18.75" customHeight="1" thickTop="1" x14ac:dyDescent="0.25">
      <c r="B30" s="590" t="s">
        <v>1197</v>
      </c>
      <c r="C30" s="588" t="s">
        <v>649</v>
      </c>
      <c r="D30" s="808"/>
      <c r="E30" s="808"/>
      <c r="I30" s="271"/>
      <c r="J30" s="271"/>
      <c r="K30" s="790"/>
      <c r="L30" s="790"/>
      <c r="M30" s="587" t="str">
        <f t="shared" ca="1" si="0"/>
        <v xml:space="preserve"> </v>
      </c>
    </row>
    <row r="31" spans="2:14" ht="18.75" customHeight="1" x14ac:dyDescent="0.25">
      <c r="B31" s="592" t="s">
        <v>1269</v>
      </c>
      <c r="C31" s="588"/>
      <c r="D31" s="807"/>
      <c r="E31" s="808"/>
      <c r="I31" s="270" t="s">
        <v>616</v>
      </c>
      <c r="J31" s="271"/>
      <c r="K31" s="790"/>
      <c r="L31" s="790"/>
      <c r="M31" s="587" t="str">
        <f t="shared" ca="1" si="0"/>
        <v xml:space="preserve"> </v>
      </c>
    </row>
    <row r="32" spans="2:14" ht="18.75" customHeight="1" x14ac:dyDescent="0.25">
      <c r="B32" s="592" t="s">
        <v>1270</v>
      </c>
      <c r="C32" s="588"/>
      <c r="D32" s="807"/>
      <c r="E32" s="808"/>
      <c r="I32" s="271" t="s">
        <v>617</v>
      </c>
      <c r="J32" s="271"/>
      <c r="K32" s="788">
        <v>1254</v>
      </c>
      <c r="L32" s="793"/>
      <c r="M32" s="587" t="str">
        <f t="shared" ca="1" si="0"/>
        <v xml:space="preserve"> </v>
      </c>
    </row>
    <row r="33" spans="2:13" ht="18.75" customHeight="1" x14ac:dyDescent="0.25">
      <c r="B33" s="592" t="s">
        <v>1271</v>
      </c>
      <c r="C33" s="588" t="s">
        <v>1272</v>
      </c>
      <c r="D33" s="807">
        <f>-L48</f>
        <v>-10413</v>
      </c>
      <c r="E33" s="808"/>
      <c r="I33" s="271" t="s">
        <v>618</v>
      </c>
      <c r="J33" s="271"/>
      <c r="K33" s="788"/>
      <c r="L33" s="793">
        <f>K33+K32</f>
        <v>1254</v>
      </c>
    </row>
    <row r="34" spans="2:13" ht="18.75" customHeight="1" x14ac:dyDescent="0.25">
      <c r="B34" s="592" t="s">
        <v>1273</v>
      </c>
      <c r="C34" s="588" t="s">
        <v>1272</v>
      </c>
      <c r="D34" s="807">
        <f>L53</f>
        <v>0</v>
      </c>
      <c r="E34" s="808"/>
      <c r="I34" s="271" t="s">
        <v>1</v>
      </c>
      <c r="J34" s="271"/>
      <c r="K34" s="793"/>
      <c r="L34" s="788">
        <v>145</v>
      </c>
      <c r="M34" s="587" t="str">
        <f t="shared" ca="1" si="0"/>
        <v xml:space="preserve"> </v>
      </c>
    </row>
    <row r="35" spans="2:13" ht="18.75" customHeight="1" x14ac:dyDescent="0.25">
      <c r="B35" s="592" t="s">
        <v>1274</v>
      </c>
      <c r="C35" s="588" t="s">
        <v>1275</v>
      </c>
      <c r="D35" s="807">
        <f>-L94</f>
        <v>0</v>
      </c>
      <c r="E35" s="808"/>
      <c r="I35" s="271"/>
      <c r="J35" s="271"/>
      <c r="K35" s="793"/>
      <c r="L35" s="793">
        <f>L33+L34</f>
        <v>1399</v>
      </c>
    </row>
    <row r="36" spans="2:13" ht="18.75" customHeight="1" x14ac:dyDescent="0.25">
      <c r="B36" s="592" t="s">
        <v>1276</v>
      </c>
      <c r="C36" s="588" t="s">
        <v>1275</v>
      </c>
      <c r="D36" s="807"/>
      <c r="E36" s="808"/>
      <c r="I36" s="271" t="s">
        <v>619</v>
      </c>
      <c r="J36" s="271"/>
      <c r="K36" s="788">
        <v>-120</v>
      </c>
      <c r="L36" s="793"/>
      <c r="M36" s="587" t="str">
        <f t="shared" ca="1" si="0"/>
        <v xml:space="preserve"> </v>
      </c>
    </row>
    <row r="37" spans="2:13" ht="18.75" customHeight="1" x14ac:dyDescent="0.25">
      <c r="B37" s="592" t="s">
        <v>627</v>
      </c>
      <c r="C37" s="588" t="s">
        <v>1277</v>
      </c>
      <c r="D37" s="807">
        <f>L63</f>
        <v>0</v>
      </c>
      <c r="E37" s="808"/>
      <c r="I37" s="271" t="s">
        <v>620</v>
      </c>
      <c r="J37" s="271"/>
      <c r="K37" s="788"/>
      <c r="L37" s="793">
        <f>K37+K36</f>
        <v>-120</v>
      </c>
    </row>
    <row r="38" spans="2:13" ht="18.75" customHeight="1" thickBot="1" x14ac:dyDescent="0.3">
      <c r="B38" s="592" t="s">
        <v>1141</v>
      </c>
      <c r="C38" s="588" t="s">
        <v>1277</v>
      </c>
      <c r="D38" s="815">
        <f>L74</f>
        <v>0</v>
      </c>
      <c r="E38" s="808"/>
      <c r="I38" s="271" t="s">
        <v>616</v>
      </c>
      <c r="J38" s="271"/>
      <c r="K38" s="793"/>
      <c r="L38" s="792">
        <f>L35-L37</f>
        <v>1519</v>
      </c>
    </row>
    <row r="39" spans="2:13" ht="18.75" customHeight="1" thickTop="1" x14ac:dyDescent="0.25">
      <c r="B39" s="597" t="s">
        <v>1278</v>
      </c>
      <c r="C39" s="588" t="s">
        <v>1268</v>
      </c>
      <c r="D39" s="816"/>
      <c r="E39" s="817">
        <f>SUM(D31:D38)</f>
        <v>-10413</v>
      </c>
      <c r="I39" s="271"/>
      <c r="J39" s="271"/>
      <c r="K39" s="790"/>
      <c r="L39" s="790"/>
      <c r="M39" s="587" t="str">
        <f t="shared" ca="1" si="0"/>
        <v xml:space="preserve"> </v>
      </c>
    </row>
    <row r="40" spans="2:13" ht="18.75" customHeight="1" x14ac:dyDescent="0.25">
      <c r="B40" s="592"/>
      <c r="C40" s="588"/>
      <c r="D40" s="808"/>
      <c r="E40" s="808"/>
      <c r="I40" s="270" t="s">
        <v>621</v>
      </c>
      <c r="J40" s="271"/>
      <c r="K40" s="790"/>
      <c r="L40" s="790"/>
      <c r="M40" s="587" t="str">
        <f t="shared" ca="1" si="0"/>
        <v xml:space="preserve"> </v>
      </c>
    </row>
    <row r="41" spans="2:13" ht="18.75" customHeight="1" x14ac:dyDescent="0.25">
      <c r="B41" s="590" t="s">
        <v>1145</v>
      </c>
      <c r="C41" s="588"/>
      <c r="D41" s="808"/>
      <c r="E41" s="808"/>
      <c r="I41" s="271" t="s">
        <v>622</v>
      </c>
      <c r="J41" s="271"/>
      <c r="K41" s="790"/>
      <c r="L41" s="788">
        <v>35519</v>
      </c>
      <c r="M41" s="587" t="str">
        <f t="shared" ca="1" si="0"/>
        <v xml:space="preserve"> </v>
      </c>
    </row>
    <row r="42" spans="2:13" ht="18.75" customHeight="1" x14ac:dyDescent="0.25">
      <c r="B42" s="592" t="s">
        <v>1146</v>
      </c>
      <c r="C42" s="588"/>
      <c r="D42" s="807">
        <f>L80</f>
        <v>7500</v>
      </c>
      <c r="E42" s="808"/>
      <c r="I42" s="271" t="s">
        <v>1879</v>
      </c>
      <c r="J42" s="271"/>
      <c r="K42" s="790"/>
      <c r="L42" s="788"/>
      <c r="M42" s="587" t="str">
        <f t="shared" ca="1" si="0"/>
        <v xml:space="preserve"> </v>
      </c>
    </row>
    <row r="43" spans="2:13" ht="18.75" customHeight="1" x14ac:dyDescent="0.25">
      <c r="B43" s="592" t="s">
        <v>1279</v>
      </c>
      <c r="C43" s="588"/>
      <c r="D43" s="807"/>
      <c r="E43" s="808"/>
      <c r="I43" s="271" t="s">
        <v>625</v>
      </c>
      <c r="J43" s="271"/>
      <c r="K43" s="790"/>
      <c r="L43" s="788">
        <f>498+12+2193</f>
        <v>2703</v>
      </c>
      <c r="M43" s="587" t="str">
        <f t="shared" ca="1" si="0"/>
        <v>=498+12+2193</v>
      </c>
    </row>
    <row r="44" spans="2:13" ht="18.75" customHeight="1" x14ac:dyDescent="0.25">
      <c r="B44" s="592" t="s">
        <v>1974</v>
      </c>
      <c r="C44" s="588"/>
      <c r="D44" s="807">
        <f>+L85</f>
        <v>0</v>
      </c>
      <c r="E44" s="808"/>
      <c r="I44" s="271" t="s">
        <v>1251</v>
      </c>
      <c r="J44" s="271"/>
      <c r="K44" s="790"/>
      <c r="L44" s="788"/>
      <c r="M44" s="587" t="str">
        <f t="shared" ca="1" si="0"/>
        <v xml:space="preserve"> </v>
      </c>
    </row>
    <row r="45" spans="2:13" ht="18.75" customHeight="1" x14ac:dyDescent="0.25">
      <c r="B45" s="592" t="s">
        <v>1280</v>
      </c>
      <c r="C45" s="588" t="s">
        <v>1281</v>
      </c>
      <c r="D45" s="807">
        <f>L87</f>
        <v>0</v>
      </c>
      <c r="E45" s="808"/>
      <c r="I45" s="271" t="s">
        <v>1252</v>
      </c>
      <c r="J45" s="271"/>
      <c r="K45" s="790"/>
      <c r="L45" s="788"/>
      <c r="M45" s="587" t="str">
        <f t="shared" ca="1" si="0"/>
        <v xml:space="preserve"> </v>
      </c>
    </row>
    <row r="46" spans="2:13" ht="18.75" customHeight="1" x14ac:dyDescent="0.25">
      <c r="B46" s="592" t="s">
        <v>1282</v>
      </c>
      <c r="C46" s="588" t="s">
        <v>1283</v>
      </c>
      <c r="D46" s="807">
        <f>-L112</f>
        <v>0</v>
      </c>
      <c r="E46" s="808"/>
      <c r="I46" s="271"/>
      <c r="J46" s="271"/>
      <c r="K46" s="790"/>
      <c r="L46" s="791">
        <f>L41-L43+L42-L44+L45</f>
        <v>32816</v>
      </c>
    </row>
    <row r="47" spans="2:13" ht="18.75" customHeight="1" x14ac:dyDescent="0.25">
      <c r="B47" s="592" t="s">
        <v>1144</v>
      </c>
      <c r="C47" s="588"/>
      <c r="D47" s="807">
        <f>-L120</f>
        <v>0</v>
      </c>
      <c r="E47" s="808"/>
      <c r="I47" s="271" t="s">
        <v>624</v>
      </c>
      <c r="J47" s="271"/>
      <c r="K47" s="790"/>
      <c r="L47" s="788">
        <v>43229</v>
      </c>
    </row>
    <row r="48" spans="2:13" ht="18.75" customHeight="1" thickBot="1" x14ac:dyDescent="0.3">
      <c r="B48" s="592" t="s">
        <v>1799</v>
      </c>
      <c r="C48" s="588"/>
      <c r="D48" s="807"/>
      <c r="E48" s="808"/>
      <c r="I48" s="271" t="s">
        <v>621</v>
      </c>
      <c r="J48" s="271"/>
      <c r="K48" s="790"/>
      <c r="L48" s="794">
        <f>L47-L46</f>
        <v>10413</v>
      </c>
    </row>
    <row r="49" spans="2:13" ht="18.75" customHeight="1" thickTop="1" x14ac:dyDescent="0.25">
      <c r="B49" s="592" t="s">
        <v>1798</v>
      </c>
      <c r="C49" s="588"/>
      <c r="D49" s="807"/>
      <c r="E49" s="808"/>
      <c r="I49" s="271"/>
      <c r="J49" s="271"/>
      <c r="K49" s="790"/>
      <c r="L49" s="795"/>
      <c r="M49" s="587" t="str">
        <f t="shared" ca="1" si="0"/>
        <v xml:space="preserve"> </v>
      </c>
    </row>
    <row r="50" spans="2:13" ht="18.75" customHeight="1" x14ac:dyDescent="0.25">
      <c r="B50" s="592" t="s">
        <v>358</v>
      </c>
      <c r="C50" s="588" t="s">
        <v>1277</v>
      </c>
      <c r="D50" s="815">
        <f>-L72</f>
        <v>0</v>
      </c>
      <c r="E50" s="808"/>
      <c r="I50" s="270" t="s">
        <v>1313</v>
      </c>
      <c r="J50" s="723"/>
      <c r="K50" s="796"/>
      <c r="L50" s="796"/>
      <c r="M50" s="587" t="str">
        <f t="shared" ca="1" si="0"/>
        <v xml:space="preserve"> </v>
      </c>
    </row>
    <row r="51" spans="2:13" ht="18.75" customHeight="1" x14ac:dyDescent="0.25">
      <c r="B51" s="597" t="s">
        <v>1303</v>
      </c>
      <c r="C51" s="588" t="s">
        <v>1268</v>
      </c>
      <c r="D51" s="816"/>
      <c r="E51" s="818">
        <f>SUM(D42:D50)</f>
        <v>7500</v>
      </c>
      <c r="I51" s="271" t="s">
        <v>217</v>
      </c>
      <c r="J51" s="723"/>
      <c r="K51" s="796"/>
      <c r="L51" s="797">
        <v>0</v>
      </c>
      <c r="M51" s="587" t="str">
        <f t="shared" ca="1" si="0"/>
        <v xml:space="preserve"> </v>
      </c>
    </row>
    <row r="52" spans="2:13" ht="18.75" customHeight="1" x14ac:dyDescent="0.25">
      <c r="B52" s="592"/>
      <c r="C52" s="588"/>
      <c r="D52" s="808"/>
      <c r="E52" s="816"/>
      <c r="I52" s="271" t="s">
        <v>1314</v>
      </c>
      <c r="J52" s="723"/>
      <c r="K52" s="796"/>
      <c r="L52" s="797"/>
      <c r="M52" s="587" t="str">
        <f t="shared" ca="1" si="0"/>
        <v xml:space="preserve"> </v>
      </c>
    </row>
    <row r="53" spans="2:13" ht="18.75" customHeight="1" thickBot="1" x14ac:dyDescent="0.3">
      <c r="B53" s="590" t="s">
        <v>1285</v>
      </c>
      <c r="C53" s="588" t="s">
        <v>1286</v>
      </c>
      <c r="D53" s="808"/>
      <c r="E53" s="817">
        <f>SUM(E28,E39,E51)</f>
        <v>-8547</v>
      </c>
      <c r="I53" s="271" t="s">
        <v>1313</v>
      </c>
      <c r="J53" s="723"/>
      <c r="K53" s="796"/>
      <c r="L53" s="794">
        <f>L51-L52</f>
        <v>0</v>
      </c>
    </row>
    <row r="54" spans="2:13" ht="18.75" customHeight="1" thickTop="1" x14ac:dyDescent="0.25">
      <c r="B54" s="598" t="s">
        <v>1287</v>
      </c>
      <c r="C54" s="588" t="s">
        <v>1288</v>
      </c>
      <c r="D54" s="808"/>
      <c r="E54" s="815">
        <f>L6</f>
        <v>-7949</v>
      </c>
      <c r="I54" s="723"/>
      <c r="J54" s="723"/>
      <c r="K54" s="796"/>
      <c r="L54" s="796"/>
      <c r="M54" s="587" t="str">
        <f t="shared" ca="1" si="0"/>
        <v xml:space="preserve"> </v>
      </c>
    </row>
    <row r="55" spans="2:13" ht="18.75" customHeight="1" thickBot="1" x14ac:dyDescent="0.3">
      <c r="B55" s="590" t="s">
        <v>1289</v>
      </c>
      <c r="C55" s="588" t="s">
        <v>1288</v>
      </c>
      <c r="D55" s="808"/>
      <c r="E55" s="819">
        <f>K6</f>
        <v>-5205</v>
      </c>
      <c r="I55" s="723"/>
      <c r="J55" s="723"/>
      <c r="K55" s="796"/>
      <c r="L55" s="796"/>
      <c r="M55" s="587" t="str">
        <f t="shared" ca="1" si="0"/>
        <v xml:space="preserve"> </v>
      </c>
    </row>
    <row r="56" spans="2:13" ht="18.75" customHeight="1" x14ac:dyDescent="0.25">
      <c r="D56" s="600"/>
      <c r="E56" s="600"/>
      <c r="I56" s="270" t="s">
        <v>627</v>
      </c>
      <c r="J56" s="271"/>
      <c r="K56" s="790"/>
      <c r="L56" s="795"/>
      <c r="M56" s="587" t="str">
        <f t="shared" ca="1" si="0"/>
        <v xml:space="preserve"> </v>
      </c>
    </row>
    <row r="57" spans="2:13" ht="18.75" customHeight="1" x14ac:dyDescent="0.25">
      <c r="C57" s="588" t="s">
        <v>1290</v>
      </c>
      <c r="D57" s="660">
        <f>E55-(SUM(E53:E54))</f>
        <v>11291</v>
      </c>
      <c r="E57" s="661"/>
      <c r="I57" s="271" t="s">
        <v>628</v>
      </c>
      <c r="J57" s="271"/>
      <c r="K57" s="790"/>
      <c r="L57" s="786">
        <v>0</v>
      </c>
      <c r="M57" s="587" t="str">
        <f t="shared" ca="1" si="0"/>
        <v xml:space="preserve"> </v>
      </c>
    </row>
    <row r="58" spans="2:13" ht="18.75" customHeight="1" x14ac:dyDescent="0.25">
      <c r="D58" s="600"/>
      <c r="E58" s="600"/>
      <c r="I58" s="271" t="s">
        <v>629</v>
      </c>
      <c r="J58" s="271"/>
      <c r="K58" s="790"/>
      <c r="L58" s="788">
        <v>0</v>
      </c>
      <c r="M58" s="587" t="str">
        <f t="shared" ca="1" si="0"/>
        <v xml:space="preserve"> </v>
      </c>
    </row>
    <row r="59" spans="2:13" ht="18.75" customHeight="1" x14ac:dyDescent="0.25">
      <c r="D59" s="600"/>
      <c r="E59" s="600"/>
      <c r="I59" s="271" t="s">
        <v>1195</v>
      </c>
      <c r="J59" s="271"/>
      <c r="K59" s="790"/>
      <c r="L59" s="788"/>
      <c r="M59" s="587" t="str">
        <f t="shared" ca="1" si="0"/>
        <v xml:space="preserve"> </v>
      </c>
    </row>
    <row r="60" spans="2:13" ht="18.75" customHeight="1" x14ac:dyDescent="0.25">
      <c r="D60" s="600"/>
      <c r="E60" s="600"/>
      <c r="I60" s="271" t="s">
        <v>333</v>
      </c>
      <c r="J60" s="271"/>
      <c r="K60" s="790"/>
      <c r="L60" s="788"/>
      <c r="M60" s="587" t="str">
        <f t="shared" ca="1" si="0"/>
        <v xml:space="preserve"> </v>
      </c>
    </row>
    <row r="61" spans="2:13" ht="18.75" customHeight="1" x14ac:dyDescent="0.25">
      <c r="D61" s="600"/>
      <c r="E61" s="600"/>
      <c r="I61" s="271"/>
      <c r="J61" s="271"/>
      <c r="K61" s="790"/>
      <c r="L61" s="798">
        <f>L57+L58+L60-L59</f>
        <v>0</v>
      </c>
    </row>
    <row r="62" spans="2:13" ht="18.75" customHeight="1" x14ac:dyDescent="0.25">
      <c r="D62" s="600"/>
      <c r="E62" s="600"/>
      <c r="I62" s="271" t="s">
        <v>630</v>
      </c>
      <c r="J62" s="271"/>
      <c r="K62" s="790"/>
      <c r="L62" s="786">
        <v>0</v>
      </c>
      <c r="M62" s="587" t="str">
        <f t="shared" ca="1" si="0"/>
        <v xml:space="preserve"> </v>
      </c>
    </row>
    <row r="63" spans="2:13" ht="18.75" customHeight="1" thickBot="1" x14ac:dyDescent="0.3">
      <c r="D63" s="600"/>
      <c r="E63" s="600"/>
      <c r="I63" s="271" t="s">
        <v>627</v>
      </c>
      <c r="J63" s="271"/>
      <c r="K63" s="790"/>
      <c r="L63" s="794">
        <f>L61-L62</f>
        <v>0</v>
      </c>
    </row>
    <row r="64" spans="2:13" ht="18.75" customHeight="1" thickTop="1" x14ac:dyDescent="0.25">
      <c r="D64" s="600"/>
      <c r="E64" s="600"/>
      <c r="I64" s="271"/>
      <c r="J64" s="271"/>
      <c r="K64" s="790"/>
      <c r="L64" s="795"/>
      <c r="M64" s="587" t="str">
        <f t="shared" ca="1" si="0"/>
        <v xml:space="preserve"> </v>
      </c>
    </row>
    <row r="65" spans="4:13" ht="18.75" customHeight="1" x14ac:dyDescent="0.25">
      <c r="D65" s="600"/>
      <c r="E65" s="600"/>
      <c r="I65" s="270" t="s">
        <v>358</v>
      </c>
      <c r="J65" s="271"/>
      <c r="K65" s="790"/>
      <c r="L65" s="795"/>
      <c r="M65" s="587" t="str">
        <f t="shared" ca="1" si="0"/>
        <v xml:space="preserve"> </v>
      </c>
    </row>
    <row r="66" spans="4:13" ht="18.75" customHeight="1" x14ac:dyDescent="0.25">
      <c r="D66" s="600"/>
      <c r="E66" s="600"/>
      <c r="I66" s="271" t="s">
        <v>631</v>
      </c>
      <c r="J66" s="271"/>
      <c r="K66" s="790"/>
      <c r="L66" s="799"/>
      <c r="M66" s="587" t="str">
        <f t="shared" ca="1" si="0"/>
        <v xml:space="preserve"> </v>
      </c>
    </row>
    <row r="67" spans="4:13" ht="18.75" customHeight="1" x14ac:dyDescent="0.25">
      <c r="D67" s="600"/>
      <c r="E67" s="600"/>
      <c r="I67" s="271" t="s">
        <v>632</v>
      </c>
      <c r="J67" s="271"/>
      <c r="K67" s="790"/>
      <c r="L67" s="799"/>
      <c r="M67" s="587" t="str">
        <f t="shared" ca="1" si="0"/>
        <v xml:space="preserve"> </v>
      </c>
    </row>
    <row r="68" spans="4:13" ht="18.75" customHeight="1" x14ac:dyDescent="0.25">
      <c r="D68" s="600"/>
      <c r="E68" s="600"/>
      <c r="I68" s="271" t="s">
        <v>22</v>
      </c>
      <c r="J68" s="271"/>
      <c r="K68" s="790"/>
      <c r="L68" s="800"/>
      <c r="M68" s="587" t="str">
        <f ca="1">IFERROR(_xlfn.FORMULATEXT(L69)," ")</f>
        <v xml:space="preserve"> </v>
      </c>
    </row>
    <row r="69" spans="4:13" ht="18.75" customHeight="1" x14ac:dyDescent="0.25">
      <c r="D69" s="600"/>
      <c r="E69" s="600"/>
      <c r="I69" s="271" t="s">
        <v>633</v>
      </c>
      <c r="J69" s="271"/>
      <c r="K69" s="790"/>
      <c r="L69" s="799"/>
    </row>
    <row r="70" spans="4:13" ht="18.75" customHeight="1" x14ac:dyDescent="0.25">
      <c r="D70" s="600"/>
      <c r="E70" s="600"/>
      <c r="I70" s="271"/>
      <c r="J70" s="271"/>
      <c r="K70" s="790"/>
      <c r="L70" s="791">
        <f>L66+L67+L69-L68</f>
        <v>0</v>
      </c>
      <c r="M70" s="587" t="str">
        <f ca="1">IFERROR(_xlfn.FORMULATEXT(L71)," ")</f>
        <v xml:space="preserve"> </v>
      </c>
    </row>
    <row r="71" spans="4:13" ht="18.75" customHeight="1" x14ac:dyDescent="0.25">
      <c r="I71" s="271" t="s">
        <v>634</v>
      </c>
      <c r="J71" s="271"/>
      <c r="K71" s="790"/>
      <c r="L71" s="799"/>
    </row>
    <row r="72" spans="4:13" ht="18.75" customHeight="1" thickBot="1" x14ac:dyDescent="0.3">
      <c r="I72" s="271" t="s">
        <v>358</v>
      </c>
      <c r="J72" s="271"/>
      <c r="K72" s="790"/>
      <c r="L72" s="801">
        <f>-(L71-L70)</f>
        <v>0</v>
      </c>
      <c r="M72" s="587" t="str">
        <f ca="1">IFERROR(_xlfn.FORMULATEXT(#REF!)," ")</f>
        <v xml:space="preserve"> </v>
      </c>
    </row>
    <row r="73" spans="4:13" ht="18.75" customHeight="1" thickTop="1" x14ac:dyDescent="0.25">
      <c r="I73" s="271"/>
      <c r="J73" s="271"/>
      <c r="K73" s="271"/>
      <c r="L73" s="802"/>
      <c r="M73" s="587" t="str">
        <f t="shared" ca="1" si="0"/>
        <v xml:space="preserve"> </v>
      </c>
    </row>
    <row r="74" spans="4:13" x14ac:dyDescent="0.25">
      <c r="I74" s="270" t="s">
        <v>1141</v>
      </c>
      <c r="J74" s="271"/>
      <c r="K74" s="271"/>
      <c r="L74" s="786"/>
      <c r="M74" s="587" t="str">
        <f t="shared" ca="1" si="0"/>
        <v xml:space="preserve"> </v>
      </c>
    </row>
    <row r="75" spans="4:13" x14ac:dyDescent="0.25">
      <c r="I75" s="271"/>
      <c r="J75" s="271"/>
      <c r="K75" s="271"/>
      <c r="L75" s="790"/>
      <c r="M75" s="587" t="str">
        <f t="shared" ca="1" si="0"/>
        <v xml:space="preserve"> </v>
      </c>
    </row>
    <row r="76" spans="4:13" x14ac:dyDescent="0.25">
      <c r="I76" s="271"/>
      <c r="J76" s="271"/>
      <c r="K76" s="271"/>
      <c r="L76" s="790"/>
      <c r="M76" s="587" t="str">
        <f t="shared" ca="1" si="0"/>
        <v xml:space="preserve"> </v>
      </c>
    </row>
    <row r="77" spans="4:13" x14ac:dyDescent="0.25">
      <c r="I77" s="270" t="s">
        <v>1306</v>
      </c>
      <c r="J77" s="723"/>
      <c r="K77" s="723"/>
      <c r="L77" s="796"/>
      <c r="M77" s="587" t="str">
        <f t="shared" ca="1" si="0"/>
        <v xml:space="preserve"> </v>
      </c>
    </row>
    <row r="78" spans="4:13" x14ac:dyDescent="0.25">
      <c r="I78" s="271" t="s">
        <v>1973</v>
      </c>
      <c r="J78" s="723"/>
      <c r="K78" s="723"/>
      <c r="L78" s="797">
        <f>1.25*6000</f>
        <v>7500</v>
      </c>
      <c r="M78" s="724" t="str">
        <f t="shared" ca="1" si="0"/>
        <v>=1.25*6000</v>
      </c>
    </row>
    <row r="79" spans="4:13" x14ac:dyDescent="0.25">
      <c r="I79" s="271" t="s">
        <v>1537</v>
      </c>
      <c r="J79" s="723"/>
      <c r="K79" s="723"/>
      <c r="L79" s="797"/>
      <c r="M79" s="724" t="str">
        <f t="shared" ca="1" si="0"/>
        <v xml:space="preserve"> </v>
      </c>
    </row>
    <row r="80" spans="4:13" ht="15.75" thickBot="1" x14ac:dyDescent="0.3">
      <c r="I80" s="271" t="s">
        <v>1306</v>
      </c>
      <c r="J80" s="723"/>
      <c r="K80" s="723"/>
      <c r="L80" s="801">
        <f>SUM(L78:L79)</f>
        <v>7500</v>
      </c>
      <c r="M80" s="724"/>
    </row>
    <row r="81" spans="9:14" ht="15.75" thickTop="1" x14ac:dyDescent="0.25">
      <c r="I81" s="723"/>
      <c r="J81" s="723"/>
      <c r="K81" s="723"/>
      <c r="L81" s="796"/>
      <c r="M81" s="724" t="str">
        <f ca="1">IFERROR(_xlfn.FORMULATEXT(#REF!)," ")</f>
        <v xml:space="preserve"> </v>
      </c>
    </row>
    <row r="82" spans="9:14" x14ac:dyDescent="0.25">
      <c r="I82" s="270" t="s">
        <v>1309</v>
      </c>
      <c r="J82" s="723"/>
      <c r="K82" s="723"/>
      <c r="L82" s="796"/>
    </row>
    <row r="83" spans="9:14" x14ac:dyDescent="0.25">
      <c r="I83" s="271" t="s">
        <v>1310</v>
      </c>
      <c r="J83" s="723"/>
      <c r="K83" s="723"/>
      <c r="L83" s="797"/>
      <c r="M83" s="587" t="str">
        <f ca="1">IFERROR(_xlfn.FORMULATEXT(L81)," ")</f>
        <v xml:space="preserve"> </v>
      </c>
    </row>
    <row r="84" spans="9:14" x14ac:dyDescent="0.25">
      <c r="I84" s="271" t="s">
        <v>1878</v>
      </c>
      <c r="J84" s="271"/>
      <c r="K84" s="271"/>
      <c r="L84" s="797"/>
      <c r="M84" s="587" t="str">
        <f ca="1">IFERROR(_xlfn.FORMULATEXT(L82)," ")</f>
        <v xml:space="preserve"> </v>
      </c>
    </row>
    <row r="85" spans="9:14" x14ac:dyDescent="0.25">
      <c r="I85" s="271" t="s">
        <v>1974</v>
      </c>
      <c r="J85" s="271"/>
      <c r="K85" s="271"/>
      <c r="L85" s="797"/>
    </row>
    <row r="86" spans="9:14" x14ac:dyDescent="0.25">
      <c r="I86" s="271" t="s">
        <v>1311</v>
      </c>
      <c r="J86" s="723"/>
      <c r="K86" s="723"/>
      <c r="L86" s="797"/>
      <c r="M86" s="587" t="str">
        <f ca="1">IFERROR(_xlfn.FORMULATEXT(L83)," ")</f>
        <v xml:space="preserve"> </v>
      </c>
    </row>
    <row r="87" spans="9:14" ht="15.75" thickBot="1" x14ac:dyDescent="0.3">
      <c r="I87" s="271" t="s">
        <v>1312</v>
      </c>
      <c r="J87" s="723"/>
      <c r="K87" s="723"/>
      <c r="L87" s="794">
        <f>L86-L83+L84</f>
        <v>0</v>
      </c>
      <c r="M87" s="587" t="str">
        <f ca="1">IFERROR(_xlfn.FORMULATEXT(L86)," ")</f>
        <v xml:space="preserve"> </v>
      </c>
    </row>
    <row r="88" spans="9:14" ht="15.75" thickTop="1" x14ac:dyDescent="0.25">
      <c r="I88" s="723"/>
      <c r="J88" s="723"/>
      <c r="K88" s="723"/>
      <c r="L88" s="796"/>
    </row>
    <row r="89" spans="9:14" x14ac:dyDescent="0.25">
      <c r="I89" s="835" t="s">
        <v>1147</v>
      </c>
      <c r="J89" s="723"/>
      <c r="K89" s="723"/>
      <c r="L89" s="796"/>
      <c r="M89" s="587" t="str">
        <f ca="1">IFERROR(_xlfn.FORMULATEXT(L88)," ")</f>
        <v xml:space="preserve"> </v>
      </c>
    </row>
    <row r="90" spans="9:14" x14ac:dyDescent="0.25">
      <c r="I90" s="836" t="s">
        <v>1435</v>
      </c>
      <c r="J90" s="723"/>
      <c r="K90" s="723"/>
      <c r="L90" s="800"/>
      <c r="M90" s="587" t="str">
        <f ca="1">IFERROR(_xlfn.FORMULATEXT(L89)," ")</f>
        <v xml:space="preserve"> </v>
      </c>
    </row>
    <row r="91" spans="9:14" x14ac:dyDescent="0.25">
      <c r="I91" s="836" t="s">
        <v>1436</v>
      </c>
      <c r="J91" s="723"/>
      <c r="K91" s="723"/>
      <c r="L91" s="800"/>
      <c r="M91" s="587" t="str">
        <f ca="1">IFERROR(_xlfn.FORMULATEXT(#REF!)," ")</f>
        <v xml:space="preserve"> </v>
      </c>
    </row>
    <row r="92" spans="9:14" x14ac:dyDescent="0.25">
      <c r="I92" s="836"/>
      <c r="J92" s="723"/>
      <c r="K92" s="723"/>
      <c r="L92" s="803">
        <f>SUM(L90:L91)</f>
        <v>0</v>
      </c>
      <c r="M92" s="587" t="str">
        <f ca="1">IFERROR(_xlfn.FORMULATEXT(L90)," ")</f>
        <v xml:space="preserve"> </v>
      </c>
    </row>
    <row r="93" spans="9:14" x14ac:dyDescent="0.25">
      <c r="I93" s="836" t="s">
        <v>1437</v>
      </c>
      <c r="J93" s="723"/>
      <c r="K93" s="723"/>
      <c r="L93" s="800"/>
    </row>
    <row r="94" spans="9:14" ht="15.75" thickBot="1" x14ac:dyDescent="0.3">
      <c r="I94" s="836" t="s">
        <v>1147</v>
      </c>
      <c r="J94" s="723"/>
      <c r="K94" s="723"/>
      <c r="L94" s="804">
        <f>L93-L92</f>
        <v>0</v>
      </c>
      <c r="M94" s="587" t="str">
        <f ca="1">IFERROR(_xlfn.FORMULATEXT(L93)," ")</f>
        <v xml:space="preserve"> </v>
      </c>
    </row>
    <row r="95" spans="9:14" ht="15.75" thickTop="1" x14ac:dyDescent="0.25">
      <c r="I95" s="836"/>
      <c r="J95" s="723"/>
      <c r="K95" s="723"/>
      <c r="L95" s="832"/>
      <c r="N95" s="644" t="s">
        <v>1800</v>
      </c>
    </row>
    <row r="96" spans="9:14" x14ac:dyDescent="0.25">
      <c r="I96" s="835" t="s">
        <v>1148</v>
      </c>
      <c r="J96" s="723"/>
      <c r="K96" s="723"/>
      <c r="L96" s="796"/>
      <c r="M96" s="587" t="str">
        <f ca="1">IFERROR(_xlfn.FORMULATEXT(L105)," ")</f>
        <v xml:space="preserve"> </v>
      </c>
    </row>
    <row r="97" spans="9:14" x14ac:dyDescent="0.25">
      <c r="I97" s="836" t="s">
        <v>1435</v>
      </c>
      <c r="J97" s="723"/>
      <c r="K97" s="723"/>
      <c r="L97" s="800"/>
      <c r="M97" s="587" t="str">
        <f ca="1">IFERROR(_xlfn.FORMULATEXT(L106)," ")</f>
        <v xml:space="preserve"> </v>
      </c>
    </row>
    <row r="98" spans="9:14" x14ac:dyDescent="0.25">
      <c r="I98" s="836" t="s">
        <v>1971</v>
      </c>
      <c r="J98" s="723"/>
      <c r="K98" s="723"/>
      <c r="L98" s="833"/>
      <c r="M98" s="587" t="str">
        <f ca="1">IFERROR(_xlfn.FORMULATEXT(L107)," ")</f>
        <v xml:space="preserve"> </v>
      </c>
    </row>
    <row r="99" spans="9:14" x14ac:dyDescent="0.25">
      <c r="I99" s="836"/>
      <c r="J99" s="723"/>
      <c r="K99" s="723"/>
      <c r="L99" s="832">
        <f>SUM(L97:L98)</f>
        <v>0</v>
      </c>
      <c r="M99" s="587" t="str">
        <f ca="1">IFERROR(_xlfn.FORMULATEXT(L108)," ")</f>
        <v xml:space="preserve"> </v>
      </c>
      <c r="N99" s="644" t="s">
        <v>1510</v>
      </c>
    </row>
    <row r="100" spans="9:14" x14ac:dyDescent="0.25">
      <c r="I100" s="836" t="s">
        <v>1437</v>
      </c>
      <c r="J100" s="723"/>
      <c r="K100" s="723"/>
      <c r="L100" s="834"/>
      <c r="M100" s="587" t="str">
        <f ca="1">IFERROR(_xlfn.FORMULATEXT(L109)," ")</f>
        <v xml:space="preserve"> </v>
      </c>
      <c r="N100" s="644" t="s">
        <v>1854</v>
      </c>
    </row>
    <row r="101" spans="9:14" x14ac:dyDescent="0.25">
      <c r="I101" s="836" t="s">
        <v>1442</v>
      </c>
      <c r="J101" s="723"/>
      <c r="K101" s="723"/>
      <c r="L101" s="800">
        <f>+L99-L100</f>
        <v>0</v>
      </c>
    </row>
    <row r="102" spans="9:14" x14ac:dyDescent="0.25">
      <c r="I102" s="836" t="s">
        <v>1443</v>
      </c>
      <c r="J102" s="723"/>
      <c r="K102" s="723"/>
      <c r="L102" s="800">
        <v>0</v>
      </c>
      <c r="M102" s="587" t="str">
        <f ca="1">IFERROR(_xlfn.FORMULATEXT(L111)," ")</f>
        <v xml:space="preserve"> </v>
      </c>
    </row>
    <row r="103" spans="9:14" ht="15.75" thickBot="1" x14ac:dyDescent="0.3">
      <c r="I103" s="836" t="s">
        <v>1148</v>
      </c>
      <c r="J103" s="723"/>
      <c r="K103" s="723"/>
      <c r="L103" s="804">
        <f>+L101+L102</f>
        <v>0</v>
      </c>
    </row>
    <row r="104" spans="9:14" ht="15.75" thickTop="1" x14ac:dyDescent="0.25">
      <c r="I104" s="723"/>
      <c r="J104" s="723"/>
      <c r="K104" s="723"/>
      <c r="L104" s="832"/>
    </row>
    <row r="105" spans="9:14" x14ac:dyDescent="0.25">
      <c r="I105" s="723"/>
      <c r="J105" s="723"/>
      <c r="K105" s="723"/>
      <c r="L105" s="796"/>
    </row>
    <row r="106" spans="9:14" x14ac:dyDescent="0.25">
      <c r="I106" s="723"/>
      <c r="J106" s="723"/>
      <c r="K106" s="723"/>
      <c r="L106" s="796"/>
    </row>
    <row r="107" spans="9:14" x14ac:dyDescent="0.25">
      <c r="I107" s="270" t="s">
        <v>1438</v>
      </c>
      <c r="J107" s="723"/>
      <c r="K107" s="723"/>
      <c r="L107" s="796"/>
    </row>
    <row r="108" spans="9:14" x14ac:dyDescent="0.25">
      <c r="I108" s="723" t="s">
        <v>1439</v>
      </c>
      <c r="J108" s="723"/>
      <c r="K108" s="723"/>
      <c r="L108" s="788"/>
    </row>
    <row r="109" spans="9:14" x14ac:dyDescent="0.25">
      <c r="I109" s="723" t="s">
        <v>1509</v>
      </c>
      <c r="J109" s="723"/>
      <c r="K109" s="723"/>
      <c r="L109" s="797"/>
    </row>
    <row r="110" spans="9:14" x14ac:dyDescent="0.25">
      <c r="I110" s="723"/>
      <c r="J110" s="723"/>
      <c r="K110" s="723"/>
      <c r="L110" s="805">
        <f>SUM(L108:L109)</f>
        <v>0</v>
      </c>
    </row>
    <row r="111" spans="9:14" x14ac:dyDescent="0.25">
      <c r="I111" s="723" t="s">
        <v>1440</v>
      </c>
      <c r="J111" s="723"/>
      <c r="K111" s="723"/>
      <c r="L111" s="788"/>
    </row>
    <row r="112" spans="9:14" ht="15.75" thickBot="1" x14ac:dyDescent="0.3">
      <c r="I112" s="723" t="s">
        <v>1438</v>
      </c>
      <c r="J112" s="723"/>
      <c r="K112" s="723"/>
      <c r="L112" s="806">
        <f>L110-L111</f>
        <v>0</v>
      </c>
    </row>
    <row r="113" spans="9:12" ht="15.75" thickTop="1" x14ac:dyDescent="0.25">
      <c r="I113" s="723"/>
      <c r="J113" s="723"/>
      <c r="K113" s="723"/>
      <c r="L113" s="796"/>
    </row>
    <row r="114" spans="9:12" x14ac:dyDescent="0.25">
      <c r="I114" s="723"/>
      <c r="J114" s="723"/>
      <c r="K114" s="723"/>
      <c r="L114" s="796"/>
    </row>
    <row r="115" spans="9:12" x14ac:dyDescent="0.25">
      <c r="I115" s="270" t="s">
        <v>1511</v>
      </c>
      <c r="J115" s="723"/>
      <c r="K115" s="723"/>
      <c r="L115" s="796"/>
    </row>
    <row r="116" spans="9:12" x14ac:dyDescent="0.25">
      <c r="I116" s="723" t="s">
        <v>1512</v>
      </c>
      <c r="J116" s="723"/>
      <c r="K116" s="723"/>
      <c r="L116" s="797">
        <v>0</v>
      </c>
    </row>
    <row r="117" spans="9:12" x14ac:dyDescent="0.25">
      <c r="I117" s="723" t="s">
        <v>1513</v>
      </c>
      <c r="J117" s="723"/>
      <c r="K117" s="723"/>
      <c r="L117" s="797">
        <v>55</v>
      </c>
    </row>
    <row r="118" spans="9:12" x14ac:dyDescent="0.25">
      <c r="I118" s="723"/>
      <c r="J118" s="723"/>
      <c r="K118" s="723"/>
      <c r="L118" s="805">
        <f>L116+L117</f>
        <v>55</v>
      </c>
    </row>
    <row r="119" spans="9:12" x14ac:dyDescent="0.25">
      <c r="I119" s="723" t="s">
        <v>1514</v>
      </c>
      <c r="J119" s="723"/>
      <c r="K119" s="723"/>
      <c r="L119" s="797">
        <v>55</v>
      </c>
    </row>
    <row r="120" spans="9:12" ht="15.75" thickBot="1" x14ac:dyDescent="0.3">
      <c r="I120" s="723" t="s">
        <v>1144</v>
      </c>
      <c r="J120" s="723"/>
      <c r="K120" s="723"/>
      <c r="L120" s="806">
        <f>L118-L119</f>
        <v>0</v>
      </c>
    </row>
    <row r="121" spans="9:12" ht="15.75" thickTop="1" x14ac:dyDescent="0.25">
      <c r="I121" s="723"/>
      <c r="J121" s="723"/>
      <c r="K121" s="723"/>
      <c r="L121" s="796"/>
    </row>
    <row r="122" spans="9:12" x14ac:dyDescent="0.25">
      <c r="I122" s="270" t="s">
        <v>1844</v>
      </c>
      <c r="J122" s="271"/>
      <c r="K122" s="271"/>
      <c r="L122" s="790"/>
    </row>
    <row r="123" spans="9:12" x14ac:dyDescent="0.25">
      <c r="I123" s="271" t="s">
        <v>622</v>
      </c>
      <c r="J123" s="271"/>
      <c r="K123" s="271"/>
      <c r="L123" s="788"/>
    </row>
    <row r="124" spans="9:12" x14ac:dyDescent="0.25">
      <c r="I124" s="271" t="s">
        <v>623</v>
      </c>
      <c r="J124" s="271"/>
      <c r="K124" s="271"/>
      <c r="L124" s="788"/>
    </row>
    <row r="125" spans="9:12" x14ac:dyDescent="0.25">
      <c r="I125" s="271" t="s">
        <v>1845</v>
      </c>
      <c r="J125" s="271"/>
      <c r="K125" s="271"/>
      <c r="L125" s="788"/>
    </row>
    <row r="126" spans="9:12" x14ac:dyDescent="0.25">
      <c r="I126" s="271" t="s">
        <v>1251</v>
      </c>
      <c r="J126" s="271"/>
      <c r="K126" s="271"/>
      <c r="L126" s="788"/>
    </row>
    <row r="127" spans="9:12" x14ac:dyDescent="0.25">
      <c r="I127" s="271"/>
      <c r="J127" s="271"/>
      <c r="K127" s="271"/>
      <c r="L127" s="791">
        <f>L123-L125+L124-L126</f>
        <v>0</v>
      </c>
    </row>
    <row r="128" spans="9:12" x14ac:dyDescent="0.25">
      <c r="I128" s="271" t="s">
        <v>624</v>
      </c>
      <c r="J128" s="271"/>
      <c r="K128" s="271"/>
      <c r="L128" s="788">
        <f>'Adjustments for cash flow'!L16</f>
        <v>0</v>
      </c>
    </row>
    <row r="129" spans="9:12" ht="15.75" thickBot="1" x14ac:dyDescent="0.3">
      <c r="I129" s="271" t="s">
        <v>621</v>
      </c>
      <c r="J129" s="271"/>
      <c r="K129" s="271"/>
      <c r="L129" s="794">
        <f>L128-L127</f>
        <v>0</v>
      </c>
    </row>
    <row r="130" spans="9:12" ht="15.75" thickTop="1" x14ac:dyDescent="0.25"/>
  </sheetData>
  <mergeCells count="1">
    <mergeCell ref="C2:C4"/>
  </mergeCells>
  <conditionalFormatting sqref="D57">
    <cfRule type="cellIs" dxfId="1" priority="1" operator="lessThan">
      <formula>0</formula>
    </cfRule>
    <cfRule type="cellIs" dxfId="0" priority="2" operator="greaterThan">
      <formula>0</formula>
    </cfRule>
  </conditionalFormatting>
  <hyperlinks>
    <hyperlink ref="A1" location="Main!A1" display="Main" xr:uid="{A3F4BE24-6B92-4F5B-B3DA-D713411F83C8}"/>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1:L59"/>
  <sheetViews>
    <sheetView zoomScaleNormal="100" workbookViewId="0">
      <selection activeCell="H38" sqref="H38"/>
    </sheetView>
  </sheetViews>
  <sheetFormatPr defaultRowHeight="15" x14ac:dyDescent="0.25"/>
  <cols>
    <col min="2" max="2" width="15.42578125" customWidth="1"/>
    <col min="3" max="3" width="12.85546875" customWidth="1"/>
    <col min="4" max="4" width="12.7109375" customWidth="1"/>
    <col min="5" max="5" width="12.5703125" bestFit="1" customWidth="1"/>
    <col min="7" max="7" width="12.140625" customWidth="1"/>
    <col min="8" max="8" width="12.5703125" customWidth="1"/>
  </cols>
  <sheetData>
    <row r="1" spans="1:7" x14ac:dyDescent="0.25">
      <c r="A1" s="161" t="s">
        <v>1984</v>
      </c>
    </row>
    <row r="2" spans="1:7" x14ac:dyDescent="0.25">
      <c r="G2" s="418" t="s">
        <v>1569</v>
      </c>
    </row>
    <row r="3" spans="1:7" x14ac:dyDescent="0.25">
      <c r="B3" t="s">
        <v>658</v>
      </c>
      <c r="E3" s="788">
        <v>15000</v>
      </c>
      <c r="G3" s="418" t="s">
        <v>1567</v>
      </c>
    </row>
    <row r="4" spans="1:7" x14ac:dyDescent="0.25">
      <c r="B4" t="s">
        <v>660</v>
      </c>
      <c r="E4" s="788">
        <v>8000</v>
      </c>
      <c r="G4" s="418" t="s">
        <v>1629</v>
      </c>
    </row>
    <row r="5" spans="1:7" x14ac:dyDescent="0.25">
      <c r="B5" t="s">
        <v>661</v>
      </c>
      <c r="E5" s="788"/>
      <c r="G5" s="418" t="s">
        <v>1639</v>
      </c>
    </row>
    <row r="6" spans="1:7" x14ac:dyDescent="0.25">
      <c r="B6" t="s">
        <v>497</v>
      </c>
      <c r="E6" s="788">
        <v>13175</v>
      </c>
      <c r="G6" s="418" t="s">
        <v>1630</v>
      </c>
    </row>
    <row r="7" spans="1:7" x14ac:dyDescent="0.25">
      <c r="B7" t="s">
        <v>1256</v>
      </c>
      <c r="E7" s="788">
        <v>2500</v>
      </c>
      <c r="G7" s="418" t="s">
        <v>1631</v>
      </c>
    </row>
    <row r="8" spans="1:7" x14ac:dyDescent="0.25">
      <c r="E8" s="831">
        <f>SUM(E3:E7)</f>
        <v>38675</v>
      </c>
      <c r="G8" s="418" t="s">
        <v>1568</v>
      </c>
    </row>
    <row r="9" spans="1:7" x14ac:dyDescent="0.25">
      <c r="E9" s="802"/>
    </row>
    <row r="10" spans="1:7" x14ac:dyDescent="0.25">
      <c r="B10" t="s">
        <v>1228</v>
      </c>
      <c r="E10" s="786" t="s">
        <v>146</v>
      </c>
    </row>
    <row r="11" spans="1:7" x14ac:dyDescent="0.25">
      <c r="E11" s="802"/>
    </row>
    <row r="12" spans="1:7" x14ac:dyDescent="0.25">
      <c r="B12" t="s">
        <v>1229</v>
      </c>
      <c r="E12" s="802"/>
    </row>
    <row r="13" spans="1:7" x14ac:dyDescent="0.25">
      <c r="B13" t="s">
        <v>1244</v>
      </c>
      <c r="E13" s="788"/>
      <c r="G13" s="418" t="s">
        <v>1257</v>
      </c>
    </row>
    <row r="14" spans="1:7" x14ac:dyDescent="0.25">
      <c r="B14" t="s">
        <v>1246</v>
      </c>
      <c r="E14" s="788">
        <v>-2625</v>
      </c>
    </row>
    <row r="15" spans="1:7" x14ac:dyDescent="0.25">
      <c r="B15" t="s">
        <v>1230</v>
      </c>
      <c r="E15" s="788">
        <v>0</v>
      </c>
      <c r="G15" s="418" t="s">
        <v>1239</v>
      </c>
    </row>
    <row r="16" spans="1:7" x14ac:dyDescent="0.25">
      <c r="B16" t="s">
        <v>22</v>
      </c>
      <c r="E16" s="788"/>
      <c r="G16" s="418" t="s">
        <v>1239</v>
      </c>
    </row>
    <row r="17" spans="2:12" x14ac:dyDescent="0.25">
      <c r="B17" t="s">
        <v>1245</v>
      </c>
      <c r="E17" s="788">
        <v>300</v>
      </c>
      <c r="G17" s="418" t="s">
        <v>1632</v>
      </c>
    </row>
    <row r="18" spans="2:12" x14ac:dyDescent="0.25">
      <c r="B18" t="s">
        <v>1633</v>
      </c>
      <c r="E18" s="788">
        <v>120</v>
      </c>
      <c r="G18" s="418" t="s">
        <v>1634</v>
      </c>
    </row>
    <row r="19" spans="2:12" x14ac:dyDescent="0.25">
      <c r="B19" t="s">
        <v>1261</v>
      </c>
      <c r="E19" s="788"/>
      <c r="G19" s="418" t="s">
        <v>1636</v>
      </c>
    </row>
    <row r="20" spans="2:12" x14ac:dyDescent="0.25">
      <c r="B20" t="s">
        <v>1231</v>
      </c>
      <c r="E20" s="788">
        <v>85</v>
      </c>
      <c r="G20" s="418"/>
    </row>
    <row r="21" spans="2:12" x14ac:dyDescent="0.25">
      <c r="B21" t="s">
        <v>1232</v>
      </c>
      <c r="E21" s="788"/>
      <c r="G21" s="418" t="s">
        <v>1247</v>
      </c>
      <c r="H21" t="s">
        <v>1258</v>
      </c>
    </row>
    <row r="22" spans="2:12" x14ac:dyDescent="0.25">
      <c r="B22" t="s">
        <v>1233</v>
      </c>
      <c r="E22" s="802">
        <f>SUM(E13:E21)</f>
        <v>-2120</v>
      </c>
      <c r="H22" t="s">
        <v>1259</v>
      </c>
    </row>
    <row r="23" spans="2:12" x14ac:dyDescent="0.25">
      <c r="E23" s="802"/>
      <c r="H23" t="s">
        <v>1260</v>
      </c>
    </row>
    <row r="24" spans="2:12" x14ac:dyDescent="0.25">
      <c r="B24" t="s">
        <v>1234</v>
      </c>
      <c r="E24" s="788">
        <f>+E6</f>
        <v>13175</v>
      </c>
    </row>
    <row r="25" spans="2:12" x14ac:dyDescent="0.25">
      <c r="B25" t="s">
        <v>1235</v>
      </c>
      <c r="E25" s="846">
        <f>E14</f>
        <v>-2625</v>
      </c>
      <c r="H25" t="s">
        <v>1262</v>
      </c>
    </row>
    <row r="26" spans="2:12" x14ac:dyDescent="0.25">
      <c r="B26" t="s">
        <v>1236</v>
      </c>
      <c r="E26" s="846">
        <f>E15</f>
        <v>0</v>
      </c>
      <c r="G26" s="418" t="s">
        <v>1239</v>
      </c>
      <c r="H26" t="s">
        <v>1263</v>
      </c>
    </row>
    <row r="27" spans="2:12" x14ac:dyDescent="0.25">
      <c r="B27" t="s">
        <v>22</v>
      </c>
      <c r="E27" s="846">
        <f>E16</f>
        <v>0</v>
      </c>
      <c r="H27" t="s">
        <v>1635</v>
      </c>
    </row>
    <row r="28" spans="2:12" x14ac:dyDescent="0.25">
      <c r="B28" t="s">
        <v>1237</v>
      </c>
      <c r="E28" s="786"/>
      <c r="H28" t="s">
        <v>1264</v>
      </c>
    </row>
    <row r="29" spans="2:12" x14ac:dyDescent="0.25">
      <c r="B29" s="1" t="s">
        <v>1238</v>
      </c>
      <c r="E29" s="831">
        <f>SUM(E24:E28)</f>
        <v>10550</v>
      </c>
    </row>
    <row r="30" spans="2:12" x14ac:dyDescent="0.25">
      <c r="E30" s="802"/>
      <c r="H30" s="418" t="s">
        <v>1636</v>
      </c>
    </row>
    <row r="31" spans="2:12" x14ac:dyDescent="0.25">
      <c r="B31" t="s">
        <v>1240</v>
      </c>
      <c r="E31" s="802"/>
      <c r="H31" t="s">
        <v>1563</v>
      </c>
      <c r="L31" s="3"/>
    </row>
    <row r="32" spans="2:12" x14ac:dyDescent="0.25">
      <c r="B32" t="s">
        <v>1241</v>
      </c>
      <c r="E32" s="786">
        <f>E22</f>
        <v>-2120</v>
      </c>
      <c r="H32" t="s">
        <v>1564</v>
      </c>
      <c r="L32" s="3"/>
    </row>
    <row r="33" spans="2:12" x14ac:dyDescent="0.25">
      <c r="B33" t="s">
        <v>1242</v>
      </c>
      <c r="E33" s="786">
        <f>E34-E32</f>
        <v>12670</v>
      </c>
      <c r="H33" t="s">
        <v>1565</v>
      </c>
      <c r="L33">
        <f>L31-L32</f>
        <v>0</v>
      </c>
    </row>
    <row r="34" spans="2:12" ht="15.75" thickBot="1" x14ac:dyDescent="0.3">
      <c r="B34" t="s">
        <v>1243</v>
      </c>
      <c r="E34" s="801">
        <f>E29</f>
        <v>10550</v>
      </c>
    </row>
    <row r="35" spans="2:12" ht="15.75" thickTop="1" x14ac:dyDescent="0.25"/>
    <row r="37" spans="2:12" x14ac:dyDescent="0.25">
      <c r="H37" s="1" t="s">
        <v>1628</v>
      </c>
    </row>
    <row r="38" spans="2:12" x14ac:dyDescent="0.25">
      <c r="H38" t="s">
        <v>1637</v>
      </c>
    </row>
    <row r="39" spans="2:12" x14ac:dyDescent="0.25">
      <c r="H39" t="s">
        <v>1638</v>
      </c>
    </row>
    <row r="59" spans="7:7" x14ac:dyDescent="0.25">
      <c r="G59" s="628"/>
    </row>
  </sheetData>
  <hyperlinks>
    <hyperlink ref="A1" location="Main!A1" display="Main" xr:uid="{567596BC-D44F-4B9A-9148-6CC8395A671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E10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A1:V91"/>
  <sheetViews>
    <sheetView workbookViewId="0"/>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1:22" ht="15.75" thickBot="1" x14ac:dyDescent="0.3">
      <c r="A1" s="161" t="s">
        <v>1984</v>
      </c>
    </row>
    <row r="2" spans="1:22" x14ac:dyDescent="0.25">
      <c r="B2" s="73" t="s">
        <v>1073</v>
      </c>
      <c r="C2" s="61"/>
      <c r="D2" s="61"/>
      <c r="E2" s="543" t="s">
        <v>1022</v>
      </c>
      <c r="F2" s="544" t="s">
        <v>1023</v>
      </c>
      <c r="G2" s="2"/>
      <c r="H2" s="180" t="s">
        <v>1074</v>
      </c>
      <c r="I2" s="2"/>
      <c r="J2" s="2"/>
      <c r="K2" s="2"/>
      <c r="L2" s="2"/>
      <c r="O2" s="1" t="s">
        <v>1075</v>
      </c>
      <c r="T2" s="1" t="s">
        <v>1076</v>
      </c>
    </row>
    <row r="3" spans="1:22" x14ac:dyDescent="0.25">
      <c r="B3" s="63" t="s">
        <v>1021</v>
      </c>
      <c r="E3" s="765">
        <v>25231</v>
      </c>
      <c r="F3" s="765">
        <v>29700</v>
      </c>
      <c r="G3" s="87"/>
      <c r="H3" s="87" t="s">
        <v>1077</v>
      </c>
      <c r="I3" s="87"/>
      <c r="J3" s="87"/>
      <c r="K3" s="35">
        <v>0.03</v>
      </c>
      <c r="L3" s="87"/>
      <c r="O3" t="s">
        <v>1078</v>
      </c>
      <c r="R3" s="3">
        <f>2337+R5</f>
        <v>3306</v>
      </c>
      <c r="T3" t="s">
        <v>1079</v>
      </c>
      <c r="U3" s="3"/>
    </row>
    <row r="4" spans="1:22" x14ac:dyDescent="0.25">
      <c r="B4" s="63" t="s">
        <v>1028</v>
      </c>
      <c r="E4" s="765">
        <v>24632</v>
      </c>
      <c r="F4" s="765">
        <v>25200</v>
      </c>
      <c r="G4" s="87"/>
      <c r="H4" s="87" t="s">
        <v>1080</v>
      </c>
      <c r="I4" s="87"/>
      <c r="J4" s="87"/>
      <c r="K4" s="35">
        <v>0.1</v>
      </c>
      <c r="L4" s="87"/>
      <c r="O4" t="s">
        <v>1081</v>
      </c>
      <c r="R4" s="3">
        <v>439</v>
      </c>
      <c r="T4" t="s">
        <v>1082</v>
      </c>
      <c r="U4" s="545"/>
    </row>
    <row r="5" spans="1:22" x14ac:dyDescent="0.25">
      <c r="B5" s="63" t="s">
        <v>1024</v>
      </c>
      <c r="E5" s="757">
        <f>E3-E4</f>
        <v>599</v>
      </c>
      <c r="F5" s="766">
        <f>F3-F4</f>
        <v>4500</v>
      </c>
      <c r="H5" t="s">
        <v>1083</v>
      </c>
      <c r="K5" s="14">
        <v>16000</v>
      </c>
      <c r="L5" t="s">
        <v>1084</v>
      </c>
      <c r="O5" t="s">
        <v>1085</v>
      </c>
      <c r="R5" s="3">
        <v>969</v>
      </c>
      <c r="U5">
        <f>U3*U4</f>
        <v>0</v>
      </c>
    </row>
    <row r="6" spans="1:22" x14ac:dyDescent="0.25">
      <c r="B6" s="63"/>
      <c r="F6" s="66"/>
      <c r="O6" t="s">
        <v>1086</v>
      </c>
      <c r="R6" s="3"/>
      <c r="T6" t="s">
        <v>1087</v>
      </c>
      <c r="U6" s="195">
        <f>U5*0.138</f>
        <v>0</v>
      </c>
    </row>
    <row r="7" spans="1:22" x14ac:dyDescent="0.25">
      <c r="B7" s="63" t="s">
        <v>1042</v>
      </c>
      <c r="F7" s="546">
        <v>4.8000000000000001E-2</v>
      </c>
      <c r="G7" s="547"/>
      <c r="H7" s="548" t="s">
        <v>1088</v>
      </c>
      <c r="I7" s="547"/>
      <c r="J7" s="547"/>
      <c r="K7" s="549">
        <f>K3*K5</f>
        <v>480</v>
      </c>
      <c r="L7" s="550" t="s">
        <v>1089</v>
      </c>
      <c r="O7" t="s">
        <v>1090</v>
      </c>
      <c r="R7" s="194">
        <v>174</v>
      </c>
    </row>
    <row r="8" spans="1:22" x14ac:dyDescent="0.25">
      <c r="B8" s="63" t="s">
        <v>1091</v>
      </c>
      <c r="E8" s="649" t="str">
        <f ca="1">IFERROR(_xlfn.FORMULATEXT(F8)," ")</f>
        <v xml:space="preserve"> </v>
      </c>
      <c r="F8" s="763">
        <v>0</v>
      </c>
      <c r="G8" s="664"/>
      <c r="H8" s="551" t="s">
        <v>1092</v>
      </c>
      <c r="I8" s="87"/>
      <c r="J8" s="87"/>
      <c r="K8" s="87">
        <f>K4*K5</f>
        <v>1600</v>
      </c>
      <c r="L8" s="552"/>
    </row>
    <row r="9" spans="1:22" x14ac:dyDescent="0.25">
      <c r="B9" s="63" t="s">
        <v>1026</v>
      </c>
      <c r="F9" s="763">
        <v>0</v>
      </c>
      <c r="G9" s="87"/>
      <c r="H9" s="553"/>
      <c r="I9" s="87"/>
      <c r="J9" s="87"/>
      <c r="K9" s="87"/>
      <c r="L9" s="552"/>
      <c r="O9" t="s">
        <v>1093</v>
      </c>
    </row>
    <row r="10" spans="1:22" x14ac:dyDescent="0.25">
      <c r="B10" s="63" t="s">
        <v>1094</v>
      </c>
      <c r="F10" s="763">
        <v>4100</v>
      </c>
      <c r="H10" s="87" t="s">
        <v>1095</v>
      </c>
      <c r="I10" s="87"/>
      <c r="J10" s="87"/>
      <c r="K10" s="14"/>
      <c r="L10" s="552"/>
    </row>
    <row r="11" spans="1:22" x14ac:dyDescent="0.25">
      <c r="B11" s="63" t="s">
        <v>1096</v>
      </c>
      <c r="F11" s="763">
        <v>4300</v>
      </c>
      <c r="H11" s="87"/>
      <c r="I11" s="87"/>
      <c r="J11" s="87"/>
      <c r="K11" s="14"/>
      <c r="L11" s="552"/>
      <c r="Q11" s="15" t="s">
        <v>141</v>
      </c>
      <c r="R11" s="15" t="s">
        <v>141</v>
      </c>
      <c r="T11" s="15"/>
      <c r="U11" s="15" t="s">
        <v>141</v>
      </c>
      <c r="V11" s="15" t="s">
        <v>141</v>
      </c>
    </row>
    <row r="12" spans="1:22" x14ac:dyDescent="0.25">
      <c r="B12" s="63" t="s">
        <v>1027</v>
      </c>
      <c r="F12" s="763">
        <v>0</v>
      </c>
      <c r="G12" s="87"/>
      <c r="O12" t="s">
        <v>1097</v>
      </c>
      <c r="Q12" s="11">
        <f>R3+R4</f>
        <v>3745</v>
      </c>
      <c r="T12" t="s">
        <v>1098</v>
      </c>
      <c r="U12" s="195">
        <f>U5+U6</f>
        <v>0</v>
      </c>
    </row>
    <row r="13" spans="1:22" x14ac:dyDescent="0.25">
      <c r="B13" s="63" t="s">
        <v>1099</v>
      </c>
      <c r="F13" s="763"/>
      <c r="O13" t="s">
        <v>1100</v>
      </c>
      <c r="R13" s="195">
        <f>R7</f>
        <v>174</v>
      </c>
      <c r="T13" t="s">
        <v>1101</v>
      </c>
      <c r="V13" s="195">
        <f>U6+U5</f>
        <v>0</v>
      </c>
    </row>
    <row r="14" spans="1:22" x14ac:dyDescent="0.25">
      <c r="B14" s="63" t="s">
        <v>1102</v>
      </c>
      <c r="F14" s="763"/>
      <c r="H14" s="15"/>
      <c r="I14" s="15"/>
      <c r="J14" s="15" t="s">
        <v>141</v>
      </c>
      <c r="K14" s="15" t="s">
        <v>141</v>
      </c>
      <c r="L14" s="15"/>
      <c r="O14" t="s">
        <v>390</v>
      </c>
      <c r="R14" s="11">
        <f>R3+R4-R7</f>
        <v>3571</v>
      </c>
    </row>
    <row r="15" spans="1:22" ht="15.75" thickBot="1" x14ac:dyDescent="0.3">
      <c r="B15" s="70" t="s">
        <v>1103</v>
      </c>
      <c r="C15" s="71"/>
      <c r="D15" s="554" t="str">
        <f>"= "&amp;F14&amp;"-"&amp;F13</f>
        <v>= -</v>
      </c>
      <c r="E15" s="71"/>
      <c r="F15" s="764">
        <f>F14-F13</f>
        <v>0</v>
      </c>
      <c r="H15" s="551" t="s">
        <v>1104</v>
      </c>
      <c r="I15" s="87"/>
      <c r="J15" s="87">
        <f>K8</f>
        <v>1600</v>
      </c>
      <c r="K15" s="87"/>
      <c r="L15" s="87"/>
    </row>
    <row r="16" spans="1:22" x14ac:dyDescent="0.25">
      <c r="H16" s="555" t="s">
        <v>1030</v>
      </c>
      <c r="K16" s="12">
        <f>K8-K10</f>
        <v>1600</v>
      </c>
      <c r="L16" s="87"/>
    </row>
    <row r="17" spans="2:12" x14ac:dyDescent="0.25">
      <c r="B17" s="1" t="s">
        <v>1029</v>
      </c>
      <c r="G17" s="15"/>
      <c r="H17" s="551" t="s">
        <v>1105</v>
      </c>
      <c r="I17" s="87"/>
      <c r="J17" s="87"/>
      <c r="K17" s="87">
        <f>K10</f>
        <v>0</v>
      </c>
      <c r="L17" s="418" t="s">
        <v>1812</v>
      </c>
    </row>
    <row r="18" spans="2:12" x14ac:dyDescent="0.25">
      <c r="E18" s="15" t="s">
        <v>141</v>
      </c>
      <c r="F18" s="15" t="s">
        <v>141</v>
      </c>
      <c r="G18" s="87"/>
      <c r="H18" s="87"/>
      <c r="I18" s="87"/>
      <c r="J18" s="87"/>
      <c r="K18" s="87"/>
      <c r="L18" s="87"/>
    </row>
    <row r="19" spans="2:12" x14ac:dyDescent="0.25">
      <c r="B19" t="s">
        <v>1106</v>
      </c>
      <c r="E19" s="757">
        <f>F9+F10</f>
        <v>4100</v>
      </c>
      <c r="F19" s="757"/>
      <c r="G19" s="87"/>
      <c r="H19" s="556" t="s">
        <v>1681</v>
      </c>
      <c r="I19" s="87"/>
      <c r="J19" s="87"/>
      <c r="K19" s="87"/>
      <c r="L19" s="87"/>
    </row>
    <row r="20" spans="2:12" x14ac:dyDescent="0.25">
      <c r="B20" s="3" t="s">
        <v>1808</v>
      </c>
      <c r="E20" s="757"/>
      <c r="F20" s="757">
        <f>F9+F10</f>
        <v>4100</v>
      </c>
      <c r="H20" s="556" t="s">
        <v>1679</v>
      </c>
      <c r="I20" s="87"/>
      <c r="J20" s="87"/>
      <c r="K20" s="87"/>
      <c r="L20" s="87"/>
    </row>
    <row r="21" spans="2:12" x14ac:dyDescent="0.25">
      <c r="E21" s="10"/>
      <c r="F21" s="10"/>
      <c r="G21" s="87"/>
      <c r="H21" s="556" t="s">
        <v>1680</v>
      </c>
      <c r="I21" s="87"/>
      <c r="J21" s="87"/>
      <c r="K21" s="87"/>
      <c r="L21" s="87"/>
    </row>
    <row r="22" spans="2:12" x14ac:dyDescent="0.25">
      <c r="E22" s="757"/>
      <c r="F22" s="757"/>
      <c r="G22" s="87"/>
      <c r="H22" s="556"/>
      <c r="I22" s="556"/>
      <c r="J22" s="556"/>
      <c r="K22" s="556"/>
      <c r="L22" s="87"/>
    </row>
    <row r="23" spans="2:12" x14ac:dyDescent="0.25">
      <c r="B23" s="1" t="s">
        <v>1107</v>
      </c>
      <c r="E23" s="757"/>
      <c r="F23" s="757"/>
      <c r="G23" s="87"/>
      <c r="H23" s="556"/>
      <c r="I23" s="556"/>
      <c r="J23" s="556"/>
      <c r="K23" s="556"/>
      <c r="L23" s="87"/>
    </row>
    <row r="24" spans="2:12" x14ac:dyDescent="0.25">
      <c r="B24" t="str" cm="1">
        <f t="array" ref="B24">_xlfn.IFS(F15&lt;0,"DR SPL - Staff costs",F15&gt;0,"CR SPL - Staff costs",F15=0," ")</f>
        <v xml:space="preserve"> </v>
      </c>
      <c r="E24" s="757">
        <f>IF($F$15&lt;0,-$F$15,0)</f>
        <v>0</v>
      </c>
      <c r="F24" s="757">
        <f>IF($F$15&gt;0,$F$15,0)</f>
        <v>0</v>
      </c>
      <c r="G24" s="87"/>
      <c r="H24" s="556"/>
      <c r="I24" s="556"/>
      <c r="J24" s="556"/>
      <c r="K24" s="556"/>
      <c r="L24" s="87"/>
    </row>
    <row r="25" spans="2:12" x14ac:dyDescent="0.25">
      <c r="B25" t="s">
        <v>1032</v>
      </c>
      <c r="E25" s="757">
        <f>F14+F12</f>
        <v>0</v>
      </c>
      <c r="F25" s="757"/>
      <c r="G25" s="87"/>
      <c r="H25" s="556"/>
      <c r="I25" s="556"/>
      <c r="J25" s="556"/>
      <c r="K25" s="556"/>
      <c r="L25" s="87"/>
    </row>
    <row r="26" spans="2:12" x14ac:dyDescent="0.25">
      <c r="B26" t="s">
        <v>1031</v>
      </c>
      <c r="E26" s="757"/>
      <c r="F26" s="757">
        <f>F13+F12</f>
        <v>0</v>
      </c>
      <c r="G26" s="87"/>
      <c r="H26" s="556"/>
      <c r="I26" s="556"/>
      <c r="J26" s="556"/>
      <c r="K26" s="556"/>
      <c r="L26" s="87"/>
    </row>
    <row r="27" spans="2:12" x14ac:dyDescent="0.25">
      <c r="B27" t="s">
        <v>1950</v>
      </c>
      <c r="E27" s="757"/>
      <c r="F27" s="757"/>
      <c r="G27" s="87"/>
      <c r="H27" s="87"/>
      <c r="I27" s="87"/>
      <c r="J27" s="87"/>
      <c r="K27" s="87"/>
      <c r="L27" s="87"/>
    </row>
    <row r="28" spans="2:12" x14ac:dyDescent="0.25">
      <c r="E28" s="757"/>
      <c r="F28" s="757"/>
      <c r="G28" s="87"/>
      <c r="H28" s="87"/>
      <c r="I28" s="87"/>
      <c r="J28" s="87"/>
      <c r="K28" s="87"/>
      <c r="L28" s="87"/>
    </row>
    <row r="29" spans="2:12" x14ac:dyDescent="0.25">
      <c r="B29" s="1" t="s">
        <v>1033</v>
      </c>
      <c r="E29" s="757"/>
      <c r="F29" s="757"/>
      <c r="G29" s="87"/>
    </row>
    <row r="30" spans="2:12" x14ac:dyDescent="0.25">
      <c r="B30" s="418" t="s">
        <v>1682</v>
      </c>
      <c r="E30" s="757"/>
      <c r="F30" s="757"/>
      <c r="G30" s="87"/>
      <c r="J30" s="41"/>
    </row>
    <row r="31" spans="2:12" x14ac:dyDescent="0.25">
      <c r="B31" t="s">
        <v>1034</v>
      </c>
      <c r="E31" s="757">
        <f>F8+F11</f>
        <v>4300</v>
      </c>
      <c r="F31" s="757"/>
      <c r="G31" s="87"/>
      <c r="J31" s="41"/>
    </row>
    <row r="32" spans="2:12" x14ac:dyDescent="0.25">
      <c r="B32" t="s">
        <v>1035</v>
      </c>
      <c r="E32" s="757"/>
      <c r="F32" s="757">
        <f>F8+F11</f>
        <v>4300</v>
      </c>
      <c r="H32" s="15"/>
      <c r="I32" s="15"/>
      <c r="J32" s="15"/>
      <c r="K32" s="15"/>
      <c r="L32" s="15"/>
    </row>
    <row r="33" spans="2:12" x14ac:dyDescent="0.25">
      <c r="H33" s="87"/>
      <c r="I33" s="87"/>
      <c r="J33" s="87"/>
      <c r="K33" s="87"/>
      <c r="L33" s="87"/>
    </row>
    <row r="34" spans="2:12" x14ac:dyDescent="0.25">
      <c r="B34" s="1" t="s">
        <v>1036</v>
      </c>
    </row>
    <row r="35" spans="2:12" x14ac:dyDescent="0.25">
      <c r="B35" s="418" t="s">
        <v>1683</v>
      </c>
    </row>
    <row r="36" spans="2:12" x14ac:dyDescent="0.25">
      <c r="B36" s="1"/>
      <c r="E36" t="s">
        <v>1040</v>
      </c>
      <c r="F36" t="s">
        <v>1041</v>
      </c>
      <c r="G36" s="15"/>
      <c r="H36" s="12"/>
      <c r="I36" s="12"/>
      <c r="J36" s="12"/>
      <c r="K36" s="12"/>
      <c r="L36" s="12"/>
    </row>
    <row r="37" spans="2:12" x14ac:dyDescent="0.25">
      <c r="D37" t="s">
        <v>1038</v>
      </c>
      <c r="E37" s="15" t="s">
        <v>141</v>
      </c>
      <c r="F37" s="15" t="s">
        <v>141</v>
      </c>
      <c r="G37" s="87"/>
      <c r="H37" s="12"/>
      <c r="I37" s="12"/>
      <c r="J37" s="12"/>
      <c r="K37" s="12"/>
      <c r="L37" s="12"/>
    </row>
    <row r="38" spans="2:12" x14ac:dyDescent="0.25">
      <c r="B38" t="s">
        <v>555</v>
      </c>
      <c r="E38" s="757">
        <f>F3</f>
        <v>29700</v>
      </c>
      <c r="F38" s="757">
        <f>F4</f>
        <v>25200</v>
      </c>
      <c r="H38" s="12"/>
      <c r="I38" s="12"/>
      <c r="J38" s="12"/>
      <c r="K38" s="12"/>
      <c r="L38" s="12"/>
    </row>
    <row r="39" spans="2:12" x14ac:dyDescent="0.25">
      <c r="B39" t="s">
        <v>1037</v>
      </c>
      <c r="C39" s="717">
        <v>44652</v>
      </c>
      <c r="D39" s="187">
        <v>0</v>
      </c>
      <c r="E39" s="10">
        <f>D39*F9</f>
        <v>0</v>
      </c>
      <c r="F39" s="10">
        <v>0</v>
      </c>
      <c r="G39" s="12"/>
    </row>
    <row r="40" spans="2:12" x14ac:dyDescent="0.25">
      <c r="B40" t="s">
        <v>1108</v>
      </c>
      <c r="D40" s="187">
        <v>0</v>
      </c>
      <c r="E40" s="10">
        <f>F10*D40</f>
        <v>0</v>
      </c>
      <c r="F40" s="10">
        <f>D40*F11</f>
        <v>0</v>
      </c>
      <c r="G40" s="12"/>
    </row>
    <row r="41" spans="2:12" x14ac:dyDescent="0.25">
      <c r="B41" t="s">
        <v>1027</v>
      </c>
      <c r="D41" s="187">
        <v>0.5</v>
      </c>
      <c r="E41" s="10">
        <f>-($D$41*$F$12)</f>
        <v>0</v>
      </c>
      <c r="F41" s="10">
        <f>-($D$41*$F$12)</f>
        <v>0</v>
      </c>
      <c r="G41" s="12"/>
    </row>
    <row r="42" spans="2:12" x14ac:dyDescent="0.25">
      <c r="B42" t="s">
        <v>1027</v>
      </c>
      <c r="D42" s="187">
        <v>1</v>
      </c>
      <c r="E42" s="10">
        <f>($D$42*$E$19)</f>
        <v>4100</v>
      </c>
      <c r="F42" s="10"/>
      <c r="G42" s="12"/>
    </row>
    <row r="43" spans="2:12" x14ac:dyDescent="0.25">
      <c r="B43" t="s">
        <v>1109</v>
      </c>
      <c r="D43" s="187"/>
      <c r="E43" s="10">
        <f>D43*-F13</f>
        <v>0</v>
      </c>
      <c r="F43" s="10">
        <f>D43*-F14</f>
        <v>0</v>
      </c>
      <c r="G43" s="12"/>
    </row>
    <row r="44" spans="2:12" x14ac:dyDescent="0.25">
      <c r="B44" t="s">
        <v>1039</v>
      </c>
      <c r="E44" s="758">
        <f>SUM(E38:E43)</f>
        <v>33800</v>
      </c>
      <c r="F44" s="758">
        <f>SUM(F38:F43)</f>
        <v>25200</v>
      </c>
      <c r="G44" s="12"/>
    </row>
    <row r="45" spans="2:12" ht="15.75" thickBot="1" x14ac:dyDescent="0.3">
      <c r="B45" t="s">
        <v>1043</v>
      </c>
      <c r="E45" s="157">
        <f>E44*F7</f>
        <v>1622.4</v>
      </c>
      <c r="F45" s="157">
        <f>F44*F7</f>
        <v>1209.6000000000001</v>
      </c>
      <c r="H45" s="12"/>
      <c r="I45" s="12"/>
      <c r="J45" s="12"/>
      <c r="K45" s="12"/>
      <c r="L45" s="12"/>
    </row>
    <row r="46" spans="2:12" ht="15.75" thickTop="1" x14ac:dyDescent="0.25">
      <c r="E46" s="665" t="str">
        <f>E44&amp;" * "&amp;$F$7*100&amp;"%"</f>
        <v>33800 * 4.8%</v>
      </c>
      <c r="F46" s="665" t="str">
        <f>F44&amp;" * "&amp;$F$7*100&amp;"%"</f>
        <v>25200 * 4.8%</v>
      </c>
      <c r="H46" s="12"/>
      <c r="I46" s="12"/>
      <c r="J46" s="12"/>
      <c r="K46" s="12"/>
      <c r="L46" s="12"/>
    </row>
    <row r="47" spans="2:12" ht="15.75" thickBot="1" x14ac:dyDescent="0.3">
      <c r="B47" t="s">
        <v>1809</v>
      </c>
      <c r="E47" s="665"/>
      <c r="F47" s="759">
        <f>E45-F45</f>
        <v>412.79999999999995</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1622.4</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1209.6000000000001</v>
      </c>
      <c r="G50" s="12"/>
    </row>
    <row r="51" spans="2:12" ht="33.6" customHeight="1" x14ac:dyDescent="0.25">
      <c r="B51" t="str">
        <f>IF(E45-F45&lt;0,"DR SPL - Finance costs","CR SPL - Finance income")</f>
        <v>CR SPL - Finance income</v>
      </c>
      <c r="E51" s="10">
        <f>IF($E$45-$F$45&lt;0,-($E$45-$F$45),0)</f>
        <v>0</v>
      </c>
      <c r="F51" s="10">
        <f>IF($E$45-$F$45&gt;0,($E$45-$F$45),0)</f>
        <v>412.79999999999995</v>
      </c>
      <c r="G51" s="418"/>
    </row>
    <row r="52" spans="2:12" x14ac:dyDescent="0.25">
      <c r="H52" s="15"/>
      <c r="I52" s="15"/>
      <c r="J52" s="15"/>
      <c r="K52" s="15"/>
      <c r="L52" s="15"/>
    </row>
    <row r="53" spans="2:12" x14ac:dyDescent="0.25">
      <c r="H53" s="87"/>
      <c r="I53" s="87"/>
      <c r="J53" s="87"/>
      <c r="K53" s="87"/>
      <c r="L53" s="87"/>
    </row>
    <row r="54" spans="2:12" x14ac:dyDescent="0.25">
      <c r="B54" s="1" t="s">
        <v>1044</v>
      </c>
    </row>
    <row r="55" spans="2:12" x14ac:dyDescent="0.25">
      <c r="E55" t="s">
        <v>1045</v>
      </c>
      <c r="F55" t="s">
        <v>1046</v>
      </c>
      <c r="G55" s="15"/>
      <c r="H55" s="12"/>
      <c r="I55" s="12"/>
      <c r="J55" s="12"/>
      <c r="K55" s="12"/>
      <c r="L55" s="12"/>
    </row>
    <row r="56" spans="2:12" x14ac:dyDescent="0.25">
      <c r="E56" s="15" t="s">
        <v>141</v>
      </c>
      <c r="F56" s="15" t="s">
        <v>141</v>
      </c>
      <c r="G56" s="87"/>
      <c r="H56" s="12"/>
      <c r="I56" s="12"/>
      <c r="J56" s="12"/>
      <c r="K56" s="12"/>
      <c r="L56" s="12"/>
    </row>
    <row r="57" spans="2:12" x14ac:dyDescent="0.25">
      <c r="B57" t="s">
        <v>555</v>
      </c>
      <c r="E57" s="757">
        <f>F3</f>
        <v>29700</v>
      </c>
      <c r="F57" s="757">
        <f>F4</f>
        <v>25200</v>
      </c>
      <c r="H57" s="12"/>
      <c r="I57" s="12"/>
      <c r="J57" s="12"/>
      <c r="K57" s="12"/>
      <c r="L57" s="12"/>
    </row>
    <row r="58" spans="2:12" x14ac:dyDescent="0.25">
      <c r="B58" t="s">
        <v>1047</v>
      </c>
      <c r="E58" s="10">
        <f>F9+F10</f>
        <v>4100</v>
      </c>
      <c r="F58" s="10"/>
      <c r="G58" s="12"/>
      <c r="H58" s="12"/>
      <c r="I58" s="12"/>
      <c r="J58" s="12"/>
      <c r="K58" s="12"/>
      <c r="L58" s="12"/>
    </row>
    <row r="59" spans="2:12" x14ac:dyDescent="0.25">
      <c r="B59" t="s">
        <v>1027</v>
      </c>
      <c r="E59" s="10">
        <f>-F12</f>
        <v>0</v>
      </c>
      <c r="F59" s="10">
        <f>-F12</f>
        <v>0</v>
      </c>
      <c r="G59" s="12"/>
      <c r="H59" s="12"/>
      <c r="I59" s="12"/>
      <c r="J59" s="12"/>
      <c r="K59" s="12"/>
      <c r="L59" s="12"/>
    </row>
    <row r="60" spans="2:12" x14ac:dyDescent="0.25">
      <c r="B60" t="s">
        <v>1109</v>
      </c>
      <c r="E60" s="10">
        <f>-F13</f>
        <v>0</v>
      </c>
      <c r="F60" s="10">
        <f>-F14</f>
        <v>0</v>
      </c>
      <c r="G60" s="12"/>
      <c r="H60" s="87"/>
      <c r="I60" s="87"/>
      <c r="J60" s="87"/>
      <c r="K60" s="87"/>
      <c r="L60" s="87"/>
    </row>
    <row r="61" spans="2:12" x14ac:dyDescent="0.25">
      <c r="B61" t="s">
        <v>1025</v>
      </c>
      <c r="E61" s="10"/>
      <c r="F61" s="10">
        <f>F8</f>
        <v>0</v>
      </c>
      <c r="G61" s="12"/>
      <c r="H61" s="87"/>
      <c r="I61" s="87"/>
      <c r="J61" s="87"/>
      <c r="K61" s="87"/>
      <c r="L61" s="87"/>
    </row>
    <row r="62" spans="2:12" x14ac:dyDescent="0.25">
      <c r="B62" t="s">
        <v>1110</v>
      </c>
      <c r="E62" s="10"/>
      <c r="F62" s="10">
        <f>F11</f>
        <v>4300</v>
      </c>
      <c r="G62" s="12"/>
      <c r="H62" s="12"/>
      <c r="I62" s="12"/>
      <c r="J62" s="12"/>
      <c r="K62" s="12"/>
      <c r="L62" s="12"/>
    </row>
    <row r="63" spans="2:12" x14ac:dyDescent="0.25">
      <c r="B63" t="s">
        <v>1048</v>
      </c>
      <c r="E63" s="10">
        <f>E45</f>
        <v>1622.4</v>
      </c>
      <c r="F63" s="10">
        <f>F45</f>
        <v>1209.6000000000001</v>
      </c>
      <c r="G63" s="12"/>
    </row>
    <row r="64" spans="2:12" x14ac:dyDescent="0.25">
      <c r="E64" s="156">
        <f>SUM(E57:E63)</f>
        <v>35422.400000000001</v>
      </c>
      <c r="F64" s="156">
        <f>SUM(F57:F63)</f>
        <v>30709.599999999999</v>
      </c>
      <c r="G64" s="87"/>
    </row>
    <row r="65" spans="2:12" x14ac:dyDescent="0.25">
      <c r="B65" t="s">
        <v>823</v>
      </c>
      <c r="E65" s="757">
        <f>E3</f>
        <v>25231</v>
      </c>
      <c r="F65" s="757">
        <f>E4</f>
        <v>24632</v>
      </c>
      <c r="G65" s="12"/>
      <c r="H65" s="15"/>
      <c r="I65" s="15"/>
      <c r="J65" s="15"/>
      <c r="K65" s="15"/>
      <c r="L65" s="15"/>
    </row>
    <row r="66" spans="2:12" ht="15.75" thickBot="1" x14ac:dyDescent="0.3">
      <c r="B66" t="s">
        <v>1049</v>
      </c>
      <c r="E66" s="157">
        <f>E65-E64</f>
        <v>-10191.400000000001</v>
      </c>
      <c r="F66" s="157">
        <f>F65-F64</f>
        <v>-6077.5999999999985</v>
      </c>
      <c r="H66" s="12"/>
      <c r="I66" s="12"/>
      <c r="J66" s="12"/>
      <c r="K66" s="12"/>
      <c r="L66" s="12"/>
    </row>
    <row r="67" spans="2:12" ht="15.75" thickTop="1" x14ac:dyDescent="0.25">
      <c r="H67" s="12"/>
      <c r="I67" s="12"/>
      <c r="J67" s="12"/>
      <c r="K67" s="12"/>
      <c r="L67" s="12"/>
    </row>
    <row r="68" spans="2:12" x14ac:dyDescent="0.25">
      <c r="B68" t="s">
        <v>1111</v>
      </c>
      <c r="C68" t="str">
        <f>E66&amp;" - "&amp;F66&amp;" = £"&amp;(E66-F66)</f>
        <v>-10191.4 - -6077.6 = £-4113.8</v>
      </c>
      <c r="G68" s="15"/>
      <c r="H68" s="12"/>
      <c r="I68" s="12"/>
      <c r="J68" s="12"/>
      <c r="K68" s="12"/>
      <c r="L68" s="12"/>
    </row>
    <row r="69" spans="2:12" x14ac:dyDescent="0.25">
      <c r="E69" s="15" t="s">
        <v>141</v>
      </c>
      <c r="F69" s="15" t="s">
        <v>141</v>
      </c>
      <c r="G69" s="12"/>
    </row>
    <row r="70" spans="2:12" x14ac:dyDescent="0.25">
      <c r="B70" t="str">
        <f>IF(E66&gt;0,"DR Pension account (assets)","CR Pension account (assets)")</f>
        <v>CR Pension account (assets)</v>
      </c>
      <c r="E70" s="10" t="str">
        <f>IF($E$66&gt;0,$E$66," ")</f>
        <v xml:space="preserve"> </v>
      </c>
      <c r="F70" s="10">
        <f>IF($E$66&lt;0,-$E$66," ")</f>
        <v>10191.400000000001</v>
      </c>
      <c r="G70" s="12"/>
    </row>
    <row r="71" spans="2:12" x14ac:dyDescent="0.25">
      <c r="B71" t="str">
        <f>IF(F66&gt;0,"CR Pension account (obligation)","DR Pension account (obligation)")</f>
        <v>DR Pension account (obligation)</v>
      </c>
      <c r="E71" s="10">
        <f>IF($F$66&lt;0,-$F$66," ")</f>
        <v>6077.5999999999985</v>
      </c>
      <c r="F71" s="10" t="str">
        <f>IF($F$66&gt;0,$F$66," ")</f>
        <v xml:space="preserve"> </v>
      </c>
      <c r="G71" s="12"/>
    </row>
    <row r="72" spans="2:12" x14ac:dyDescent="0.25">
      <c r="B72" t="str">
        <f>IF((E66-F66)&gt;0,"CR Retained earnings","DR Retained earnings")</f>
        <v>DR Retained earnings</v>
      </c>
      <c r="E72" s="10">
        <f>IF(($E$66-$F$66)&lt;0,-($E$66-$F$66),0)</f>
        <v>4113.8000000000029</v>
      </c>
      <c r="F72" s="10">
        <f>IF(($E$66-$F$66)&gt;0,$E$66-$F$66,0)</f>
        <v>0</v>
      </c>
    </row>
    <row r="76" spans="2:12" x14ac:dyDescent="0.25">
      <c r="B76" s="418" t="s">
        <v>1810</v>
      </c>
    </row>
    <row r="77" spans="2:12" ht="15.75" thickBot="1" x14ac:dyDescent="0.3">
      <c r="B77" t="str">
        <f>IF((SUM(E24+E31+E51)-SUM(F24+F31+F51))&gt;0,"Total defined benefit pension expense","Total defined benefit pension income")</f>
        <v>Total defined benefit pension expense</v>
      </c>
      <c r="F77" s="760">
        <f>ABS(SUM(E24+E31+E51)-SUM(F24+F31+F51))</f>
        <v>3887.2</v>
      </c>
    </row>
    <row r="78" spans="2:12" ht="15.75" thickTop="1" x14ac:dyDescent="0.25">
      <c r="B78" s="1"/>
      <c r="F78" s="761"/>
    </row>
    <row r="79" spans="2:12" x14ac:dyDescent="0.25">
      <c r="B79" s="1" t="s">
        <v>1112</v>
      </c>
      <c r="F79" s="10"/>
    </row>
    <row r="80" spans="2:12" x14ac:dyDescent="0.25">
      <c r="B80" s="1" t="s">
        <v>4</v>
      </c>
      <c r="F80" s="10"/>
    </row>
    <row r="81" spans="2:8" ht="15.75" thickBot="1" x14ac:dyDescent="0.3">
      <c r="B81" t="s">
        <v>1113</v>
      </c>
      <c r="F81" s="760">
        <f>F72-E72</f>
        <v>-4113.8000000000029</v>
      </c>
    </row>
    <row r="82" spans="2:8" ht="15.75" thickTop="1" x14ac:dyDescent="0.25">
      <c r="F82" s="10"/>
    </row>
    <row r="83" spans="2:8" x14ac:dyDescent="0.25">
      <c r="B83" s="1" t="s">
        <v>73</v>
      </c>
      <c r="F83" s="10"/>
    </row>
    <row r="84" spans="2:8" ht="15.75" thickBot="1" x14ac:dyDescent="0.3">
      <c r="B84" t="s">
        <v>1114</v>
      </c>
      <c r="F84" s="760">
        <f>IF(F65&lt;E65,-(F65-E65),0)</f>
        <v>599</v>
      </c>
      <c r="H84" s="418" t="s">
        <v>1811</v>
      </c>
    </row>
    <row r="85" spans="2:8" ht="15.75" thickTop="1" x14ac:dyDescent="0.25">
      <c r="F85" s="10"/>
    </row>
    <row r="86" spans="2:8" x14ac:dyDescent="0.25">
      <c r="B86" s="557" t="s">
        <v>1115</v>
      </c>
      <c r="C86" s="189"/>
      <c r="D86" s="189"/>
      <c r="E86" s="189"/>
      <c r="F86" s="762"/>
    </row>
    <row r="87" spans="2:8" ht="15.75" thickBot="1" x14ac:dyDescent="0.3">
      <c r="B87" s="558" t="s">
        <v>1116</v>
      </c>
      <c r="C87" s="189"/>
      <c r="D87" s="189"/>
      <c r="E87" s="189"/>
      <c r="F87" s="760">
        <f>IF(F65&gt;E65,F65-E65,0)</f>
        <v>0</v>
      </c>
    </row>
    <row r="88" spans="2:8" ht="15.75" thickTop="1" x14ac:dyDescent="0.25"/>
    <row r="91" spans="2:8" x14ac:dyDescent="0.25">
      <c r="B91" t="s">
        <v>1117</v>
      </c>
    </row>
  </sheetData>
  <hyperlinks>
    <hyperlink ref="A1" location="Main!A1" display="Main" xr:uid="{EBA7B21F-F7AA-4A65-B6F0-D53B1C716563}"/>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1:Q156"/>
  <sheetViews>
    <sheetView zoomScale="115" zoomScaleNormal="115" workbookViewId="0">
      <selection activeCell="A41" sqref="A2:XFD41"/>
    </sheetView>
  </sheetViews>
  <sheetFormatPr defaultRowHeight="15" x14ac:dyDescent="0.25"/>
  <cols>
    <col min="2" max="2" width="42.5703125" customWidth="1"/>
    <col min="3" max="3" width="28.28515625" customWidth="1"/>
    <col min="4" max="4" width="16.140625" customWidth="1"/>
    <col min="5" max="5" width="16.85546875" customWidth="1"/>
    <col min="6" max="6" width="15.42578125" bestFit="1" customWidth="1"/>
    <col min="7" max="7" width="15.42578125" customWidth="1"/>
    <col min="8" max="8" width="16.7109375" customWidth="1"/>
    <col min="9" max="9" width="14.42578125" bestFit="1" customWidth="1"/>
    <col min="11" max="11" width="9.5703125" customWidth="1"/>
    <col min="12" max="12" width="15.42578125" customWidth="1"/>
    <col min="13" max="13" width="15" customWidth="1"/>
    <col min="14" max="15" width="14.42578125" bestFit="1" customWidth="1"/>
  </cols>
  <sheetData>
    <row r="1" spans="1:15" x14ac:dyDescent="0.25">
      <c r="A1" s="161" t="s">
        <v>1984</v>
      </c>
    </row>
    <row r="2" spans="1:15" ht="18.75" x14ac:dyDescent="0.3">
      <c r="B2" s="657" t="s">
        <v>1444</v>
      </c>
      <c r="C2" s="637"/>
      <c r="D2" s="637"/>
      <c r="E2" s="637"/>
      <c r="F2" s="637"/>
      <c r="G2" s="637"/>
      <c r="H2" s="637"/>
      <c r="I2" s="637"/>
      <c r="J2" s="637"/>
      <c r="K2" s="637"/>
      <c r="L2" s="637"/>
      <c r="M2" s="637"/>
    </row>
    <row r="3" spans="1:15" x14ac:dyDescent="0.25">
      <c r="B3" s="418" t="s">
        <v>1928</v>
      </c>
      <c r="O3" s="418" t="s">
        <v>1829</v>
      </c>
    </row>
    <row r="4" spans="1:15" x14ac:dyDescent="0.25">
      <c r="B4" s="418" t="s">
        <v>1645</v>
      </c>
      <c r="O4" s="418" t="s">
        <v>1830</v>
      </c>
    </row>
    <row r="5" spans="1:15" x14ac:dyDescent="0.25">
      <c r="B5" s="418" t="s">
        <v>1929</v>
      </c>
      <c r="O5" s="418"/>
    </row>
    <row r="6" spans="1:15" x14ac:dyDescent="0.25">
      <c r="B6" s="418" t="s">
        <v>1932</v>
      </c>
      <c r="O6" s="418"/>
    </row>
    <row r="7" spans="1:15" x14ac:dyDescent="0.25">
      <c r="B7" t="s">
        <v>1447</v>
      </c>
      <c r="D7" s="3">
        <v>700</v>
      </c>
      <c r="O7" s="418" t="s">
        <v>1823</v>
      </c>
    </row>
    <row r="8" spans="1:15" x14ac:dyDescent="0.25">
      <c r="B8" t="s">
        <v>1446</v>
      </c>
      <c r="D8" s="788">
        <v>500</v>
      </c>
    </row>
    <row r="9" spans="1:15" x14ac:dyDescent="0.25">
      <c r="B9" t="s">
        <v>1445</v>
      </c>
      <c r="D9" s="3">
        <v>3</v>
      </c>
      <c r="E9" t="s">
        <v>472</v>
      </c>
      <c r="O9" s="418" t="str">
        <f>"At year end, the share option scheme is at the end of year x of a "&amp;D9&amp;" year vesting period and therefore x/"&amp;D9&amp;" of the total fair value should be accounted for:"</f>
        <v>At year end, the share option scheme is at the end of year x of a 3 year vesting period and therefore x/3 of the total fair value should be accounted for:</v>
      </c>
    </row>
    <row r="10" spans="1:15" x14ac:dyDescent="0.25">
      <c r="B10" t="s">
        <v>1448</v>
      </c>
      <c r="D10" s="627">
        <v>4.5</v>
      </c>
      <c r="O10" s="418"/>
    </row>
    <row r="11" spans="1:15" x14ac:dyDescent="0.25">
      <c r="O11" s="418" t="s">
        <v>1824</v>
      </c>
    </row>
    <row r="12" spans="1:15" x14ac:dyDescent="0.25">
      <c r="B12" t="s">
        <v>1449</v>
      </c>
      <c r="D12" s="628">
        <f>(D7*D8*D10)/D9</f>
        <v>525000</v>
      </c>
      <c r="O12" s="418"/>
    </row>
    <row r="13" spans="1:15" x14ac:dyDescent="0.25">
      <c r="D13" s="628"/>
      <c r="O13" s="418" t="s">
        <v>1825</v>
      </c>
    </row>
    <row r="14" spans="1:15" x14ac:dyDescent="0.25">
      <c r="B14" s="418" t="s">
        <v>1646</v>
      </c>
      <c r="D14" s="628"/>
      <c r="O14" s="418" t="s">
        <v>1824</v>
      </c>
    </row>
    <row r="15" spans="1:15" x14ac:dyDescent="0.25">
      <c r="B15" s="418" t="s">
        <v>1930</v>
      </c>
    </row>
    <row r="16" spans="1:15" ht="15.75" thickBot="1" x14ac:dyDescent="0.3">
      <c r="B16" s="418" t="s">
        <v>1931</v>
      </c>
    </row>
    <row r="17" spans="2:14" x14ac:dyDescent="0.25">
      <c r="B17" s="629" t="s">
        <v>1452</v>
      </c>
      <c r="C17" s="630" t="s">
        <v>1450</v>
      </c>
      <c r="D17" s="61" t="s">
        <v>1451</v>
      </c>
      <c r="E17" s="61" t="s">
        <v>260</v>
      </c>
      <c r="F17" s="630" t="s">
        <v>80</v>
      </c>
      <c r="G17" s="631" t="s">
        <v>192</v>
      </c>
      <c r="I17" s="73" t="s">
        <v>1454</v>
      </c>
      <c r="J17" s="61"/>
      <c r="K17" s="61"/>
      <c r="L17" s="61"/>
      <c r="M17" s="62"/>
    </row>
    <row r="18" spans="2:14" x14ac:dyDescent="0.25">
      <c r="B18" s="163">
        <v>45046</v>
      </c>
      <c r="F18" s="15" t="s">
        <v>10</v>
      </c>
      <c r="G18" s="124" t="s">
        <v>10</v>
      </c>
      <c r="I18" s="63"/>
      <c r="M18" s="66"/>
      <c r="N18" s="418" t="s">
        <v>1933</v>
      </c>
    </row>
    <row r="19" spans="2:14" x14ac:dyDescent="0.25">
      <c r="B19" s="63">
        <v>1</v>
      </c>
      <c r="C19" s="3">
        <v>665</v>
      </c>
      <c r="D19" s="83">
        <f>C19*$D$8</f>
        <v>332500</v>
      </c>
      <c r="E19" s="83">
        <f>D19*$D$10</f>
        <v>1496250</v>
      </c>
      <c r="F19" s="83">
        <f>E19/$D$9*B19</f>
        <v>498750</v>
      </c>
      <c r="G19" s="69">
        <f>F19</f>
        <v>498750</v>
      </c>
      <c r="I19" s="932">
        <v>1</v>
      </c>
      <c r="J19" t="s">
        <v>1453</v>
      </c>
      <c r="L19" s="12">
        <f>G19</f>
        <v>498750</v>
      </c>
      <c r="M19" s="66"/>
      <c r="N19" s="418" t="s">
        <v>1651</v>
      </c>
    </row>
    <row r="20" spans="2:14" x14ac:dyDescent="0.25">
      <c r="B20" s="163">
        <v>45412</v>
      </c>
      <c r="C20" t="str">
        <f ca="1">IFERROR(_xlfn.FORMULATEXT(C19)," ")</f>
        <v xml:space="preserve"> </v>
      </c>
      <c r="D20" s="109"/>
      <c r="E20" s="109"/>
      <c r="F20" s="109"/>
      <c r="G20" s="69"/>
      <c r="I20" s="932"/>
      <c r="J20" t="s">
        <v>864</v>
      </c>
      <c r="M20" s="69">
        <f>G19</f>
        <v>498750</v>
      </c>
    </row>
    <row r="21" spans="2:14" x14ac:dyDescent="0.25">
      <c r="B21" s="63">
        <v>2</v>
      </c>
      <c r="C21" s="3">
        <f>700-35</f>
        <v>665</v>
      </c>
      <c r="D21" s="83">
        <f>C21*$D$8</f>
        <v>332500</v>
      </c>
      <c r="E21" s="83">
        <f>D21*$D$10</f>
        <v>1496250</v>
      </c>
      <c r="F21" s="83">
        <f>E21/$D$9*B21</f>
        <v>997500</v>
      </c>
      <c r="G21" s="69">
        <f>F21-F19</f>
        <v>498750</v>
      </c>
      <c r="I21" s="932">
        <v>2</v>
      </c>
      <c r="J21" t="s">
        <v>1453</v>
      </c>
      <c r="L21" s="12">
        <f>G21</f>
        <v>498750</v>
      </c>
      <c r="M21" s="66"/>
    </row>
    <row r="22" spans="2:14" x14ac:dyDescent="0.25">
      <c r="B22" s="163">
        <v>45777</v>
      </c>
      <c r="C22" s="15" t="str">
        <f ca="1">IFERROR(_xlfn.FORMULATEXT(C21)," ")</f>
        <v>=700-35</v>
      </c>
      <c r="D22" s="109"/>
      <c r="E22" s="109"/>
      <c r="F22" s="109"/>
      <c r="G22" s="69"/>
      <c r="I22" s="932"/>
      <c r="J22" t="s">
        <v>864</v>
      </c>
      <c r="M22" s="69">
        <f>G21</f>
        <v>498750</v>
      </c>
    </row>
    <row r="23" spans="2:14" x14ac:dyDescent="0.25">
      <c r="B23" s="63">
        <v>3</v>
      </c>
      <c r="C23" s="3">
        <f>700-97</f>
        <v>603</v>
      </c>
      <c r="D23" s="83">
        <f>C23*$D$8</f>
        <v>301500</v>
      </c>
      <c r="E23" s="83">
        <f>D23*$D$10</f>
        <v>1356750</v>
      </c>
      <c r="F23" s="83">
        <f>E23/$D$9*B23</f>
        <v>1356750</v>
      </c>
      <c r="G23" s="69">
        <f>F23-F21</f>
        <v>359250</v>
      </c>
      <c r="I23" s="932">
        <v>3</v>
      </c>
      <c r="J23" t="s">
        <v>1453</v>
      </c>
      <c r="L23" s="12">
        <f>G23</f>
        <v>359250</v>
      </c>
      <c r="M23" s="66"/>
    </row>
    <row r="24" spans="2:14" ht="15.75" thickBot="1" x14ac:dyDescent="0.3">
      <c r="B24" s="70"/>
      <c r="C24" s="71" t="str">
        <f ca="1">IFERROR(_xlfn.FORMULATEXT(C23)," ")</f>
        <v>=700-97</v>
      </c>
      <c r="D24" s="71"/>
      <c r="E24" s="71"/>
      <c r="F24" s="71"/>
      <c r="G24" s="80"/>
      <c r="I24" s="933"/>
      <c r="J24" s="71" t="s">
        <v>864</v>
      </c>
      <c r="K24" s="71"/>
      <c r="L24" s="71"/>
      <c r="M24" s="108">
        <f>G23</f>
        <v>359250</v>
      </c>
    </row>
    <row r="25" spans="2:14" x14ac:dyDescent="0.25">
      <c r="I25" s="847"/>
      <c r="M25" s="12"/>
    </row>
    <row r="26" spans="2:14" x14ac:dyDescent="0.25">
      <c r="B26" s="603" t="s">
        <v>1459</v>
      </c>
      <c r="C26" s="604"/>
      <c r="D26" s="604"/>
    </row>
    <row r="27" spans="2:14" x14ac:dyDescent="0.25">
      <c r="B27" s="418" t="s">
        <v>1652</v>
      </c>
    </row>
    <row r="28" spans="2:14" x14ac:dyDescent="0.25">
      <c r="B28" t="s">
        <v>1460</v>
      </c>
      <c r="C28" s="848">
        <f>SUM(L18:L24)</f>
        <v>1356750</v>
      </c>
    </row>
    <row r="30" spans="2:14" x14ac:dyDescent="0.25">
      <c r="B30" t="s">
        <v>1461</v>
      </c>
      <c r="C30" s="627">
        <v>4.25</v>
      </c>
    </row>
    <row r="31" spans="2:14" x14ac:dyDescent="0.25">
      <c r="B31" t="s">
        <v>1462</v>
      </c>
      <c r="C31" s="627">
        <v>1</v>
      </c>
    </row>
    <row r="32" spans="2:14" x14ac:dyDescent="0.25">
      <c r="B32" t="s">
        <v>1466</v>
      </c>
      <c r="C32" s="788">
        <f>+D23</f>
        <v>301500</v>
      </c>
      <c r="D32" s="418" t="str">
        <f ca="1">IFERROR(_xlfn.FORMULATEXT(C32)," ")</f>
        <v>=+D23</v>
      </c>
    </row>
    <row r="33" spans="2:4" x14ac:dyDescent="0.25">
      <c r="B33" t="s">
        <v>1467</v>
      </c>
      <c r="C33" s="35">
        <v>1</v>
      </c>
    </row>
    <row r="35" spans="2:4" x14ac:dyDescent="0.25">
      <c r="B35" t="s">
        <v>17</v>
      </c>
      <c r="C35" s="11">
        <f>C32*C31</f>
        <v>301500</v>
      </c>
    </row>
    <row r="36" spans="2:4" x14ac:dyDescent="0.25">
      <c r="B36" t="s">
        <v>660</v>
      </c>
      <c r="C36" s="11">
        <f>(C30-C31)*C32</f>
        <v>979875</v>
      </c>
    </row>
    <row r="37" spans="2:4" x14ac:dyDescent="0.25">
      <c r="C37" s="531">
        <f>SUM(C35:C36)</f>
        <v>1281375</v>
      </c>
    </row>
    <row r="39" spans="2:4" x14ac:dyDescent="0.25">
      <c r="B39" s="3" t="s">
        <v>273</v>
      </c>
      <c r="C39" s="12">
        <f>C37</f>
        <v>1281375</v>
      </c>
    </row>
    <row r="40" spans="2:4" x14ac:dyDescent="0.25">
      <c r="B40" t="s">
        <v>353</v>
      </c>
      <c r="D40" s="12">
        <f>C35</f>
        <v>301500</v>
      </c>
    </row>
    <row r="41" spans="2:4" x14ac:dyDescent="0.25">
      <c r="B41" t="s">
        <v>354</v>
      </c>
      <c r="D41" s="12">
        <f>C36</f>
        <v>979875</v>
      </c>
    </row>
    <row r="45" spans="2:4" x14ac:dyDescent="0.25">
      <c r="B45" t="s">
        <v>1463</v>
      </c>
    </row>
    <row r="46" spans="2:4" x14ac:dyDescent="0.25">
      <c r="B46" t="s">
        <v>1464</v>
      </c>
      <c r="C46" s="12">
        <f>$C$33*SUM($L$19:$L$24)</f>
        <v>1356750</v>
      </c>
    </row>
    <row r="47" spans="2:4" x14ac:dyDescent="0.25">
      <c r="B47" t="s">
        <v>1465</v>
      </c>
      <c r="D47" s="12">
        <f>$C$33*SUM($L$19:$L$24)</f>
        <v>1356750</v>
      </c>
    </row>
    <row r="50" spans="2:15" x14ac:dyDescent="0.25">
      <c r="B50" s="603" t="s">
        <v>1468</v>
      </c>
      <c r="C50" s="604"/>
      <c r="D50" s="604"/>
    </row>
    <row r="51" spans="2:15" x14ac:dyDescent="0.25">
      <c r="B51" t="s">
        <v>1464</v>
      </c>
      <c r="C51" s="12">
        <f>(1-C33)*SUM($L$19:$L$24)</f>
        <v>0</v>
      </c>
    </row>
    <row r="52" spans="2:15" x14ac:dyDescent="0.25">
      <c r="B52" t="s">
        <v>1465</v>
      </c>
      <c r="D52" s="12">
        <f>(1-D34)*SUM($L$19:$L$24)</f>
        <v>1356750</v>
      </c>
    </row>
    <row r="59" spans="2:15" ht="18.75" x14ac:dyDescent="0.3">
      <c r="B59" s="657" t="s">
        <v>1455</v>
      </c>
      <c r="C59" s="637"/>
      <c r="D59" s="637"/>
      <c r="E59" s="637"/>
      <c r="F59" s="637"/>
      <c r="G59" s="637"/>
      <c r="H59" s="637"/>
    </row>
    <row r="60" spans="2:15" x14ac:dyDescent="0.25">
      <c r="B60" t="s">
        <v>1447</v>
      </c>
      <c r="D60" s="3">
        <v>700</v>
      </c>
      <c r="O60" s="418" t="s">
        <v>1820</v>
      </c>
    </row>
    <row r="61" spans="2:15" x14ac:dyDescent="0.25">
      <c r="B61" t="s">
        <v>1446</v>
      </c>
      <c r="D61" s="14">
        <v>500</v>
      </c>
      <c r="O61" s="418" t="s">
        <v>1821</v>
      </c>
    </row>
    <row r="62" spans="2:15" x14ac:dyDescent="0.25">
      <c r="B62" t="s">
        <v>1445</v>
      </c>
      <c r="D62" s="3">
        <v>3</v>
      </c>
      <c r="O62" s="418"/>
    </row>
    <row r="63" spans="2:15" x14ac:dyDescent="0.25">
      <c r="O63" s="418"/>
    </row>
    <row r="64" spans="2:15" x14ac:dyDescent="0.25">
      <c r="C64" t="s">
        <v>1457</v>
      </c>
      <c r="D64" t="s">
        <v>1456</v>
      </c>
      <c r="E64" t="s">
        <v>1819</v>
      </c>
      <c r="O64" s="418" t="s">
        <v>1822</v>
      </c>
    </row>
    <row r="65" spans="2:15" x14ac:dyDescent="0.25">
      <c r="B65" t="s">
        <v>1448</v>
      </c>
      <c r="C65" s="3">
        <v>4.5</v>
      </c>
      <c r="D65" s="627">
        <v>4.8</v>
      </c>
      <c r="E65" s="627"/>
      <c r="O65" s="418"/>
    </row>
    <row r="66" spans="2:15" x14ac:dyDescent="0.25">
      <c r="O66" s="418" t="s">
        <v>1823</v>
      </c>
    </row>
    <row r="67" spans="2:15" x14ac:dyDescent="0.25">
      <c r="B67" t="s">
        <v>1458</v>
      </c>
      <c r="E67" s="15" t="s">
        <v>1457</v>
      </c>
      <c r="O67" s="418"/>
    </row>
    <row r="68" spans="2:15" x14ac:dyDescent="0.25">
      <c r="O68" s="418" t="str">
        <f>"At year end, the share option scheme is at the end of year x of a "&amp;D62&amp;" year vesting period and therefore x/"&amp;D62&amp;" of the total fair value should be accounted for:"</f>
        <v>At year end, the share option scheme is at the end of year x of a 3 year vesting period and therefore x/3 of the total fair value should be accounted for:</v>
      </c>
    </row>
    <row r="69" spans="2:15" x14ac:dyDescent="0.25">
      <c r="B69" t="s">
        <v>1449</v>
      </c>
      <c r="E69" s="628" cm="1">
        <f t="array" ref="E69">(D60*D61*_xlfn.IFS(E67="scenario 1",C65,E67="scenario 2",D65,E67="scenario 3",E65))</f>
        <v>1575000</v>
      </c>
      <c r="O69" s="418"/>
    </row>
    <row r="70" spans="2:15" x14ac:dyDescent="0.25">
      <c r="O70" s="418" t="s">
        <v>1824</v>
      </c>
    </row>
    <row r="71" spans="2:15" ht="15.75" thickBot="1" x14ac:dyDescent="0.3">
      <c r="O71" s="418"/>
    </row>
    <row r="72" spans="2:15" x14ac:dyDescent="0.25">
      <c r="B72" s="629" t="s">
        <v>1452</v>
      </c>
      <c r="C72" s="630" t="s">
        <v>1450</v>
      </c>
      <c r="D72" s="61" t="s">
        <v>1451</v>
      </c>
      <c r="E72" s="61" t="s">
        <v>260</v>
      </c>
      <c r="F72" s="61" t="s">
        <v>80</v>
      </c>
      <c r="G72" s="62" t="s">
        <v>192</v>
      </c>
      <c r="I72" s="73" t="s">
        <v>1454</v>
      </c>
      <c r="J72" s="61"/>
      <c r="K72" s="61"/>
      <c r="L72" s="61"/>
      <c r="M72" s="62"/>
      <c r="O72" s="418" t="s">
        <v>1825</v>
      </c>
    </row>
    <row r="73" spans="2:15" x14ac:dyDescent="0.25">
      <c r="B73" s="63"/>
      <c r="E73" s="15" t="s">
        <v>141</v>
      </c>
      <c r="F73" s="15" t="s">
        <v>141</v>
      </c>
      <c r="G73" s="124" t="s">
        <v>141</v>
      </c>
      <c r="I73" s="63"/>
      <c r="M73" s="66"/>
      <c r="O73" s="418" t="s">
        <v>1824</v>
      </c>
    </row>
    <row r="74" spans="2:15" x14ac:dyDescent="0.25">
      <c r="B74" s="63">
        <v>1</v>
      </c>
      <c r="C74" s="68">
        <f>+C19</f>
        <v>665</v>
      </c>
      <c r="D74" s="83"/>
      <c r="E74" s="83" cm="1">
        <f t="array" ref="E74">D74*_xlfn.IFS($E$67="scenario 1",$C$65,$E$67="scenario 2",$D$65,$E$67="scenario 3",$E$65)</f>
        <v>0</v>
      </c>
      <c r="F74" s="83">
        <f>E74/$D$62*B74</f>
        <v>0</v>
      </c>
      <c r="G74" s="69">
        <f>F74</f>
        <v>0</v>
      </c>
      <c r="I74" s="932">
        <v>1</v>
      </c>
      <c r="J74" t="s">
        <v>1453</v>
      </c>
      <c r="L74" s="12">
        <f>G74</f>
        <v>0</v>
      </c>
      <c r="M74" s="66"/>
      <c r="O74" s="418"/>
    </row>
    <row r="75" spans="2:15" x14ac:dyDescent="0.25">
      <c r="B75" s="63"/>
      <c r="D75" s="109"/>
      <c r="E75" s="109"/>
      <c r="G75" s="69"/>
      <c r="I75" s="932"/>
      <c r="J75" t="s">
        <v>864</v>
      </c>
      <c r="M75" s="69">
        <f>G74</f>
        <v>0</v>
      </c>
      <c r="O75" s="418"/>
    </row>
    <row r="76" spans="2:15" x14ac:dyDescent="0.25">
      <c r="B76" s="63">
        <v>2</v>
      </c>
      <c r="C76" s="68">
        <f>+C21</f>
        <v>665</v>
      </c>
      <c r="D76" s="83"/>
      <c r="E76" s="83" cm="1">
        <f t="array" ref="E76">D76*_xlfn.IFS($E$67="scenario 1",$C$65,$E$67="scenario 2",$D$65,$E$67="scenario 3",$E$65)</f>
        <v>0</v>
      </c>
      <c r="F76" s="83">
        <f>E76/$D$62*B76</f>
        <v>0</v>
      </c>
      <c r="G76" s="69">
        <f>F76-F74</f>
        <v>0</v>
      </c>
      <c r="I76" s="932">
        <v>2</v>
      </c>
      <c r="J76" t="s">
        <v>1453</v>
      </c>
      <c r="L76" s="12">
        <f>G76</f>
        <v>0</v>
      </c>
      <c r="M76" s="66"/>
    </row>
    <row r="77" spans="2:15" x14ac:dyDescent="0.25">
      <c r="B77" s="63"/>
      <c r="D77" s="109"/>
      <c r="E77" s="109"/>
      <c r="F77" s="109"/>
      <c r="G77" s="69"/>
      <c r="I77" s="932"/>
      <c r="J77" t="s">
        <v>864</v>
      </c>
      <c r="M77" s="69">
        <f>G76</f>
        <v>0</v>
      </c>
    </row>
    <row r="78" spans="2:15" x14ac:dyDescent="0.25">
      <c r="B78" s="63">
        <v>3</v>
      </c>
      <c r="C78" s="3">
        <f>+C23</f>
        <v>603</v>
      </c>
      <c r="D78" s="83">
        <f>C78*$D$61</f>
        <v>301500</v>
      </c>
      <c r="E78" s="83" cm="1">
        <f t="array" ref="E78">D78*_xlfn.IFS($E$67="scenario 1",$C$65,$E$67="scenario 2",$D$65,$E$67="scenario 3",$E$65)</f>
        <v>1356750</v>
      </c>
      <c r="F78" s="83">
        <f>E78/$D$62*B78</f>
        <v>1356750</v>
      </c>
      <c r="G78" s="69">
        <f>F78-F76</f>
        <v>1356750</v>
      </c>
      <c r="I78" s="932">
        <v>3</v>
      </c>
      <c r="J78" t="s">
        <v>1453</v>
      </c>
      <c r="L78" s="12">
        <f>G78</f>
        <v>1356750</v>
      </c>
      <c r="M78" s="66"/>
    </row>
    <row r="79" spans="2:15" ht="15.75" thickBot="1" x14ac:dyDescent="0.3">
      <c r="B79" s="70"/>
      <c r="C79" s="71"/>
      <c r="D79" s="71"/>
      <c r="E79" s="71"/>
      <c r="F79" s="71"/>
      <c r="G79" s="80"/>
      <c r="I79" s="933"/>
      <c r="J79" s="71" t="s">
        <v>864</v>
      </c>
      <c r="K79" s="71"/>
      <c r="L79" s="71"/>
      <c r="M79" s="108">
        <f>G78</f>
        <v>1356750</v>
      </c>
    </row>
    <row r="82" spans="2:4" x14ac:dyDescent="0.25">
      <c r="B82" s="603" t="s">
        <v>1459</v>
      </c>
      <c r="C82" s="604"/>
      <c r="D82" s="604"/>
    </row>
    <row r="83" spans="2:4" x14ac:dyDescent="0.25">
      <c r="B83" t="s">
        <v>1460</v>
      </c>
      <c r="C83" s="365">
        <f>F76</f>
        <v>0</v>
      </c>
    </row>
    <row r="85" spans="2:4" x14ac:dyDescent="0.25">
      <c r="B85" t="s">
        <v>1461</v>
      </c>
      <c r="C85" s="365"/>
    </row>
    <row r="86" spans="2:4" x14ac:dyDescent="0.25">
      <c r="B86" t="s">
        <v>1462</v>
      </c>
      <c r="C86" s="3"/>
    </row>
    <row r="87" spans="2:4" x14ac:dyDescent="0.25">
      <c r="B87" t="s">
        <v>1466</v>
      </c>
      <c r="C87" s="14"/>
    </row>
    <row r="88" spans="2:4" x14ac:dyDescent="0.25">
      <c r="B88" t="s">
        <v>1467</v>
      </c>
      <c r="C88" s="633">
        <f>C87/D61</f>
        <v>0</v>
      </c>
    </row>
    <row r="90" spans="2:4" x14ac:dyDescent="0.25">
      <c r="B90" t="s">
        <v>17</v>
      </c>
      <c r="C90" s="11">
        <f>C87*C86</f>
        <v>0</v>
      </c>
    </row>
    <row r="91" spans="2:4" x14ac:dyDescent="0.25">
      <c r="B91" t="s">
        <v>660</v>
      </c>
      <c r="C91" s="11">
        <f>(C85-C86)*C87</f>
        <v>0</v>
      </c>
    </row>
    <row r="92" spans="2:4" x14ac:dyDescent="0.25">
      <c r="C92" s="12">
        <f>SUM(C90:C91)</f>
        <v>0</v>
      </c>
    </row>
    <row r="94" spans="2:4" x14ac:dyDescent="0.25">
      <c r="B94" s="3"/>
      <c r="C94" s="12">
        <f>C92</f>
        <v>0</v>
      </c>
    </row>
    <row r="95" spans="2:4" x14ac:dyDescent="0.25">
      <c r="B95" t="s">
        <v>353</v>
      </c>
      <c r="D95" s="12">
        <f>C90</f>
        <v>0</v>
      </c>
    </row>
    <row r="96" spans="2:4" x14ac:dyDescent="0.25">
      <c r="B96" t="s">
        <v>354</v>
      </c>
      <c r="D96" s="12">
        <f>C91</f>
        <v>0</v>
      </c>
    </row>
    <row r="100" spans="2:15" x14ac:dyDescent="0.25">
      <c r="B100" t="s">
        <v>1463</v>
      </c>
    </row>
    <row r="101" spans="2:15" x14ac:dyDescent="0.25">
      <c r="B101" t="s">
        <v>1464</v>
      </c>
      <c r="C101" s="12">
        <f>$C$88*$F$76</f>
        <v>0</v>
      </c>
    </row>
    <row r="102" spans="2:15" x14ac:dyDescent="0.25">
      <c r="B102" t="s">
        <v>1465</v>
      </c>
      <c r="D102" s="12">
        <f>$C$88*$F$76</f>
        <v>0</v>
      </c>
    </row>
    <row r="105" spans="2:15" x14ac:dyDescent="0.25">
      <c r="B105" s="603" t="s">
        <v>1468</v>
      </c>
      <c r="C105" s="604"/>
      <c r="D105" s="604"/>
    </row>
    <row r="106" spans="2:15" x14ac:dyDescent="0.25">
      <c r="B106" t="s">
        <v>1464</v>
      </c>
      <c r="C106" s="12">
        <f>(1-$C$88)*$F$76</f>
        <v>0</v>
      </c>
    </row>
    <row r="107" spans="2:15" x14ac:dyDescent="0.25">
      <c r="B107" t="s">
        <v>1465</v>
      </c>
      <c r="D107" s="12">
        <f>(1-$C$88)*$F$76</f>
        <v>0</v>
      </c>
    </row>
    <row r="111" spans="2:15" ht="21" x14ac:dyDescent="0.35">
      <c r="B111" s="635" t="s">
        <v>1469</v>
      </c>
      <c r="C111" s="637"/>
      <c r="D111" s="637"/>
      <c r="E111" s="637"/>
      <c r="F111" s="637"/>
      <c r="G111" s="637"/>
      <c r="H111" s="637"/>
      <c r="I111" s="637"/>
      <c r="J111" s="637"/>
      <c r="K111" s="637"/>
      <c r="L111" s="637"/>
      <c r="M111" s="637"/>
      <c r="N111" s="637"/>
      <c r="O111" s="637"/>
    </row>
    <row r="112" spans="2:15" x14ac:dyDescent="0.25">
      <c r="B112" s="418" t="s">
        <v>1926</v>
      </c>
      <c r="C112" s="64"/>
      <c r="D112" s="64"/>
      <c r="E112" s="64"/>
      <c r="F112" s="64"/>
      <c r="G112" s="64"/>
      <c r="H112" s="64"/>
      <c r="I112" s="64"/>
      <c r="J112" s="64"/>
      <c r="K112" s="64"/>
      <c r="L112" s="64"/>
      <c r="M112" s="64"/>
      <c r="N112" s="64"/>
      <c r="O112" s="64"/>
    </row>
    <row r="113" spans="2:15" x14ac:dyDescent="0.25">
      <c r="B113" s="418" t="s">
        <v>1674</v>
      </c>
      <c r="C113" s="64"/>
      <c r="D113" s="64"/>
      <c r="E113" s="64"/>
      <c r="F113" s="64"/>
      <c r="G113" s="64"/>
      <c r="H113" s="64"/>
      <c r="I113" s="64"/>
      <c r="J113" s="64"/>
      <c r="K113" s="64"/>
      <c r="L113" s="64"/>
      <c r="M113" s="64"/>
      <c r="N113" s="64"/>
      <c r="O113" s="64"/>
    </row>
    <row r="114" spans="2:15" ht="21" x14ac:dyDescent="0.35">
      <c r="B114" s="662"/>
      <c r="C114" s="64"/>
      <c r="D114" s="64"/>
      <c r="E114" s="64"/>
      <c r="F114" s="64"/>
      <c r="G114" s="64"/>
      <c r="H114" s="64"/>
      <c r="I114" s="64"/>
      <c r="J114" s="64"/>
      <c r="K114" s="64"/>
      <c r="L114" s="64"/>
      <c r="M114" s="64"/>
      <c r="N114" s="64"/>
      <c r="O114" s="64"/>
    </row>
    <row r="115" spans="2:15" x14ac:dyDescent="0.25">
      <c r="B115" t="s">
        <v>351</v>
      </c>
      <c r="C115" s="788">
        <v>10</v>
      </c>
    </row>
    <row r="116" spans="2:15" x14ac:dyDescent="0.25">
      <c r="B116" t="s">
        <v>1462</v>
      </c>
      <c r="C116" s="627">
        <v>1</v>
      </c>
    </row>
    <row r="117" spans="2:15" x14ac:dyDescent="0.25">
      <c r="B117" t="s">
        <v>1471</v>
      </c>
      <c r="C117" s="786">
        <f>+C115*4.24</f>
        <v>42.400000000000006</v>
      </c>
      <c r="H117" s="418"/>
    </row>
    <row r="118" spans="2:15" x14ac:dyDescent="0.25">
      <c r="B118" t="s">
        <v>1470</v>
      </c>
      <c r="C118" s="715" t="s">
        <v>147</v>
      </c>
      <c r="H118" s="418"/>
    </row>
    <row r="119" spans="2:15" x14ac:dyDescent="0.25">
      <c r="B119" t="s">
        <v>1472</v>
      </c>
      <c r="C119" s="788">
        <v>75</v>
      </c>
      <c r="H119" s="418"/>
    </row>
    <row r="120" spans="2:15" x14ac:dyDescent="0.25">
      <c r="H120" s="418"/>
    </row>
    <row r="121" spans="2:15" x14ac:dyDescent="0.25">
      <c r="B121" s="418" t="str">
        <f>IF(C118="Yes","As we know the fair value of the asset received, the market value of equity is not relevant. The asset should be recognised at its fair value of £"&amp;C119,"We do not know the FV of the asset received, therefore we must measure at the market value of the equity")</f>
        <v>We do not know the FV of the asset received, therefore we must measure at the market value of the equity</v>
      </c>
    </row>
    <row r="122" spans="2:15" x14ac:dyDescent="0.25">
      <c r="B122" s="418" t="s">
        <v>1675</v>
      </c>
      <c r="H122" s="418"/>
    </row>
    <row r="123" spans="2:15" x14ac:dyDescent="0.25">
      <c r="H123" s="418"/>
    </row>
    <row r="124" spans="2:15" x14ac:dyDescent="0.25">
      <c r="B124" t="s">
        <v>17</v>
      </c>
      <c r="C124" s="11">
        <f>C115*C116</f>
        <v>10</v>
      </c>
      <c r="D124" s="11"/>
      <c r="H124" s="418"/>
    </row>
    <row r="125" spans="2:15" x14ac:dyDescent="0.25">
      <c r="B125" t="s">
        <v>660</v>
      </c>
      <c r="C125" s="11">
        <f>IF(C118="Yes",C128-D129,(C117-C116)*C115)</f>
        <v>414.00000000000006</v>
      </c>
      <c r="D125" s="11"/>
      <c r="H125" s="418"/>
    </row>
    <row r="126" spans="2:15" ht="15.75" thickBot="1" x14ac:dyDescent="0.3">
      <c r="B126" t="s">
        <v>1474</v>
      </c>
      <c r="C126" s="18">
        <f>IF(C118="yes",C119,C117)</f>
        <v>42.400000000000006</v>
      </c>
      <c r="D126" s="655" t="s">
        <v>1985</v>
      </c>
      <c r="H126" s="418"/>
    </row>
    <row r="127" spans="2:15" ht="15.75" thickTop="1" x14ac:dyDescent="0.25">
      <c r="C127" s="11"/>
      <c r="D127" s="11"/>
      <c r="H127" s="418"/>
    </row>
    <row r="128" spans="2:15" x14ac:dyDescent="0.25">
      <c r="B128" t="s">
        <v>1473</v>
      </c>
      <c r="C128" s="11">
        <f>C126</f>
        <v>42.400000000000006</v>
      </c>
      <c r="D128" s="11"/>
    </row>
    <row r="129" spans="2:15" x14ac:dyDescent="0.25">
      <c r="B129" t="s">
        <v>353</v>
      </c>
      <c r="C129" s="11"/>
      <c r="D129" s="11">
        <f>C115*C116</f>
        <v>10</v>
      </c>
    </row>
    <row r="130" spans="2:15" x14ac:dyDescent="0.25">
      <c r="B130" t="s">
        <v>354</v>
      </c>
      <c r="C130" s="11"/>
      <c r="D130" s="11">
        <f>C128-D129</f>
        <v>32.400000000000006</v>
      </c>
    </row>
    <row r="131" spans="2:15" x14ac:dyDescent="0.25">
      <c r="H131" s="418"/>
    </row>
    <row r="132" spans="2:15" x14ac:dyDescent="0.25">
      <c r="B132" s="418" t="str">
        <f>"The shares issued should be recognised at their nominal value of £"&amp;C124&amp;", with £"&amp;C125&amp;" recognised in the share premium account"</f>
        <v>The shares issued should be recognised at their nominal value of £10, with £414 recognised in the share premium account</v>
      </c>
    </row>
    <row r="133" spans="2:15" x14ac:dyDescent="0.25">
      <c r="B133" s="418" t="s">
        <v>1927</v>
      </c>
    </row>
    <row r="135" spans="2:15" ht="21" x14ac:dyDescent="0.35">
      <c r="B135" s="635" t="s">
        <v>1475</v>
      </c>
      <c r="C135" s="636" t="s">
        <v>1478</v>
      </c>
      <c r="D135" s="637"/>
      <c r="E135" s="637"/>
      <c r="F135" s="637"/>
      <c r="G135" s="637"/>
      <c r="H135" s="637"/>
      <c r="I135" s="637"/>
      <c r="J135" s="637"/>
      <c r="K135" s="637"/>
      <c r="L135" s="637"/>
      <c r="M135" s="637"/>
      <c r="N135" s="637"/>
      <c r="O135" s="637"/>
    </row>
    <row r="136" spans="2:15" x14ac:dyDescent="0.25">
      <c r="B136" t="s">
        <v>1476</v>
      </c>
    </row>
    <row r="138" spans="2:15" x14ac:dyDescent="0.25">
      <c r="B138" t="s">
        <v>1482</v>
      </c>
      <c r="C138" s="14">
        <v>5</v>
      </c>
      <c r="E138" s="418" t="s">
        <v>1826</v>
      </c>
    </row>
    <row r="139" spans="2:15" x14ac:dyDescent="0.25">
      <c r="B139" t="s">
        <v>1650</v>
      </c>
      <c r="C139" s="14">
        <v>100000</v>
      </c>
      <c r="E139" s="418" t="s">
        <v>1827</v>
      </c>
      <c r="H139" s="3">
        <v>4</v>
      </c>
    </row>
    <row r="140" spans="2:15" x14ac:dyDescent="0.25">
      <c r="B140" t="s">
        <v>1484</v>
      </c>
      <c r="C140" s="3">
        <v>4</v>
      </c>
      <c r="E140" s="418" t="str">
        <f>"Cash settled share based payments should be remeasured at the FV at each reporting date which is … per SAR at year end. At this date, xx out of the "&amp;C140&amp;" year vesting period is complete."</f>
        <v>Cash settled share based payments should be remeasured at the FV at each reporting date which is … per SAR at year end. At this date, xx out of the 4 year vesting period is complete.</v>
      </c>
    </row>
    <row r="141" spans="2:15" x14ac:dyDescent="0.25">
      <c r="E141" s="718" t="str">
        <f>"The liability to record at year end is "&amp;H139&amp;" employees * "&amp;C139&amp;" SAR * £"&amp;E148&amp;" * X/"&amp;C140&amp;" = "&amp;H148</f>
        <v>The liability to record at year end is 4 employees * 100000 SAR * £0.62 * X/4 = 206666.666666667</v>
      </c>
      <c r="F141" s="3"/>
      <c r="G141" s="3"/>
      <c r="H141" s="3"/>
      <c r="I141" s="3"/>
    </row>
    <row r="142" spans="2:15" x14ac:dyDescent="0.25">
      <c r="E142" s="718" t="str">
        <f>"The increase of £"&amp;I148&amp;" needs to be recorded"</f>
        <v>The increase of £-581666.333333333 needs to be recorded</v>
      </c>
      <c r="F142" s="3"/>
      <c r="G142" s="3"/>
    </row>
    <row r="143" spans="2:15" ht="15.75" thickBot="1" x14ac:dyDescent="0.3"/>
    <row r="144" spans="2:15" x14ac:dyDescent="0.25">
      <c r="B144" s="629" t="s">
        <v>1452</v>
      </c>
      <c r="C144" s="630" t="s">
        <v>1450</v>
      </c>
      <c r="D144" s="61" t="s">
        <v>1357</v>
      </c>
      <c r="E144" s="61" t="s">
        <v>1483</v>
      </c>
      <c r="F144" s="61" t="s">
        <v>1485</v>
      </c>
      <c r="G144" s="634" t="s">
        <v>1486</v>
      </c>
      <c r="H144" s="630" t="s">
        <v>1479</v>
      </c>
      <c r="I144" s="631" t="s">
        <v>192</v>
      </c>
      <c r="K144" s="73" t="s">
        <v>1454</v>
      </c>
      <c r="L144" s="61"/>
      <c r="M144" s="61"/>
      <c r="N144" s="61"/>
      <c r="O144" s="62"/>
    </row>
    <row r="145" spans="2:17" x14ac:dyDescent="0.25">
      <c r="B145" s="63"/>
      <c r="C145" s="64"/>
      <c r="D145" s="64"/>
      <c r="E145" s="64"/>
      <c r="F145" s="64"/>
      <c r="G145" s="64"/>
      <c r="H145" s="65" t="s">
        <v>10</v>
      </c>
      <c r="I145" s="124" t="s">
        <v>10</v>
      </c>
      <c r="K145" s="63"/>
      <c r="L145" s="64"/>
      <c r="M145" s="64"/>
      <c r="N145" s="64"/>
      <c r="O145" s="66"/>
      <c r="Q145" s="418" t="s">
        <v>1653</v>
      </c>
    </row>
    <row r="146" spans="2:17" x14ac:dyDescent="0.25">
      <c r="B146" s="63">
        <v>1</v>
      </c>
      <c r="C146" s="48">
        <v>5</v>
      </c>
      <c r="D146" s="83">
        <f>C146*$C$139</f>
        <v>500000</v>
      </c>
      <c r="E146" s="48">
        <v>0.62</v>
      </c>
      <c r="F146" s="83">
        <f>D146*E146</f>
        <v>310000</v>
      </c>
      <c r="G146" s="64" t="str">
        <f>B146&amp;"/"&amp;$C$140</f>
        <v>1/4</v>
      </c>
      <c r="H146" s="83">
        <v>788333</v>
      </c>
      <c r="I146" s="69">
        <f>H146</f>
        <v>788333</v>
      </c>
      <c r="K146" s="932">
        <v>1</v>
      </c>
      <c r="L146" s="64" t="s">
        <v>1453</v>
      </c>
      <c r="M146" s="64"/>
      <c r="N146" s="17">
        <f>I146</f>
        <v>788333</v>
      </c>
      <c r="O146" s="66"/>
      <c r="Q146" s="418" t="s">
        <v>1654</v>
      </c>
    </row>
    <row r="147" spans="2:17" x14ac:dyDescent="0.25">
      <c r="B147" s="183"/>
      <c r="C147" s="149"/>
      <c r="D147" s="109"/>
      <c r="E147" s="64"/>
      <c r="F147" s="109"/>
      <c r="G147" s="64"/>
      <c r="H147" s="109"/>
      <c r="I147" s="138"/>
      <c r="K147" s="932"/>
      <c r="L147" s="149" t="s">
        <v>1477</v>
      </c>
      <c r="M147" s="149"/>
      <c r="N147" s="149"/>
      <c r="O147" s="138">
        <f>I146</f>
        <v>788333</v>
      </c>
    </row>
    <row r="148" spans="2:17" x14ac:dyDescent="0.25">
      <c r="B148" s="63">
        <v>2</v>
      </c>
      <c r="C148" s="48">
        <v>5</v>
      </c>
      <c r="D148" s="83">
        <f>C148*$C$139</f>
        <v>500000</v>
      </c>
      <c r="E148" s="48">
        <v>0.62</v>
      </c>
      <c r="F148" s="83">
        <f>D148*E148</f>
        <v>310000</v>
      </c>
      <c r="G148" s="64" t="str">
        <f>B148&amp;"/"&amp;$C$140</f>
        <v>2/4</v>
      </c>
      <c r="H148" s="83">
        <f>F148/3*B148</f>
        <v>206666.66666666666</v>
      </c>
      <c r="I148" s="69">
        <f>H148-H146</f>
        <v>-581666.33333333337</v>
      </c>
      <c r="K148" s="932">
        <v>2</v>
      </c>
      <c r="L148" s="64" t="s">
        <v>1453</v>
      </c>
      <c r="M148" s="64"/>
      <c r="N148" s="17">
        <f>I148</f>
        <v>-581666.33333333337</v>
      </c>
      <c r="O148" s="66"/>
    </row>
    <row r="149" spans="2:17" x14ac:dyDescent="0.25">
      <c r="B149" s="183"/>
      <c r="C149" s="149"/>
      <c r="D149" s="109"/>
      <c r="E149" s="64"/>
      <c r="F149" s="109"/>
      <c r="G149" s="64"/>
      <c r="H149" s="109"/>
      <c r="I149" s="138"/>
      <c r="K149" s="932"/>
      <c r="L149" s="149" t="s">
        <v>1477</v>
      </c>
      <c r="M149" s="149"/>
      <c r="N149" s="149"/>
      <c r="O149" s="138">
        <f>I148</f>
        <v>-581666.33333333337</v>
      </c>
    </row>
    <row r="150" spans="2:17" x14ac:dyDescent="0.25">
      <c r="B150" s="63">
        <v>3</v>
      </c>
      <c r="C150" s="48">
        <v>4</v>
      </c>
      <c r="D150" s="83">
        <f>C150*$C$139</f>
        <v>400000</v>
      </c>
      <c r="E150" s="48">
        <v>0.62</v>
      </c>
      <c r="F150" s="83">
        <f>D150*E150</f>
        <v>248000</v>
      </c>
      <c r="G150" s="64" t="str">
        <f>B150&amp;"/"&amp;$C$140</f>
        <v>3/4</v>
      </c>
      <c r="H150" s="83">
        <f>F150/3*B150</f>
        <v>248000</v>
      </c>
      <c r="I150" s="69">
        <f>H150-H148</f>
        <v>41333.333333333343</v>
      </c>
      <c r="K150" s="932">
        <v>3</v>
      </c>
      <c r="L150" s="64" t="s">
        <v>1453</v>
      </c>
      <c r="M150" s="64"/>
      <c r="N150" s="17">
        <f>I150</f>
        <v>41333.333333333343</v>
      </c>
      <c r="O150" s="66"/>
    </row>
    <row r="151" spans="2:17" ht="15.75" thickBot="1" x14ac:dyDescent="0.3">
      <c r="B151" s="70"/>
      <c r="C151" s="71"/>
      <c r="D151" s="71"/>
      <c r="E151" s="71"/>
      <c r="F151" s="71"/>
      <c r="G151" s="71"/>
      <c r="H151" s="71"/>
      <c r="I151" s="80"/>
      <c r="K151" s="933"/>
      <c r="L151" s="632" t="s">
        <v>1477</v>
      </c>
      <c r="M151" s="71"/>
      <c r="N151" s="71"/>
      <c r="O151" s="108">
        <f>I150</f>
        <v>41333.333333333343</v>
      </c>
    </row>
    <row r="153" spans="2:17" x14ac:dyDescent="0.25">
      <c r="B153" s="418" t="s">
        <v>1655</v>
      </c>
    </row>
    <row r="154" spans="2:17" x14ac:dyDescent="0.25">
      <c r="B154" t="s">
        <v>1480</v>
      </c>
      <c r="K154" s="418" t="s">
        <v>1828</v>
      </c>
    </row>
    <row r="155" spans="2:17" x14ac:dyDescent="0.25">
      <c r="B155" t="s">
        <v>1481</v>
      </c>
      <c r="C155" s="12">
        <f>H150</f>
        <v>248000</v>
      </c>
    </row>
    <row r="156" spans="2:17" x14ac:dyDescent="0.25">
      <c r="B156" s="3" t="s">
        <v>390</v>
      </c>
      <c r="D156" s="12">
        <f>H150</f>
        <v>248000</v>
      </c>
    </row>
  </sheetData>
  <mergeCells count="9">
    <mergeCell ref="I19:I20"/>
    <mergeCell ref="I21:I22"/>
    <mergeCell ref="I23:I24"/>
    <mergeCell ref="K150:K151"/>
    <mergeCell ref="I74:I75"/>
    <mergeCell ref="I76:I77"/>
    <mergeCell ref="I78:I79"/>
    <mergeCell ref="K146:K147"/>
    <mergeCell ref="K148:K149"/>
  </mergeCells>
  <dataValidations count="1">
    <dataValidation type="list" allowBlank="1" showInputMessage="1" showErrorMessage="1" sqref="E67" xr:uid="{CF16AC99-6860-47BD-9775-ADE6762E0FDF}">
      <formula1>$C$64:$E$64</formula1>
    </dataValidation>
  </dataValidations>
  <hyperlinks>
    <hyperlink ref="A1" location="Main!A1" display="Main" xr:uid="{1568D406-99E9-47DE-A335-5ED540A18162}"/>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C118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K65"/>
  <sheetViews>
    <sheetView zoomScale="70" zoomScaleNormal="70" workbookViewId="0">
      <selection activeCell="B52" sqref="B52"/>
    </sheetView>
  </sheetViews>
  <sheetFormatPr defaultRowHeight="15" x14ac:dyDescent="0.25"/>
  <cols>
    <col min="2" max="2" width="11.28515625" customWidth="1"/>
    <col min="4" max="4" width="13.140625" customWidth="1"/>
    <col min="5" max="5" width="18.85546875" customWidth="1"/>
    <col min="6" max="6" width="17.5703125" customWidth="1"/>
    <col min="7" max="7" width="11" bestFit="1" customWidth="1"/>
    <col min="8" max="8" width="13.140625" bestFit="1" customWidth="1"/>
  </cols>
  <sheetData>
    <row r="1" spans="1:11" x14ac:dyDescent="0.25">
      <c r="A1" s="161" t="s">
        <v>1984</v>
      </c>
    </row>
    <row r="2" spans="1:11" x14ac:dyDescent="0.25">
      <c r="B2" s="1" t="s">
        <v>1211</v>
      </c>
      <c r="H2" t="s">
        <v>1218</v>
      </c>
    </row>
    <row r="3" spans="1:11" x14ac:dyDescent="0.25">
      <c r="B3" t="s">
        <v>1209</v>
      </c>
      <c r="E3" s="579"/>
      <c r="I3" t="s">
        <v>1216</v>
      </c>
      <c r="J3" t="s">
        <v>1217</v>
      </c>
    </row>
    <row r="4" spans="1:11" x14ac:dyDescent="0.25">
      <c r="B4" t="s">
        <v>1215</v>
      </c>
      <c r="E4" s="579">
        <v>0</v>
      </c>
      <c r="H4" s="14"/>
      <c r="I4" s="3"/>
      <c r="J4" s="3"/>
    </row>
    <row r="5" spans="1:11" ht="15.75" thickBot="1" x14ac:dyDescent="0.3">
      <c r="E5" s="582">
        <f>SUM(E3:E4)</f>
        <v>0</v>
      </c>
    </row>
    <row r="6" spans="1:11" ht="15.75" thickTop="1" x14ac:dyDescent="0.25">
      <c r="B6" t="s">
        <v>1219</v>
      </c>
      <c r="E6" s="579">
        <f>0.3*500</f>
        <v>150</v>
      </c>
      <c r="K6" s="418" t="s">
        <v>1934</v>
      </c>
    </row>
    <row r="7" spans="1:11" x14ac:dyDescent="0.25">
      <c r="E7" s="580"/>
    </row>
    <row r="8" spans="1:11" x14ac:dyDescent="0.25">
      <c r="B8" s="418" t="s">
        <v>1594</v>
      </c>
      <c r="E8" s="580"/>
    </row>
    <row r="9" spans="1:11" x14ac:dyDescent="0.25">
      <c r="B9" s="418" t="s">
        <v>1586</v>
      </c>
      <c r="E9" s="580"/>
    </row>
    <row r="10" spans="1:11" x14ac:dyDescent="0.25">
      <c r="B10" s="418" t="s">
        <v>1587</v>
      </c>
      <c r="E10" s="580"/>
    </row>
    <row r="11" spans="1:11" x14ac:dyDescent="0.25">
      <c r="B11" s="649" t="str">
        <f>IF((E3+E4)&gt;E6,"Distributable profits plus proceeds from the share issue is equal to "&amp;E3+E4&amp;", which is greater than the purchase price of "&amp;E6&amp;" and so the purchase is legal","Distributable profits of "&amp;E3+E4&amp;" are less than the purchase price of "&amp;E6&amp;" and so the purchase is not legal")</f>
        <v>Distributable profits of 0 are less than the purchase price of 150 and so the purchase is not legal</v>
      </c>
    </row>
    <row r="13" spans="1:11" x14ac:dyDescent="0.25">
      <c r="B13" s="1" t="s">
        <v>1210</v>
      </c>
    </row>
    <row r="14" spans="1:11" x14ac:dyDescent="0.25">
      <c r="B14" t="s">
        <v>1253</v>
      </c>
      <c r="E14" s="27">
        <v>500</v>
      </c>
    </row>
    <row r="15" spans="1:11" x14ac:dyDescent="0.25">
      <c r="B15" t="s">
        <v>1202</v>
      </c>
      <c r="E15" s="578">
        <v>0.1</v>
      </c>
    </row>
    <row r="17" spans="2:8" x14ac:dyDescent="0.25">
      <c r="B17" t="s">
        <v>1204</v>
      </c>
      <c r="E17" s="576">
        <f>E14*E15</f>
        <v>50</v>
      </c>
    </row>
    <row r="18" spans="2:8" x14ac:dyDescent="0.25">
      <c r="B18" t="s">
        <v>1203</v>
      </c>
      <c r="E18" s="577">
        <f>E6-E17</f>
        <v>100</v>
      </c>
    </row>
    <row r="19" spans="2:8" x14ac:dyDescent="0.25">
      <c r="E19" s="577"/>
    </row>
    <row r="20" spans="2:8" x14ac:dyDescent="0.25">
      <c r="B20" t="s">
        <v>1205</v>
      </c>
      <c r="E20" s="576">
        <f>E17</f>
        <v>50</v>
      </c>
    </row>
    <row r="21" spans="2:8" x14ac:dyDescent="0.25">
      <c r="B21" t="s">
        <v>1206</v>
      </c>
      <c r="E21" s="577">
        <f>E18</f>
        <v>100</v>
      </c>
    </row>
    <row r="22" spans="2:8" x14ac:dyDescent="0.25">
      <c r="B22" s="3" t="s">
        <v>356</v>
      </c>
      <c r="F22" s="577">
        <f>E6</f>
        <v>150</v>
      </c>
    </row>
    <row r="23" spans="2:8" x14ac:dyDescent="0.25">
      <c r="F23" s="577"/>
    </row>
    <row r="24" spans="2:8" x14ac:dyDescent="0.25">
      <c r="B24" s="1" t="s">
        <v>1212</v>
      </c>
      <c r="F24" s="577"/>
    </row>
    <row r="25" spans="2:8" x14ac:dyDescent="0.25">
      <c r="B25" s="9" t="s">
        <v>17</v>
      </c>
      <c r="D25" s="37" t="str">
        <f>H4&amp;"* £"&amp;I4</f>
        <v>* £</v>
      </c>
      <c r="F25" s="577">
        <f>H4*I4</f>
        <v>0</v>
      </c>
      <c r="H25" s="418" t="s">
        <v>1538</v>
      </c>
    </row>
    <row r="26" spans="2:8" x14ac:dyDescent="0.25">
      <c r="B26" s="9" t="s">
        <v>660</v>
      </c>
      <c r="D26" s="37" t="str">
        <f>H4&amp;"* £"&amp;J4</f>
        <v>* £</v>
      </c>
      <c r="F26" s="577">
        <f>H4*J4</f>
        <v>0</v>
      </c>
    </row>
    <row r="27" spans="2:8" ht="15.75" thickBot="1" x14ac:dyDescent="0.3">
      <c r="B27" s="9" t="s">
        <v>1589</v>
      </c>
      <c r="F27" s="581">
        <f>SUM(F25:F26)</f>
        <v>0</v>
      </c>
    </row>
    <row r="28" spans="2:8" ht="15.75" thickTop="1" x14ac:dyDescent="0.25">
      <c r="B28" s="1"/>
      <c r="F28" s="577"/>
    </row>
    <row r="29" spans="2:8" x14ac:dyDescent="0.25">
      <c r="B29" s="650" t="s">
        <v>273</v>
      </c>
      <c r="E29" s="577">
        <f>F27</f>
        <v>0</v>
      </c>
    </row>
    <row r="30" spans="2:8" x14ac:dyDescent="0.25">
      <c r="B30" s="9" t="s">
        <v>353</v>
      </c>
      <c r="F30" s="577">
        <f>F25</f>
        <v>0</v>
      </c>
    </row>
    <row r="31" spans="2:8" x14ac:dyDescent="0.25">
      <c r="B31" s="9" t="s">
        <v>354</v>
      </c>
      <c r="F31" s="577">
        <f>F26</f>
        <v>0</v>
      </c>
    </row>
    <row r="32" spans="2:8" x14ac:dyDescent="0.25">
      <c r="B32" s="1"/>
      <c r="F32" s="577"/>
    </row>
    <row r="33" spans="2:8" x14ac:dyDescent="0.25">
      <c r="B33" s="1"/>
      <c r="F33" s="577"/>
    </row>
    <row r="34" spans="2:8" x14ac:dyDescent="0.25">
      <c r="B34" s="1" t="s">
        <v>1213</v>
      </c>
      <c r="F34" s="583"/>
    </row>
    <row r="35" spans="2:8" x14ac:dyDescent="0.25">
      <c r="B35" s="9" t="s">
        <v>1254</v>
      </c>
      <c r="F35" s="586" t="s">
        <v>147</v>
      </c>
    </row>
    <row r="36" spans="2:8" x14ac:dyDescent="0.25">
      <c r="B36" s="418" t="s">
        <v>1225</v>
      </c>
      <c r="F36" s="583"/>
    </row>
    <row r="37" spans="2:8" x14ac:dyDescent="0.25">
      <c r="B37" s="418" t="s">
        <v>1226</v>
      </c>
      <c r="F37" s="583"/>
    </row>
    <row r="38" spans="2:8" x14ac:dyDescent="0.25">
      <c r="B38" s="418" t="s">
        <v>1588</v>
      </c>
      <c r="F38" s="583"/>
    </row>
    <row r="39" spans="2:8" x14ac:dyDescent="0.25">
      <c r="B39" s="418" t="s">
        <v>1938</v>
      </c>
      <c r="F39" s="583"/>
    </row>
    <row r="40" spans="2:8" x14ac:dyDescent="0.25">
      <c r="B40" s="1"/>
      <c r="F40" s="583"/>
    </row>
    <row r="41" spans="2:8" x14ac:dyDescent="0.25">
      <c r="B41" s="1" t="s">
        <v>1224</v>
      </c>
      <c r="F41" s="584">
        <v>40</v>
      </c>
      <c r="H41" s="418" t="s">
        <v>1222</v>
      </c>
    </row>
    <row r="42" spans="2:8" x14ac:dyDescent="0.25">
      <c r="B42" s="1"/>
      <c r="H42" s="418"/>
    </row>
    <row r="43" spans="2:8" x14ac:dyDescent="0.25">
      <c r="B43" s="9" t="s">
        <v>1223</v>
      </c>
      <c r="F43" s="585">
        <v>3750</v>
      </c>
      <c r="H43" s="418"/>
    </row>
    <row r="44" spans="2:8" x14ac:dyDescent="0.25">
      <c r="B44" s="9" t="s">
        <v>1221</v>
      </c>
      <c r="F44" s="577">
        <f>F31</f>
        <v>0</v>
      </c>
    </row>
    <row r="45" spans="2:8" x14ac:dyDescent="0.25">
      <c r="B45" s="1" t="s">
        <v>1220</v>
      </c>
      <c r="F45" s="583">
        <f>SUM(F43:F44)</f>
        <v>3750</v>
      </c>
    </row>
    <row r="46" spans="2:8" x14ac:dyDescent="0.25">
      <c r="B46" s="1"/>
      <c r="F46" s="583"/>
    </row>
    <row r="47" spans="2:8" x14ac:dyDescent="0.25">
      <c r="B47" s="418" t="s">
        <v>1227</v>
      </c>
      <c r="F47" s="583"/>
    </row>
    <row r="48" spans="2:8" x14ac:dyDescent="0.25">
      <c r="B48" s="9" t="s">
        <v>972</v>
      </c>
      <c r="E48" s="577" cm="1">
        <f t="array" ref="E48">_xlfn.IFS(AND(F41&lt;F45,F35="Yes"),F41,F35="No",0,AND(F41&gt;F45,F35="Yes"),F45)</f>
        <v>0</v>
      </c>
    </row>
    <row r="49" spans="2:7" x14ac:dyDescent="0.25">
      <c r="B49" t="s">
        <v>690</v>
      </c>
      <c r="E49" s="577">
        <f>E21-E48</f>
        <v>100</v>
      </c>
    </row>
    <row r="50" spans="2:7" x14ac:dyDescent="0.25">
      <c r="B50" t="s">
        <v>1207</v>
      </c>
      <c r="F50" s="577">
        <f>E21</f>
        <v>100</v>
      </c>
    </row>
    <row r="51" spans="2:7" x14ac:dyDescent="0.25">
      <c r="F51" s="577"/>
    </row>
    <row r="52" spans="2:7" x14ac:dyDescent="0.25">
      <c r="B52" s="1" t="s">
        <v>1214</v>
      </c>
    </row>
    <row r="53" spans="2:7" x14ac:dyDescent="0.25">
      <c r="B53" s="418" t="s">
        <v>1939</v>
      </c>
    </row>
    <row r="54" spans="2:7" x14ac:dyDescent="0.25">
      <c r="B54" s="1"/>
    </row>
    <row r="55" spans="2:7" x14ac:dyDescent="0.25">
      <c r="B55" s="9" t="s">
        <v>1255</v>
      </c>
      <c r="F55" s="576">
        <f>E20</f>
        <v>50</v>
      </c>
    </row>
    <row r="56" spans="2:7" x14ac:dyDescent="0.25">
      <c r="B56" s="9" t="s">
        <v>21</v>
      </c>
      <c r="F56" s="577">
        <f>F27</f>
        <v>0</v>
      </c>
    </row>
    <row r="57" spans="2:7" x14ac:dyDescent="0.25">
      <c r="B57" s="1" t="s">
        <v>1590</v>
      </c>
      <c r="F57" s="577">
        <f>F56-F55</f>
        <v>-50</v>
      </c>
      <c r="G57" s="649" t="str">
        <f>"=("&amp;F56&amp;"-"&amp;F55&amp;")"</f>
        <v>=(0-50)</v>
      </c>
    </row>
    <row r="58" spans="2:7" x14ac:dyDescent="0.25">
      <c r="B58" s="1"/>
    </row>
    <row r="59" spans="2:7" x14ac:dyDescent="0.25">
      <c r="B59" t="s">
        <v>690</v>
      </c>
      <c r="E59" s="576" cm="1">
        <f t="array" ref="E59">_xlfn.IFS(AND(E17&gt;F27,F35="Yes"),E17-F27,AND(E17&lt;F27,F35="Yes"),0,F35="No",E17)</f>
        <v>50</v>
      </c>
    </row>
    <row r="60" spans="2:7" x14ac:dyDescent="0.25">
      <c r="B60" t="s">
        <v>1208</v>
      </c>
      <c r="F60" s="576" cm="1">
        <f t="array" ref="F60">_xlfn.IFS(AND(E17&gt;F27,F35="Yes"),E17-F27,AND(E17&lt;F27,F35="Yes"),0,F35="No",E17)</f>
        <v>50</v>
      </c>
    </row>
    <row r="63" spans="2:7" x14ac:dyDescent="0.25">
      <c r="B63" s="1" t="s">
        <v>1593</v>
      </c>
    </row>
    <row r="64" spans="2:7" x14ac:dyDescent="0.25">
      <c r="B64" s="418" t="s">
        <v>1591</v>
      </c>
    </row>
    <row r="65" spans="2:2" x14ac:dyDescent="0.25">
      <c r="B65" s="418" t="s">
        <v>1592</v>
      </c>
    </row>
  </sheetData>
  <hyperlinks>
    <hyperlink ref="A1" location="Main!A1" display="Main" xr:uid="{66451642-2556-40CC-9323-2708516480CB}"/>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F35</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O45"/>
  <sheetViews>
    <sheetView zoomScale="80" zoomScaleNormal="80" workbookViewId="0"/>
  </sheetViews>
  <sheetFormatPr defaultRowHeight="15" x14ac:dyDescent="0.25"/>
  <cols>
    <col min="2" max="2" width="27.7109375" customWidth="1"/>
    <col min="3" max="3" width="14.140625" customWidth="1"/>
    <col min="4" max="4" width="2" customWidth="1"/>
    <col min="5" max="5" width="14.140625" customWidth="1"/>
  </cols>
  <sheetData>
    <row r="1" spans="1:15" x14ac:dyDescent="0.25">
      <c r="A1" s="161" t="s">
        <v>1984</v>
      </c>
    </row>
    <row r="2" spans="1:15" x14ac:dyDescent="0.25">
      <c r="B2" s="1" t="s">
        <v>1533</v>
      </c>
      <c r="O2" s="492" t="s">
        <v>1769</v>
      </c>
    </row>
    <row r="3" spans="1:15" x14ac:dyDescent="0.25">
      <c r="B3" t="s">
        <v>1526</v>
      </c>
      <c r="C3" s="3">
        <v>1</v>
      </c>
      <c r="D3" t="s">
        <v>1528</v>
      </c>
      <c r="E3" s="645">
        <v>10</v>
      </c>
    </row>
    <row r="4" spans="1:15" x14ac:dyDescent="0.25">
      <c r="B4" t="s">
        <v>1527</v>
      </c>
      <c r="C4" s="3">
        <v>0.31</v>
      </c>
    </row>
    <row r="5" spans="1:15" x14ac:dyDescent="0.25">
      <c r="B5" t="s">
        <v>1530</v>
      </c>
      <c r="C5" s="14">
        <v>62500</v>
      </c>
    </row>
    <row r="6" spans="1:15" x14ac:dyDescent="0.25">
      <c r="B6" t="s">
        <v>1529</v>
      </c>
      <c r="C6" s="187">
        <v>0.9</v>
      </c>
    </row>
    <row r="7" spans="1:15" x14ac:dyDescent="0.25">
      <c r="B7" t="s">
        <v>1462</v>
      </c>
      <c r="C7" s="578">
        <v>0.1</v>
      </c>
    </row>
    <row r="10" spans="1:15" x14ac:dyDescent="0.25">
      <c r="B10" t="s">
        <v>1531</v>
      </c>
      <c r="C10" s="12">
        <f>(C5/E3)*C3*C6</f>
        <v>5625</v>
      </c>
      <c r="E10" s="418" t="str">
        <f>"="&amp;C5&amp;"/"&amp;E3&amp;"*"&amp;C3&amp;"*"&amp;C6</f>
        <v>=62500/10*1*0.9</v>
      </c>
    </row>
    <row r="11" spans="1:15" x14ac:dyDescent="0.25">
      <c r="B11" t="s">
        <v>150</v>
      </c>
      <c r="C11" s="12">
        <f>C10*C4</f>
        <v>1743.75</v>
      </c>
    </row>
    <row r="13" spans="1:15" x14ac:dyDescent="0.25">
      <c r="B13" t="str">
        <f>"Share capital (£"&amp;C7&amp;"*"&amp;C10&amp;")"</f>
        <v>Share capital (£0.1*5625)</v>
      </c>
      <c r="C13" s="12">
        <f>C7*C10</f>
        <v>562.5</v>
      </c>
    </row>
    <row r="14" spans="1:15" x14ac:dyDescent="0.25">
      <c r="B14" t="s">
        <v>660</v>
      </c>
      <c r="C14" s="12">
        <f>C11-C10</f>
        <v>-3881.25</v>
      </c>
    </row>
    <row r="15" spans="1:15" ht="15.75" thickBot="1" x14ac:dyDescent="0.3">
      <c r="B15" t="s">
        <v>150</v>
      </c>
      <c r="C15" s="92">
        <f>SUM(C13:C14)</f>
        <v>-3318.75</v>
      </c>
    </row>
    <row r="16" spans="1:15" ht="15.75" thickTop="1" x14ac:dyDescent="0.25"/>
    <row r="17" spans="2:13" x14ac:dyDescent="0.25">
      <c r="B17" s="3" t="s">
        <v>1532</v>
      </c>
      <c r="C17" s="12">
        <f>C15</f>
        <v>-3318.75</v>
      </c>
    </row>
    <row r="18" spans="2:13" x14ac:dyDescent="0.25">
      <c r="B18" t="s">
        <v>353</v>
      </c>
      <c r="E18" s="12">
        <f>C13</f>
        <v>562.5</v>
      </c>
    </row>
    <row r="19" spans="2:13" x14ac:dyDescent="0.25">
      <c r="B19" t="s">
        <v>354</v>
      </c>
      <c r="E19" s="12">
        <f>C14</f>
        <v>-3881.25</v>
      </c>
    </row>
    <row r="23" spans="2:13" x14ac:dyDescent="0.25">
      <c r="B23" s="1" t="s">
        <v>21</v>
      </c>
      <c r="M23" t="s">
        <v>1770</v>
      </c>
    </row>
    <row r="24" spans="2:13" x14ac:dyDescent="0.25">
      <c r="B24" t="s">
        <v>1534</v>
      </c>
      <c r="C24" s="14">
        <v>1500</v>
      </c>
    </row>
    <row r="25" spans="2:13" x14ac:dyDescent="0.25">
      <c r="B25" t="s">
        <v>1535</v>
      </c>
      <c r="C25" s="578">
        <v>1</v>
      </c>
    </row>
    <row r="26" spans="2:13" x14ac:dyDescent="0.25">
      <c r="B26" t="s">
        <v>1536</v>
      </c>
      <c r="C26" s="627"/>
    </row>
    <row r="27" spans="2:13" x14ac:dyDescent="0.25">
      <c r="B27" t="s">
        <v>1537</v>
      </c>
      <c r="C27" s="3"/>
    </row>
    <row r="29" spans="2:13" x14ac:dyDescent="0.25">
      <c r="B29" t="s">
        <v>1767</v>
      </c>
      <c r="C29" s="11">
        <f>C24*C26-C27</f>
        <v>0</v>
      </c>
    </row>
    <row r="30" spans="2:13" x14ac:dyDescent="0.25">
      <c r="B30" t="s">
        <v>1768</v>
      </c>
      <c r="C30" s="11">
        <f>IF(C27&lt;(C26-C25)*C24,0,C27)</f>
        <v>0</v>
      </c>
    </row>
    <row r="31" spans="2:13" x14ac:dyDescent="0.25">
      <c r="B31" t="s">
        <v>353</v>
      </c>
      <c r="E31" s="11">
        <f>C24*C25</f>
        <v>1500</v>
      </c>
    </row>
    <row r="32" spans="2:13" x14ac:dyDescent="0.25">
      <c r="B32" t="s">
        <v>354</v>
      </c>
      <c r="E32" s="11">
        <f>IF(C27&lt;(C26-C25)*C24,(C26-C25)*C24-C27,(C26-C25)*C24)</f>
        <v>-1500</v>
      </c>
    </row>
    <row r="34" spans="2:9" x14ac:dyDescent="0.25">
      <c r="B34" s="1" t="s">
        <v>1670</v>
      </c>
    </row>
    <row r="35" spans="2:9" x14ac:dyDescent="0.25">
      <c r="B35" s="418" t="s">
        <v>1676</v>
      </c>
    </row>
    <row r="36" spans="2:9" x14ac:dyDescent="0.25">
      <c r="B36" s="418" t="s">
        <v>1677</v>
      </c>
    </row>
    <row r="37" spans="2:9" x14ac:dyDescent="0.25">
      <c r="B37" t="s">
        <v>1526</v>
      </c>
      <c r="C37" s="3"/>
      <c r="D37" t="s">
        <v>1528</v>
      </c>
      <c r="E37" s="645"/>
    </row>
    <row r="39" spans="2:9" x14ac:dyDescent="0.25">
      <c r="B39" t="s">
        <v>1671</v>
      </c>
      <c r="C39" s="14"/>
      <c r="I39" s="1" t="s">
        <v>1771</v>
      </c>
    </row>
    <row r="40" spans="2:9" x14ac:dyDescent="0.25">
      <c r="B40" t="s">
        <v>1535</v>
      </c>
      <c r="C40" s="14"/>
    </row>
    <row r="42" spans="2:9" x14ac:dyDescent="0.25">
      <c r="B42" t="s">
        <v>1672</v>
      </c>
      <c r="C42" s="12" t="e">
        <f>C39/E37*C37</f>
        <v>#DIV/0!</v>
      </c>
      <c r="E42" s="418" t="str">
        <f>"= ("&amp;C39&amp;"/"&amp;E37&amp;"*"&amp;C37&amp;")"</f>
        <v>= (/*)</v>
      </c>
    </row>
    <row r="44" spans="2:9" x14ac:dyDescent="0.25">
      <c r="B44" t="s">
        <v>1673</v>
      </c>
      <c r="E44" s="11" t="e">
        <f>C42*C40</f>
        <v>#DIV/0!</v>
      </c>
    </row>
    <row r="45" spans="2:9" x14ac:dyDescent="0.25">
      <c r="B45" t="s">
        <v>690</v>
      </c>
      <c r="C45" s="11" t="e">
        <f>C42*C40</f>
        <v>#DIV/0!</v>
      </c>
    </row>
  </sheetData>
  <hyperlinks>
    <hyperlink ref="A1" location="Main!A1" display="Main" xr:uid="{75372360-CE08-4608-980C-5AC8395F524C}"/>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A1: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1" spans="1:15" x14ac:dyDescent="0.25">
      <c r="A1" s="161" t="s">
        <v>1984</v>
      </c>
    </row>
    <row r="2" spans="1:15" x14ac:dyDescent="0.25">
      <c r="B2" s="1"/>
    </row>
    <row r="3" spans="1:15" x14ac:dyDescent="0.25">
      <c r="B3" s="1" t="s">
        <v>14</v>
      </c>
    </row>
    <row r="4" spans="1:15" x14ac:dyDescent="0.25">
      <c r="B4" s="1" t="str">
        <f>"For the year ended"&amp;" "&amp;Info!C3</f>
        <v xml:space="preserve">For the year ended </v>
      </c>
    </row>
    <row r="5" spans="1:15" x14ac:dyDescent="0.25">
      <c r="L5" s="418" t="s">
        <v>893</v>
      </c>
    </row>
    <row r="6" spans="1:15" x14ac:dyDescent="0.25">
      <c r="C6" s="4" t="s">
        <v>17</v>
      </c>
      <c r="D6" s="4" t="s">
        <v>18</v>
      </c>
      <c r="E6" s="4" t="s">
        <v>19</v>
      </c>
      <c r="F6" s="4" t="s">
        <v>892</v>
      </c>
      <c r="G6" s="4" t="s">
        <v>20</v>
      </c>
      <c r="L6" s="418" t="s">
        <v>891</v>
      </c>
    </row>
    <row r="7" spans="1:15" x14ac:dyDescent="0.25">
      <c r="C7" s="5" t="s">
        <v>10</v>
      </c>
      <c r="D7" s="5" t="s">
        <v>10</v>
      </c>
      <c r="E7" s="5" t="s">
        <v>10</v>
      </c>
      <c r="F7" s="5" t="s">
        <v>10</v>
      </c>
      <c r="G7" s="5" t="s">
        <v>10</v>
      </c>
    </row>
    <row r="8" spans="1:15" x14ac:dyDescent="0.25">
      <c r="B8" s="1" t="s">
        <v>15</v>
      </c>
      <c r="C8" s="34"/>
      <c r="D8" s="34"/>
      <c r="E8" s="34"/>
      <c r="F8" s="34"/>
      <c r="G8" s="23">
        <f>SUM(C8:F8)</f>
        <v>0</v>
      </c>
      <c r="O8" s="16" t="s">
        <v>141</v>
      </c>
    </row>
    <row r="9" spans="1:15" x14ac:dyDescent="0.25">
      <c r="B9" s="1" t="s">
        <v>16</v>
      </c>
      <c r="C9" s="23"/>
      <c r="D9" s="23"/>
      <c r="E9" s="23"/>
      <c r="F9" s="23"/>
      <c r="G9" s="23"/>
      <c r="L9" s="1" t="s">
        <v>894</v>
      </c>
      <c r="O9" s="27"/>
    </row>
    <row r="10" spans="1:15" x14ac:dyDescent="0.25">
      <c r="B10" t="s">
        <v>21</v>
      </c>
      <c r="C10" s="34"/>
      <c r="D10" s="34"/>
      <c r="E10" s="34"/>
      <c r="F10" s="34"/>
      <c r="G10" s="23">
        <f>SUM(C10:F10)</f>
        <v>0</v>
      </c>
      <c r="L10" s="3"/>
      <c r="M10" s="3"/>
      <c r="N10" s="3"/>
      <c r="O10" s="3"/>
    </row>
    <row r="11" spans="1:15" x14ac:dyDescent="0.25">
      <c r="B11" t="s">
        <v>22</v>
      </c>
      <c r="C11" s="34"/>
      <c r="D11" s="34"/>
      <c r="E11" s="34"/>
      <c r="F11" s="34"/>
      <c r="G11" s="23">
        <f t="shared" ref="G11:G14" si="0">SUM(C11:F11)</f>
        <v>0</v>
      </c>
      <c r="L11" s="3"/>
      <c r="M11" s="3"/>
      <c r="N11" s="3"/>
      <c r="O11" s="14"/>
    </row>
    <row r="12" spans="1:15" x14ac:dyDescent="0.25">
      <c r="B12" t="s">
        <v>23</v>
      </c>
      <c r="C12" s="34"/>
      <c r="D12" s="34"/>
      <c r="E12" s="34"/>
      <c r="F12" s="34"/>
      <c r="G12" s="23">
        <f t="shared" si="0"/>
        <v>0</v>
      </c>
      <c r="L12" s="3"/>
      <c r="M12" s="3"/>
      <c r="N12" s="3"/>
      <c r="O12" s="14"/>
    </row>
    <row r="13" spans="1:15" x14ac:dyDescent="0.25">
      <c r="B13" t="s">
        <v>24</v>
      </c>
      <c r="C13" s="34"/>
      <c r="D13" s="34"/>
      <c r="E13" s="34"/>
      <c r="F13" s="34"/>
      <c r="G13" s="23">
        <f t="shared" si="0"/>
        <v>0</v>
      </c>
      <c r="L13" s="3"/>
      <c r="M13" s="3"/>
      <c r="N13" s="3"/>
      <c r="O13" s="14"/>
    </row>
    <row r="14" spans="1:15" x14ac:dyDescent="0.25">
      <c r="B14" t="s">
        <v>887</v>
      </c>
      <c r="C14" s="34"/>
      <c r="D14" s="34"/>
      <c r="E14" s="34"/>
      <c r="F14" s="34"/>
      <c r="G14" s="23">
        <f t="shared" si="0"/>
        <v>0</v>
      </c>
      <c r="L14" s="3"/>
      <c r="M14" s="3"/>
      <c r="N14" s="3"/>
      <c r="O14" s="14"/>
    </row>
    <row r="15" spans="1:15" x14ac:dyDescent="0.25">
      <c r="B15" t="s">
        <v>25</v>
      </c>
      <c r="C15" s="34"/>
      <c r="D15" s="34"/>
      <c r="E15" s="34"/>
      <c r="F15" s="34"/>
      <c r="G15" s="23">
        <f>SUM(C15:F15)</f>
        <v>0</v>
      </c>
      <c r="L15" s="3"/>
      <c r="M15" s="3"/>
      <c r="N15" s="3"/>
      <c r="O15" s="14"/>
    </row>
    <row r="16" spans="1: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hyperlinks>
    <hyperlink ref="A1" location="Main!A1" display="Main" xr:uid="{8CCCE42D-4C58-4EE6-B016-7867F99A0F86}"/>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1:U17"/>
  <sheetViews>
    <sheetView workbookViewId="0"/>
  </sheetViews>
  <sheetFormatPr defaultRowHeight="15" x14ac:dyDescent="0.25"/>
  <sheetData>
    <row r="1" spans="1:21" x14ac:dyDescent="0.25">
      <c r="A1" s="161" t="s">
        <v>1984</v>
      </c>
    </row>
    <row r="2" spans="1:21" x14ac:dyDescent="0.25">
      <c r="B2" t="s">
        <v>1836</v>
      </c>
      <c r="D2">
        <f>(105+123+850+130+50)*0.12</f>
        <v>150.96</v>
      </c>
      <c r="H2" t="s">
        <v>1603</v>
      </c>
    </row>
    <row r="4" spans="1:21" x14ac:dyDescent="0.25">
      <c r="B4" t="s">
        <v>1847</v>
      </c>
      <c r="E4">
        <v>5</v>
      </c>
      <c r="F4" t="s">
        <v>472</v>
      </c>
    </row>
    <row r="5" spans="1:21" x14ac:dyDescent="0.25">
      <c r="B5" t="s">
        <v>1846</v>
      </c>
      <c r="E5">
        <v>50</v>
      </c>
      <c r="F5" t="s">
        <v>472</v>
      </c>
    </row>
    <row r="7" spans="1:21" x14ac:dyDescent="0.25">
      <c r="B7" t="s">
        <v>1848</v>
      </c>
      <c r="E7">
        <f>5/(50*12)</f>
        <v>8.3333333333333332E-3</v>
      </c>
    </row>
    <row r="9" spans="1:21" x14ac:dyDescent="0.25">
      <c r="B9" t="s">
        <v>1837</v>
      </c>
      <c r="E9">
        <f>D2*E7</f>
        <v>1.258</v>
      </c>
    </row>
    <row r="11" spans="1:21" x14ac:dyDescent="0.25">
      <c r="B11" t="s">
        <v>1838</v>
      </c>
      <c r="E11">
        <v>1</v>
      </c>
    </row>
    <row r="12" spans="1:21" x14ac:dyDescent="0.25">
      <c r="B12" t="s">
        <v>1839</v>
      </c>
      <c r="D12">
        <v>1</v>
      </c>
    </row>
    <row r="16" spans="1:21" x14ac:dyDescent="0.25">
      <c r="U16">
        <f>240/100</f>
        <v>2.4</v>
      </c>
    </row>
    <row r="17" spans="21:21" x14ac:dyDescent="0.25">
      <c r="U17">
        <f>40*U16</f>
        <v>96</v>
      </c>
    </row>
  </sheetData>
  <hyperlinks>
    <hyperlink ref="A1" location="Main!A1" display="Main" xr:uid="{1D90BFDB-71ED-49B1-8DF5-45F02B83F4DF}"/>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Main</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2023-06-04T00:15:53Z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