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kdeloitte-my.sharepoint.com/personal/bcornish_deloitte_co_uk/Documents/ICAS/TPS/FINREP/FINREP Class Notes/"/>
    </mc:Choice>
  </mc:AlternateContent>
  <xr:revisionPtr revIDLastSave="1760" documentId="8_{1A35BC76-7998-4DCB-9E71-E6D4082BA147}" xr6:coauthVersionLast="47" xr6:coauthVersionMax="47" xr10:uidLastSave="{1EAC13E2-5901-4DAD-8CB8-069272BB2814}"/>
  <bookViews>
    <workbookView xWindow="-3345" yWindow="-15990" windowWidth="16200" windowHeight="11385" activeTab="2" xr2:uid="{0350A55B-8795-493B-AC91-53E3E39C361E}"/>
  </bookViews>
  <sheets>
    <sheet name="Main" sheetId="1" r:id="rId1"/>
    <sheet name="Module 8" sheetId="2" r:id="rId2"/>
    <sheet name="Lease comps" sheetId="14" r:id="rId3"/>
    <sheet name="WSE8.2" sheetId="3" r:id="rId4"/>
    <sheet name="WSE8.3" sheetId="4" r:id="rId5"/>
    <sheet name="WSE8.4" sheetId="8" r:id="rId6"/>
    <sheet name="WSE8.5" sheetId="12" r:id="rId7"/>
    <sheet name="WSE8.6" sheetId="10" r:id="rId8"/>
    <sheet name="WSE8.7" sheetId="11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6" i="14" l="1"/>
  <c r="D37" i="14"/>
  <c r="D38" i="14"/>
  <c r="D35" i="14"/>
  <c r="C16" i="14"/>
  <c r="C34" i="14"/>
  <c r="E34" i="14" s="1"/>
  <c r="C25" i="14"/>
  <c r="E13" i="14"/>
  <c r="F14" i="14" s="1"/>
  <c r="C6" i="14"/>
  <c r="C26" i="14" s="1"/>
  <c r="C27" i="14" l="1"/>
  <c r="E29" i="14" s="1"/>
  <c r="F30" i="14" s="1"/>
  <c r="C17" i="14"/>
  <c r="E19" i="14" s="1"/>
  <c r="F34" i="14"/>
  <c r="F20" i="14"/>
  <c r="F21" i="14" l="1"/>
  <c r="C35" i="14"/>
  <c r="E35" i="14" s="1"/>
  <c r="F35" i="14" l="1"/>
  <c r="C36" i="14" l="1"/>
  <c r="E36" i="14" s="1"/>
  <c r="C41" i="14"/>
  <c r="C42" i="14" s="1"/>
  <c r="F36" i="14" l="1"/>
  <c r="C37" i="14" s="1"/>
  <c r="E37" i="14" s="1"/>
  <c r="F37" i="14" l="1"/>
  <c r="C38" i="14" s="1"/>
  <c r="E38" i="14" s="1"/>
  <c r="F38" i="14" l="1"/>
  <c r="F72" i="11" l="1"/>
  <c r="D118" i="11"/>
  <c r="D57" i="11"/>
  <c r="D115" i="11" s="1"/>
  <c r="D117" i="11" s="1"/>
  <c r="D48" i="11"/>
  <c r="F28" i="11"/>
  <c r="F151" i="11"/>
  <c r="C133" i="11"/>
  <c r="C144" i="11"/>
  <c r="C132" i="11"/>
  <c r="C131" i="11"/>
  <c r="D101" i="11"/>
  <c r="D98" i="11"/>
  <c r="D93" i="11"/>
  <c r="D92" i="11"/>
  <c r="D88" i="11"/>
  <c r="D103" i="11" s="1"/>
  <c r="D81" i="11"/>
  <c r="D85" i="11" s="1"/>
  <c r="E66" i="11"/>
  <c r="E67" i="11"/>
  <c r="E68" i="11"/>
  <c r="E65" i="11"/>
  <c r="C65" i="11"/>
  <c r="D61" i="11"/>
  <c r="D116" i="11" s="1"/>
  <c r="D60" i="11"/>
  <c r="D55" i="11"/>
  <c r="C33" i="11"/>
  <c r="C32" i="11"/>
  <c r="F40" i="8"/>
  <c r="D23" i="11"/>
  <c r="C22" i="11"/>
  <c r="E26" i="11" s="1"/>
  <c r="C14" i="11"/>
  <c r="C13" i="11"/>
  <c r="C36" i="11" s="1"/>
  <c r="E69" i="10"/>
  <c r="C65" i="10"/>
  <c r="C67" i="10" s="1"/>
  <c r="C66" i="10"/>
  <c r="F59" i="8"/>
  <c r="E58" i="8"/>
  <c r="C62" i="10"/>
  <c r="C63" i="10"/>
  <c r="E42" i="10"/>
  <c r="E43" i="10"/>
  <c r="E40" i="10"/>
  <c r="E41" i="10"/>
  <c r="E39" i="10"/>
  <c r="E38" i="10"/>
  <c r="E37" i="10"/>
  <c r="C37" i="10"/>
  <c r="C45" i="10" s="1"/>
  <c r="C15" i="10"/>
  <c r="D15" i="10" s="1"/>
  <c r="E17" i="10" s="1"/>
  <c r="F18" i="10" s="1"/>
  <c r="D65" i="11" l="1"/>
  <c r="E71" i="11" s="1"/>
  <c r="F27" i="11"/>
  <c r="F157" i="11"/>
  <c r="E156" i="11" s="1"/>
  <c r="C145" i="11"/>
  <c r="D97" i="11"/>
  <c r="D91" i="11"/>
  <c r="D94" i="11"/>
  <c r="C34" i="11"/>
  <c r="C31" i="11"/>
  <c r="E22" i="11"/>
  <c r="E48" i="10"/>
  <c r="F49" i="10" s="1"/>
  <c r="C61" i="10"/>
  <c r="F70" i="10" s="1"/>
  <c r="D37" i="10"/>
  <c r="F65" i="11" l="1"/>
  <c r="D99" i="11"/>
  <c r="D102" i="11" s="1"/>
  <c r="F111" i="11"/>
  <c r="E149" i="11"/>
  <c r="C147" i="11"/>
  <c r="E150" i="11" s="1"/>
  <c r="D95" i="11"/>
  <c r="C35" i="11"/>
  <c r="C37" i="11" s="1"/>
  <c r="E39" i="11" s="1"/>
  <c r="F40" i="11" s="1"/>
  <c r="F22" i="11"/>
  <c r="E44" i="11"/>
  <c r="F45" i="11" s="1"/>
  <c r="D100" i="11" l="1"/>
  <c r="D104" i="11" s="1"/>
  <c r="D105" i="11" s="1"/>
  <c r="D107" i="11" s="1"/>
  <c r="E110" i="11" s="1"/>
  <c r="E109" i="11"/>
  <c r="D119" i="11"/>
  <c r="E121" i="11" s="1"/>
  <c r="F122" i="11" s="1"/>
  <c r="C23" i="11"/>
  <c r="E23" i="11" s="1"/>
  <c r="F23" i="11" s="1"/>
  <c r="D49" i="11"/>
  <c r="E79" i="8" l="1"/>
  <c r="E82" i="8"/>
  <c r="E76" i="8"/>
  <c r="E72" i="8"/>
  <c r="E71" i="8"/>
  <c r="D68" i="8"/>
  <c r="D67" i="8"/>
  <c r="D66" i="8"/>
  <c r="D65" i="8"/>
  <c r="C48" i="8"/>
  <c r="C35" i="8"/>
  <c r="D31" i="8"/>
  <c r="D32" i="8"/>
  <c r="D30" i="8"/>
  <c r="D27" i="8"/>
  <c r="D28" i="8"/>
  <c r="D29" i="8"/>
  <c r="D26" i="8"/>
  <c r="C25" i="8"/>
  <c r="F39" i="8" s="1"/>
  <c r="E84" i="12"/>
  <c r="D65" i="12"/>
  <c r="D62" i="12"/>
  <c r="D75" i="12"/>
  <c r="D55" i="12"/>
  <c r="D56" i="12" s="1"/>
  <c r="D54" i="12"/>
  <c r="D67" i="12" s="1"/>
  <c r="D51" i="12"/>
  <c r="D44" i="12"/>
  <c r="D48" i="12" s="1"/>
  <c r="E196" i="2"/>
  <c r="D13" i="12"/>
  <c r="E195" i="2"/>
  <c r="F193" i="2"/>
  <c r="E193" i="2"/>
  <c r="D193" i="2"/>
  <c r="C193" i="2"/>
  <c r="F188" i="2"/>
  <c r="E187" i="2"/>
  <c r="D185" i="2"/>
  <c r="D184" i="2"/>
  <c r="D173" i="2"/>
  <c r="F160" i="2"/>
  <c r="E157" i="2"/>
  <c r="D151" i="2"/>
  <c r="D152" i="2" s="1"/>
  <c r="D147" i="2"/>
  <c r="D140" i="2"/>
  <c r="F159" i="2" s="1"/>
  <c r="C34" i="8" l="1"/>
  <c r="C36" i="8" s="1"/>
  <c r="E38" i="8" s="1"/>
  <c r="E25" i="8"/>
  <c r="D76" i="12"/>
  <c r="D61" i="12"/>
  <c r="D63" i="12" s="1"/>
  <c r="D64" i="12" s="1"/>
  <c r="D68" i="12" s="1"/>
  <c r="D69" i="12" s="1"/>
  <c r="C84" i="12"/>
  <c r="D84" i="12" s="1"/>
  <c r="E86" i="12" s="1"/>
  <c r="E78" i="12"/>
  <c r="F79" i="12" s="1"/>
  <c r="D57" i="12"/>
  <c r="D58" i="12" s="1"/>
  <c r="D170" i="2"/>
  <c r="D169" i="2"/>
  <c r="D171" i="2" s="1"/>
  <c r="D150" i="2"/>
  <c r="D175" i="2" s="1"/>
  <c r="D144" i="2"/>
  <c r="E156" i="2" s="1"/>
  <c r="D153" i="2"/>
  <c r="C27" i="4"/>
  <c r="G19" i="3"/>
  <c r="H19" i="3"/>
  <c r="G20" i="3"/>
  <c r="H20" i="3"/>
  <c r="G18" i="3"/>
  <c r="H18" i="3"/>
  <c r="H17" i="3"/>
  <c r="D23" i="3"/>
  <c r="G17" i="3"/>
  <c r="C23" i="3"/>
  <c r="C40" i="4"/>
  <c r="B27" i="4"/>
  <c r="B31" i="4" s="1"/>
  <c r="B28" i="4"/>
  <c r="B32" i="4" s="1"/>
  <c r="D20" i="4"/>
  <c r="D21" i="4"/>
  <c r="D22" i="4"/>
  <c r="D23" i="4"/>
  <c r="D24" i="4"/>
  <c r="C19" i="4"/>
  <c r="C34" i="4" s="1"/>
  <c r="C37" i="4" s="1"/>
  <c r="C42" i="4" s="1"/>
  <c r="C8" i="4"/>
  <c r="C39" i="4" s="1"/>
  <c r="C30" i="3"/>
  <c r="B24" i="3"/>
  <c r="B28" i="3" s="1"/>
  <c r="E19" i="3"/>
  <c r="E20" i="3"/>
  <c r="E18" i="3"/>
  <c r="E17" i="3"/>
  <c r="C36" i="3"/>
  <c r="C17" i="3"/>
  <c r="C33" i="3" s="1"/>
  <c r="C38" i="3" s="1"/>
  <c r="B17" i="3"/>
  <c r="B23" i="3" s="1"/>
  <c r="B27" i="3" s="1"/>
  <c r="C121" i="2"/>
  <c r="C102" i="2"/>
  <c r="C101" i="2"/>
  <c r="C107" i="2"/>
  <c r="C120" i="2" s="1"/>
  <c r="C108" i="2"/>
  <c r="C123" i="2" s="1"/>
  <c r="C97" i="2"/>
  <c r="E84" i="2"/>
  <c r="C68" i="2"/>
  <c r="E68" i="2" s="1"/>
  <c r="B68" i="2"/>
  <c r="B69" i="2" s="1"/>
  <c r="C61" i="2"/>
  <c r="C60" i="2"/>
  <c r="F49" i="2"/>
  <c r="E47" i="2"/>
  <c r="D37" i="2"/>
  <c r="D39" i="2" s="1"/>
  <c r="C44" i="8" l="1"/>
  <c r="F25" i="8"/>
  <c r="C26" i="8" s="1"/>
  <c r="E26" i="8" s="1"/>
  <c r="F26" i="8" s="1"/>
  <c r="C27" i="8" s="1"/>
  <c r="E27" i="8"/>
  <c r="F27" i="8" s="1"/>
  <c r="C28" i="8" s="1"/>
  <c r="E28" i="8" s="1"/>
  <c r="F28" i="8" s="1"/>
  <c r="E87" i="12"/>
  <c r="D66" i="12"/>
  <c r="F84" i="12"/>
  <c r="D174" i="2"/>
  <c r="D172" i="2"/>
  <c r="D176" i="2" s="1"/>
  <c r="D177" i="2" s="1"/>
  <c r="D154" i="2"/>
  <c r="F161" i="2" s="1"/>
  <c r="E158" i="2" s="1"/>
  <c r="C122" i="2"/>
  <c r="C124" i="2" s="1"/>
  <c r="C43" i="4"/>
  <c r="E45" i="4" s="1"/>
  <c r="F46" i="4" s="1"/>
  <c r="E19" i="4"/>
  <c r="F19" i="4" s="1"/>
  <c r="C39" i="3"/>
  <c r="E41" i="3" s="1"/>
  <c r="F42" i="3" s="1"/>
  <c r="D17" i="3"/>
  <c r="C109" i="2"/>
  <c r="C103" i="2"/>
  <c r="F68" i="2"/>
  <c r="E78" i="2"/>
  <c r="F79" i="2" s="1"/>
  <c r="F48" i="2"/>
  <c r="D43" i="2"/>
  <c r="E46" i="2" s="1"/>
  <c r="D55" i="8" l="1"/>
  <c r="D64" i="8"/>
  <c r="E57" i="8"/>
  <c r="C49" i="8"/>
  <c r="C29" i="8"/>
  <c r="E29" i="8" s="1"/>
  <c r="F29" i="8" s="1"/>
  <c r="C30" i="8" s="1"/>
  <c r="E30" i="8" s="1"/>
  <c r="F30" i="8" s="1"/>
  <c r="C31" i="8" s="1"/>
  <c r="C20" i="4"/>
  <c r="E20" i="4"/>
  <c r="F20" i="4" s="1"/>
  <c r="C21" i="4" s="1"/>
  <c r="F17" i="3"/>
  <c r="C27" i="3"/>
  <c r="C69" i="2"/>
  <c r="E69" i="2" s="1"/>
  <c r="F69" i="2" s="1"/>
  <c r="C70" i="2" s="1"/>
  <c r="E70" i="2" s="1"/>
  <c r="F70" i="2" s="1"/>
  <c r="C71" i="2" s="1"/>
  <c r="E71" i="2" s="1"/>
  <c r="E83" i="2"/>
  <c r="E85" i="2"/>
  <c r="E51" i="8" l="1"/>
  <c r="F52" i="8" s="1"/>
  <c r="E31" i="8"/>
  <c r="F31" i="8" s="1"/>
  <c r="C32" i="8" s="1"/>
  <c r="E32" i="8" s="1"/>
  <c r="F32" i="8" s="1"/>
  <c r="C31" i="4"/>
  <c r="E21" i="4"/>
  <c r="C18" i="3"/>
  <c r="D18" i="3" s="1"/>
  <c r="C28" i="3" s="1"/>
  <c r="F71" i="2"/>
  <c r="C72" i="2" s="1"/>
  <c r="E72" i="2" s="1"/>
  <c r="F21" i="4" l="1"/>
  <c r="D27" i="4" s="1"/>
  <c r="F18" i="3"/>
  <c r="F72" i="2"/>
  <c r="C73" i="2" s="1"/>
  <c r="E73" i="2" s="1"/>
  <c r="F73" i="2" s="1"/>
  <c r="C74" i="2" s="1"/>
  <c r="E74" i="2" s="1"/>
  <c r="F74" i="2" s="1"/>
  <c r="C22" i="4" l="1"/>
  <c r="C19" i="3"/>
  <c r="D19" i="3"/>
  <c r="F19" i="3" s="1"/>
  <c r="E22" i="4" l="1"/>
  <c r="C32" i="4" s="1"/>
  <c r="C20" i="3"/>
  <c r="D20" i="3" s="1"/>
  <c r="F20" i="3" s="1"/>
  <c r="D24" i="3"/>
  <c r="C24" i="3"/>
  <c r="F22" i="4" l="1"/>
  <c r="C28" i="4" s="1"/>
  <c r="C23" i="4"/>
  <c r="E23" i="4" s="1"/>
  <c r="F23" i="4" s="1"/>
  <c r="C24" i="4" s="1"/>
  <c r="E24" i="4" s="1"/>
  <c r="F24" i="4" s="1"/>
  <c r="F37" i="10" l="1"/>
  <c r="C38" i="10" s="1"/>
  <c r="D38" i="10" s="1"/>
  <c r="F38" i="10" l="1"/>
  <c r="C39" i="10" s="1"/>
  <c r="D39" i="10" l="1"/>
  <c r="E56" i="10" s="1"/>
  <c r="F39" i="10" l="1"/>
  <c r="D52" i="10"/>
  <c r="E55" i="10" s="1"/>
  <c r="C40" i="10" l="1"/>
  <c r="D40" i="10" s="1"/>
  <c r="F40" i="10" s="1"/>
  <c r="C41" i="10" s="1"/>
  <c r="D41" i="10" s="1"/>
  <c r="F41" i="10" s="1"/>
  <c r="C42" i="10" s="1"/>
  <c r="D42" i="10" s="1"/>
  <c r="F42" i="10" l="1"/>
  <c r="C43" i="10" s="1"/>
  <c r="D43" i="10"/>
  <c r="F43" i="10" s="1"/>
  <c r="D53" i="10" s="1"/>
  <c r="E70" i="11"/>
  <c r="C66" i="11"/>
  <c r="D66" i="11" s="1"/>
  <c r="F66" i="11" s="1"/>
  <c r="C67" i="11" s="1"/>
  <c r="D67" i="11" l="1"/>
  <c r="F67" i="11"/>
  <c r="D77" i="11" s="1"/>
  <c r="C68" i="11" l="1"/>
  <c r="D76" i="11"/>
  <c r="D68" i="11"/>
  <c r="F68" i="11"/>
</calcChain>
</file>

<file path=xl/sharedStrings.xml><?xml version="1.0" encoding="utf-8"?>
<sst xmlns="http://schemas.openxmlformats.org/spreadsheetml/2006/main" count="624" uniqueCount="325">
  <si>
    <t>Module 8</t>
  </si>
  <si>
    <t>Main</t>
  </si>
  <si>
    <t>NCA - Leases</t>
  </si>
  <si>
    <t>Lessee - contols and uses the asset</t>
  </si>
  <si>
    <t>leesee pays considerations to lessor for use of asset</t>
  </si>
  <si>
    <t>lessor - owns the asset</t>
  </si>
  <si>
    <t>Example 1</t>
  </si>
  <si>
    <t>Perquill</t>
  </si>
  <si>
    <t>two contracts</t>
  </si>
  <si>
    <t>year</t>
  </si>
  <si>
    <t>land</t>
  </si>
  <si>
    <t>Right to control?</t>
  </si>
  <si>
    <t>Identified asset?</t>
  </si>
  <si>
    <t>Period of time?</t>
  </si>
  <si>
    <t>Consideration?</t>
  </si>
  <si>
    <t>has control over how is used and responsible for maintaining</t>
  </si>
  <si>
    <t>bottling machine identified in contract</t>
  </si>
  <si>
    <t>non-cancelling period of six year</t>
  </si>
  <si>
    <t>£100,000 pa during intitial 6 years</t>
  </si>
  <si>
    <t>so it is a lease</t>
  </si>
  <si>
    <t>Lease term</t>
  </si>
  <si>
    <t xml:space="preserve">peppercorn 2 year extension.  Option to buy at the end with some remaining useful life.  </t>
  </si>
  <si>
    <t>6 + 2yr extension = 8 year tem</t>
  </si>
  <si>
    <t>choice to use within scope - cannot build on it per contract</t>
  </si>
  <si>
    <t>30 years with option to cancel after 20 years</t>
  </si>
  <si>
    <t>£40k pa.  Reviewed annually</t>
  </si>
  <si>
    <t>non-cancelling ter of 20 years</t>
  </si>
  <si>
    <t>option to terminate in first 10 years - unlikely to exercise</t>
  </si>
  <si>
    <t>therefore term is 30 years</t>
  </si>
  <si>
    <t>Lessee perspective</t>
  </si>
  <si>
    <t>Activity 1</t>
  </si>
  <si>
    <t>six year PV annuity factor</t>
  </si>
  <si>
    <t>payment</t>
  </si>
  <si>
    <t>Lease liability</t>
  </si>
  <si>
    <t>initial measurement of lease liability</t>
  </si>
  <si>
    <t>lease payment made at commencemtn</t>
  </si>
  <si>
    <t>RoU asset</t>
  </si>
  <si>
    <t>initial direct cost</t>
  </si>
  <si>
    <t>reimbursement received</t>
  </si>
  <si>
    <t>dr - ROUA Cost</t>
  </si>
  <si>
    <t>dr - other income</t>
  </si>
  <si>
    <t>cr - Lease payable</t>
  </si>
  <si>
    <t>cr - admin</t>
  </si>
  <si>
    <t>being recognitoin of asset and corrections required for lease</t>
  </si>
  <si>
    <t>what have we done</t>
  </si>
  <si>
    <t>what has been done</t>
  </si>
  <si>
    <t>corrections</t>
  </si>
  <si>
    <t>posting correction journals</t>
  </si>
  <si>
    <t>Activity 2</t>
  </si>
  <si>
    <t>YE</t>
  </si>
  <si>
    <t>Commencement</t>
  </si>
  <si>
    <t>useful life</t>
  </si>
  <si>
    <t>months</t>
  </si>
  <si>
    <t>term</t>
  </si>
  <si>
    <t>interest rate</t>
  </si>
  <si>
    <t>lease liab</t>
  </si>
  <si>
    <t>payment in advance</t>
  </si>
  <si>
    <t>opening lease payable</t>
  </si>
  <si>
    <t>finance cost</t>
  </si>
  <si>
    <t>closing lease payable</t>
  </si>
  <si>
    <t>dr - SPL finance lease cost</t>
  </si>
  <si>
    <t>cr - lease payable</t>
  </si>
  <si>
    <t>being subsequent measurement of lease</t>
  </si>
  <si>
    <t>finance cost for 2021</t>
  </si>
  <si>
    <t>requirement 2</t>
  </si>
  <si>
    <t>Non current lease payable</t>
  </si>
  <si>
    <t>&lt;&lt;&lt;&lt;&lt;when payments are in arrears - the lease payable is taken of the end of ht period.  So differect treatment so be dure to revise this.</t>
  </si>
  <si>
    <t>Current lease payable</t>
  </si>
  <si>
    <t>Lease payable</t>
  </si>
  <si>
    <t>Not enough to do the table.  Marks awarded for talking through the workings</t>
  </si>
  <si>
    <t>Activity 3</t>
  </si>
  <si>
    <t>cost</t>
  </si>
  <si>
    <t>option</t>
  </si>
  <si>
    <t>years</t>
  </si>
  <si>
    <t>shorter of useful life and lease term</t>
  </si>
  <si>
    <t>Depreciation charge</t>
  </si>
  <si>
    <t>R2</t>
  </si>
  <si>
    <t>R1</t>
  </si>
  <si>
    <t xml:space="preserve">Example 2 </t>
  </si>
  <si>
    <t>Residual value</t>
  </si>
  <si>
    <t>Depreciation is the cost divided by the shorted of the useful life and the term.</t>
  </si>
  <si>
    <t>no option to extend</t>
  </si>
  <si>
    <t>HP agreement</t>
  </si>
  <si>
    <t>title is going to pass at the end of 7 years</t>
  </si>
  <si>
    <t>normal comp but take into account the residual value also</t>
  </si>
  <si>
    <t>resid</t>
  </si>
  <si>
    <t>WSE</t>
  </si>
  <si>
    <t>WSE8.2</t>
  </si>
  <si>
    <t>Expansion Ltd</t>
  </si>
  <si>
    <t>commencement</t>
  </si>
  <si>
    <t>pa in arrears</t>
  </si>
  <si>
    <t>first payment</t>
  </si>
  <si>
    <t>interest</t>
  </si>
  <si>
    <t>pa</t>
  </si>
  <si>
    <t>4 yr PV factor</t>
  </si>
  <si>
    <t>residual value</t>
  </si>
  <si>
    <t>residual claue at end of lease</t>
  </si>
  <si>
    <t>Annual depreication charge</t>
  </si>
  <si>
    <t>shorter of term and useful life</t>
  </si>
  <si>
    <t>depreciable amount</t>
  </si>
  <si>
    <t>dr - SPL depr</t>
  </si>
  <si>
    <t>cr - ROU AD</t>
  </si>
  <si>
    <t>CL</t>
  </si>
  <si>
    <t>NCL</t>
  </si>
  <si>
    <t>Lease Payable</t>
  </si>
  <si>
    <t>Finance Cost</t>
  </si>
  <si>
    <t>Operations Ltd</t>
  </si>
  <si>
    <t>commencment</t>
  </si>
  <si>
    <t>non-cancel period</t>
  </si>
  <si>
    <t>payments</t>
  </si>
  <si>
    <t>every 6m in advance</t>
  </si>
  <si>
    <t>half years</t>
  </si>
  <si>
    <t>per half year</t>
  </si>
  <si>
    <t>PV factor</t>
  </si>
  <si>
    <t>five period</t>
  </si>
  <si>
    <t>peppercorn extension</t>
  </si>
  <si>
    <t>ROU asset</t>
  </si>
  <si>
    <t>&lt;&lt;&lt;the asset include the prepaid amount and the lease payable.  This will make more sense when the journals come into it.</t>
  </si>
  <si>
    <t>WSE8.3</t>
  </si>
  <si>
    <t>WSE8.4</t>
  </si>
  <si>
    <t>WSE8.6</t>
  </si>
  <si>
    <t>WSE8.7</t>
  </si>
  <si>
    <t>WSE8.8</t>
  </si>
  <si>
    <t>HYE</t>
  </si>
  <si>
    <t>&lt;&lt;&lt;&lt;first payment for first 6 months paid through P&amp;L already - do not include</t>
  </si>
  <si>
    <t>&lt;&lt;&lt;doesn't matter too much about getting this to zero</t>
  </si>
  <si>
    <t>NOTE:  if going to make template.  Make ones up for monthly, quarterly and 6 monthly and annual</t>
  </si>
  <si>
    <t>Sale and leaseback</t>
  </si>
  <si>
    <t>Activity 4</t>
  </si>
  <si>
    <t>CA</t>
  </si>
  <si>
    <t>Cost</t>
  </si>
  <si>
    <t>AD</t>
  </si>
  <si>
    <t>FV</t>
  </si>
  <si>
    <t>calculate the lease liability</t>
  </si>
  <si>
    <t>FV ROU retained</t>
  </si>
  <si>
    <t>PV of future lease payments</t>
  </si>
  <si>
    <t>lease payment</t>
  </si>
  <si>
    <t>Determine cost of ROU asset</t>
  </si>
  <si>
    <t>CA/FV * discounted lease payments</t>
  </si>
  <si>
    <t>Right of use asset</t>
  </si>
  <si>
    <t>Calculate the gain on disposal to be recognised</t>
  </si>
  <si>
    <t>total gain</t>
  </si>
  <si>
    <t>proceeds - CA</t>
  </si>
  <si>
    <t>Recognised gain</t>
  </si>
  <si>
    <t>FV of asset</t>
  </si>
  <si>
    <t>proceeds</t>
  </si>
  <si>
    <t>discounted lease payemnts</t>
  </si>
  <si>
    <t>recognised gain</t>
  </si>
  <si>
    <t>cr lease payable</t>
  </si>
  <si>
    <t>cr - Property cost</t>
  </si>
  <si>
    <t>dr - Property AD</t>
  </si>
  <si>
    <t>dr - suspense (correction)</t>
  </si>
  <si>
    <t>cr - SPL gain on sale</t>
  </si>
  <si>
    <t>dr - ROUA</t>
  </si>
  <si>
    <t>being correction to recognition of sale and leaseback</t>
  </si>
  <si>
    <t>There are two methods.  Try both methods and pick one preferred one.  Both arrive at the same answer.  Mark schemes include both methods.</t>
  </si>
  <si>
    <t>2nd mehods of doing the same above computation</t>
  </si>
  <si>
    <t>retained %</t>
  </si>
  <si>
    <t>Sold %</t>
  </si>
  <si>
    <t>retained ROUA</t>
  </si>
  <si>
    <t>Gain</t>
  </si>
  <si>
    <t>Gain on sale</t>
  </si>
  <si>
    <t>Both options work.  Most people prefer the % method.</t>
  </si>
  <si>
    <t>udeful life</t>
  </si>
  <si>
    <t>dr - SPL depreciation</t>
  </si>
  <si>
    <t>cr - ROUA - AD</t>
  </si>
  <si>
    <t>being depreciation charge for the year.</t>
  </si>
  <si>
    <t>opening</t>
  </si>
  <si>
    <t>finance</t>
  </si>
  <si>
    <t>pymt</t>
  </si>
  <si>
    <t>close</t>
  </si>
  <si>
    <t>dr - SPL finance cost</t>
  </si>
  <si>
    <t>dr - lease payable</t>
  </si>
  <si>
    <t xml:space="preserve">cr - Suspense </t>
  </si>
  <si>
    <t>WSE8.5</t>
  </si>
  <si>
    <t>Shortfall plc</t>
  </si>
  <si>
    <t>Property A</t>
  </si>
  <si>
    <t>leaseback term</t>
  </si>
  <si>
    <t>consideration</t>
  </si>
  <si>
    <t>pa.  Paid in arrears</t>
  </si>
  <si>
    <t>gain on sale</t>
  </si>
  <si>
    <t>there is no sale as Shortfall retains the right to use the asset for almost all of its useful life.</t>
  </si>
  <si>
    <t>the amount raised should be treated as a financial liability measured at amortised cost</t>
  </si>
  <si>
    <t>The property should remain on the SOFP and depreciated over the 38 year period of the leae</t>
  </si>
  <si>
    <t>each payment on £650k should be analysed into interest and capital using the effective interest rate.</t>
  </si>
  <si>
    <t>Property B</t>
  </si>
  <si>
    <t>remaining useful life</t>
  </si>
  <si>
    <t>leaseback length</t>
  </si>
  <si>
    <t>lease payments</t>
  </si>
  <si>
    <t>p.a. and in arrears</t>
  </si>
  <si>
    <t>&lt;&lt;&lt;difference between the payment and the finance amount</t>
  </si>
  <si>
    <t xml:space="preserve"> </t>
  </si>
  <si>
    <t>Easy enough to apply the template formula.</t>
  </si>
  <si>
    <t>Easy marks to be had by adding in the prescribed chat</t>
  </si>
  <si>
    <t>This qualifies as a sale as Shortfall has transferred the right to use the property for years six to 25 but retained the right to use for the first five years.</t>
  </si>
  <si>
    <t>The fair value of the right-of-use asset retained is the present value of the lease payments over the five years of the lease (£1,845k) and this amount would be recorded as a lease liability on the statement of financial position.</t>
  </si>
  <si>
    <t>The total gain (£1,500k) cannot be recognised in the statement of profit or loss, as part of the asset has been retained and, instead, the recognised amount relates to the part sold (£1,046k).</t>
  </si>
  <si>
    <t>The carrying amount of the right-of-use asset (£1,391k) is presented as a separate category of asset on the statement of financial position or separately within a disclosure note.</t>
  </si>
  <si>
    <t>The carrying amount (£4,600k) would be derecognised.</t>
  </si>
  <si>
    <t>The right-of-use asset would be depreciated annually over the shorter of the lease term (five years) and the remaining useful life (25 years) (£278k).</t>
  </si>
  <si>
    <t>Each lease payment of £450k would be analysed into capital and interest using the 7% rate of interest implicit in the lease. The finance costs for the next year would be £129k leaving capital repayment of £321k.</t>
  </si>
  <si>
    <t>The lease liability would be split into current and non-current</t>
  </si>
  <si>
    <t>Add in the calc i.e what we're doing alongside any templates.</t>
  </si>
  <si>
    <t>create the models to learn the questions</t>
  </si>
  <si>
    <t>Gilbert ltd</t>
  </si>
  <si>
    <t>years from</t>
  </si>
  <si>
    <t>every 6 months in advance</t>
  </si>
  <si>
    <t xml:space="preserve">option to extend </t>
  </si>
  <si>
    <t>infinte</t>
  </si>
  <si>
    <t>the lease term is effectively infinate given the extension terms.</t>
  </si>
  <si>
    <t>so we will use the shorted of the lease term and useful life which in this case is the useful life of 5 years</t>
  </si>
  <si>
    <t>per 6m</t>
  </si>
  <si>
    <t>annuity factor</t>
  </si>
  <si>
    <t>entry to correct</t>
  </si>
  <si>
    <t>dr - SPL admin</t>
  </si>
  <si>
    <t>cr - cash</t>
  </si>
  <si>
    <t>record the transactions to account for taking on this lease</t>
  </si>
  <si>
    <t>open</t>
  </si>
  <si>
    <t>depreciation</t>
  </si>
  <si>
    <t>residual vale after term</t>
  </si>
  <si>
    <t>shorter of term and usedul life</t>
  </si>
  <si>
    <t>dr - depreciation</t>
  </si>
  <si>
    <t>ROUA</t>
  </si>
  <si>
    <t>cr  - lease payable</t>
  </si>
  <si>
    <t>cr - SPL administrative expenses</t>
  </si>
  <si>
    <t>being capitlisation of ROUA</t>
  </si>
  <si>
    <t>share of residual value</t>
  </si>
  <si>
    <t>being depreciatoin of ROU computer equipment</t>
  </si>
  <si>
    <t>Finance cost</t>
  </si>
  <si>
    <t>dr - SPL finance costs</t>
  </si>
  <si>
    <t>dr  -lease payable</t>
  </si>
  <si>
    <t>cr - SPL admin expense</t>
  </si>
  <si>
    <t>being correction to lease payments</t>
  </si>
  <si>
    <t>Requirement 2</t>
  </si>
  <si>
    <t>Carrying amount</t>
  </si>
  <si>
    <t>ROUA - cost</t>
  </si>
  <si>
    <t>ROUA AD</t>
  </si>
  <si>
    <t>Current lease liability</t>
  </si>
  <si>
    <t>SPL extract</t>
  </si>
  <si>
    <t>Depreciation</t>
  </si>
  <si>
    <t>finacne cost</t>
  </si>
  <si>
    <t>SOFP</t>
  </si>
  <si>
    <t>NCA</t>
  </si>
  <si>
    <t>PPE</t>
  </si>
  <si>
    <t>&lt;&lt;&lt;&lt;answer differs from the solution</t>
  </si>
  <si>
    <t>double check what is going on here????</t>
  </si>
  <si>
    <t>Capex Products ltd</t>
  </si>
  <si>
    <t>6m lease</t>
  </si>
  <si>
    <t>short term - will only have a current asset element to it</t>
  </si>
  <si>
    <t>As the lease is short term, the entity does not capitalise the asset and should therefore not subsequently depreciate it.</t>
  </si>
  <si>
    <t>The total value of the lease should be paid in the monthly installment amounts over the lease term in addition to the initial lease payment.</t>
  </si>
  <si>
    <t>A journal should be prepared to correctly fix and accrue the amount prepaid.</t>
  </si>
  <si>
    <t>As the entity intends to make use of the exemptions available under IFRS 16, the lease should be considered short term as it is no longer than 12 months.</t>
  </si>
  <si>
    <t>2*3000*2/6</t>
  </si>
  <si>
    <t>dr - SPL admin expenses</t>
  </si>
  <si>
    <t>cr - Accrued expenses</t>
  </si>
  <si>
    <t>being accrual for short term lease liability</t>
  </si>
  <si>
    <t>Five year lease of machine</t>
  </si>
  <si>
    <t>after 5 years</t>
  </si>
  <si>
    <t>share of residual</t>
  </si>
  <si>
    <t>per quarter in arrears from 31/12/82022</t>
  </si>
  <si>
    <t>per quarter</t>
  </si>
  <si>
    <t>20 period PV factor</t>
  </si>
  <si>
    <t>bookkeeper has recorded 3x15,000 payments in the 'leasing account'</t>
  </si>
  <si>
    <t xml:space="preserve">open </t>
  </si>
  <si>
    <t>current liability</t>
  </si>
  <si>
    <t>&lt;&lt;&lt;correction payment.</t>
  </si>
  <si>
    <t>cr - lease account</t>
  </si>
  <si>
    <t>months to depreciate</t>
  </si>
  <si>
    <t>House tricks</t>
  </si>
  <si>
    <t xml:space="preserve">YE </t>
  </si>
  <si>
    <t>remember to split out 'lease payable' between CA and NCA</t>
  </si>
  <si>
    <t>depreciation charged monthly</t>
  </si>
  <si>
    <t>SL</t>
  </si>
  <si>
    <t>Machinery</t>
  </si>
  <si>
    <t>commencemetn</t>
  </si>
  <si>
    <t>after 4 years</t>
  </si>
  <si>
    <t>share of resid</t>
  </si>
  <si>
    <t>pa in advance</t>
  </si>
  <si>
    <t>recognise the ROUA</t>
  </si>
  <si>
    <t>Deprecialble amount</t>
  </si>
  <si>
    <t>cr - ROUA AD</t>
  </si>
  <si>
    <t>being depreciation in first year of ownership</t>
  </si>
  <si>
    <t>dr - finance cost</t>
  </si>
  <si>
    <t>Plant</t>
  </si>
  <si>
    <t>per 6m in arrears</t>
  </si>
  <si>
    <t>every half year</t>
  </si>
  <si>
    <t>cr - disposal of property</t>
  </si>
  <si>
    <t>^^^ bit more work needed on the plant one.  Just finishing off the journals</t>
  </si>
  <si>
    <t>Tablet computer</t>
  </si>
  <si>
    <t>Given the small value of these items they do not need to be treated under IFRS 16</t>
  </si>
  <si>
    <t>Low value lease</t>
  </si>
  <si>
    <t>tablet computers qualify as low-value items  the leasee will be treated as a lease with underlying assets of a low value</t>
  </si>
  <si>
    <t>Lease expense</t>
  </si>
  <si>
    <t>total payment</t>
  </si>
  <si>
    <t>Prepayment</t>
  </si>
  <si>
    <t>Dr - SPL - lease expense</t>
  </si>
  <si>
    <t>dr - SFP - prepayment</t>
  </si>
  <si>
    <t>cr - ROUA - IT cost</t>
  </si>
  <si>
    <t>being correction to lease expense</t>
  </si>
  <si>
    <t>as the computer equipment has been capitalised in error.  The associated depreciation must be corrected</t>
  </si>
  <si>
    <t>cr - SPL Depr</t>
  </si>
  <si>
    <t>dr - ROUA IT AD</t>
  </si>
  <si>
    <t>cr - SPL admin expenses</t>
  </si>
  <si>
    <t>being subsequent measurement of lease payable</t>
  </si>
  <si>
    <t>current</t>
  </si>
  <si>
    <t>non-current</t>
  </si>
  <si>
    <t>Adjustment to gain on sale</t>
  </si>
  <si>
    <t>dr - ROUA cost</t>
  </si>
  <si>
    <t>dr - SPL gain on sale</t>
  </si>
  <si>
    <t>being correction to sale and leaseback</t>
  </si>
  <si>
    <t>being correction to lease payment</t>
  </si>
  <si>
    <t>Payment in advance</t>
  </si>
  <si>
    <t xml:space="preserve">interest </t>
  </si>
  <si>
    <t>journals to correct</t>
  </si>
  <si>
    <t>dr - SPL - lease charges</t>
  </si>
  <si>
    <t>lease liab plus payments made in advance</t>
  </si>
  <si>
    <t>cr - lease charges</t>
  </si>
  <si>
    <t>being correction of incorrect recognition of lease</t>
  </si>
  <si>
    <t>Depreciation of ROUA</t>
  </si>
  <si>
    <t>lesser of term and useful life</t>
  </si>
  <si>
    <t>depr - charge</t>
  </si>
  <si>
    <t>15185*12/60</t>
  </si>
  <si>
    <t>dr - SPL depr charge</t>
  </si>
  <si>
    <t>being depr charge for the year on ROUA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</si>
</sst>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"/>
    <numFmt numFmtId="165" formatCode="#,##0.0000"/>
    <numFmt numFmtId="166" formatCode="0.000%"/>
  </numFmts>
  <fonts count="5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1">
    <xf numFmtId="0" fontId="0" fillId="0" borderId="0" xfId="0"/>
    <xf numFmtId="0" fontId="1" fillId="0" borderId="0" xfId="0" applyFont="1"/>
    <xf numFmtId="0" fontId="2" fillId="0" borderId="0" xfId="1"/>
    <xf numFmtId="14" fontId="1" fillId="0" borderId="0" xfId="0" applyNumberFormat="1" applyFont="1"/>
    <xf numFmtId="0" fontId="3" fillId="0" borderId="0" xfId="0" applyFont="1"/>
    <xf numFmtId="3" fontId="1" fillId="0" borderId="0" xfId="0" applyNumberFormat="1" applyFont="1"/>
    <xf numFmtId="164" fontId="1" fillId="0" borderId="0" xfId="0" applyNumberFormat="1" applyFont="1"/>
    <xf numFmtId="3" fontId="3" fillId="0" borderId="0" xfId="0" applyNumberFormat="1" applyFont="1"/>
    <xf numFmtId="0" fontId="4" fillId="0" borderId="0" xfId="0" applyFont="1"/>
    <xf numFmtId="9" fontId="1" fillId="0" borderId="0" xfId="0" applyNumberFormat="1" applyFont="1"/>
    <xf numFmtId="3" fontId="1" fillId="2" borderId="0" xfId="0" applyNumberFormat="1" applyFont="1" applyFill="1"/>
    <xf numFmtId="3" fontId="1" fillId="0" borderId="1" xfId="0" applyNumberFormat="1" applyFont="1" applyBorder="1"/>
    <xf numFmtId="3" fontId="1" fillId="0" borderId="2" xfId="0" applyNumberFormat="1" applyFont="1" applyBorder="1"/>
    <xf numFmtId="0" fontId="1" fillId="2" borderId="0" xfId="0" applyFont="1" applyFill="1"/>
    <xf numFmtId="0" fontId="4" fillId="2" borderId="0" xfId="0" applyFont="1" applyFill="1"/>
    <xf numFmtId="165" fontId="1" fillId="0" borderId="0" xfId="0" applyNumberFormat="1" applyFont="1"/>
    <xf numFmtId="3" fontId="1" fillId="0" borderId="0" xfId="0" applyNumberFormat="1" applyFont="1" applyFill="1"/>
    <xf numFmtId="166" fontId="1" fillId="0" borderId="0" xfId="0" applyNumberFormat="1" applyFont="1"/>
    <xf numFmtId="0" fontId="1" fillId="0" borderId="0" xfId="0" quotePrefix="1" applyFont="1"/>
    <xf numFmtId="10" fontId="1" fillId="0" borderId="0" xfId="0" applyNumberFormat="1" applyFont="1"/>
    <xf numFmtId="3" fontId="1" fillId="0" borderId="0" xfId="0" applyNumberFormat="1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EFB67-68FD-4B68-9B44-1DEED11EF673}">
  <dimension ref="B2:C9"/>
  <sheetViews>
    <sheetView workbookViewId="0">
      <selection activeCell="B3" sqref="B3"/>
    </sheetView>
  </sheetViews>
  <sheetFormatPr defaultRowHeight="15" x14ac:dyDescent="0.25"/>
  <sheetData>
    <row r="2" spans="2:3" x14ac:dyDescent="0.25">
      <c r="C2" t="s">
        <v>86</v>
      </c>
    </row>
    <row r="3" spans="2:3" x14ac:dyDescent="0.25">
      <c r="B3" s="2" t="s">
        <v>0</v>
      </c>
      <c r="C3" s="2" t="s">
        <v>87</v>
      </c>
    </row>
    <row r="4" spans="2:3" x14ac:dyDescent="0.25">
      <c r="C4" s="2" t="s">
        <v>118</v>
      </c>
    </row>
    <row r="5" spans="2:3" x14ac:dyDescent="0.25">
      <c r="C5" s="2" t="s">
        <v>119</v>
      </c>
    </row>
    <row r="6" spans="2:3" x14ac:dyDescent="0.25">
      <c r="C6" s="2" t="s">
        <v>174</v>
      </c>
    </row>
    <row r="7" spans="2:3" x14ac:dyDescent="0.25">
      <c r="C7" s="2" t="s">
        <v>120</v>
      </c>
    </row>
    <row r="8" spans="2:3" x14ac:dyDescent="0.25">
      <c r="C8" s="2" t="s">
        <v>121</v>
      </c>
    </row>
    <row r="9" spans="2:3" x14ac:dyDescent="0.25">
      <c r="C9" s="2" t="s">
        <v>122</v>
      </c>
    </row>
  </sheetData>
  <hyperlinks>
    <hyperlink ref="B3" location="'Module 8'!A1" display="Module 8" xr:uid="{7D1461CC-D41B-4C4A-AB1E-607054CCE111}"/>
    <hyperlink ref="C3" location="WSE8.2!A1" display="WSE8.2" xr:uid="{23568C1A-7895-4AC6-BC18-08222B36AF16}"/>
    <hyperlink ref="C4" location="WSE8.3!A1" display="WSE8.3" xr:uid="{DC7D8188-BBC0-4DAD-A1CA-A0B54522A002}"/>
    <hyperlink ref="C5" location="WSE8.4!A1" display="WSE8.4" xr:uid="{2C24E614-B748-4A6A-AF8E-34AC0018220D}"/>
    <hyperlink ref="C7" location="WSE8.6!A1" display="WSE8.6" xr:uid="{84203960-0171-4954-8D18-37085BDE4F5D}"/>
    <hyperlink ref="C8" location="WSE8.7!A1" display="WSE8.7" xr:uid="{62502D66-69B1-4959-A340-1B0F52B2ABA2}"/>
    <hyperlink ref="C9" location="WSE8.8!A1" display="WSE8.8" xr:uid="{970B503D-5DDB-47EB-8660-6371D9ED7330}"/>
    <hyperlink ref="C6" location="WSE8.5!A1" display="WSE8.5" xr:uid="{D0FFBB4F-B15C-4534-B720-C3BB62967C31}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BFCE9-CD6C-4540-B82D-85F728C81A22}">
  <dimension ref="A1:G201"/>
  <sheetViews>
    <sheetView zoomScale="145" zoomScaleNormal="145" workbookViewId="0"/>
  </sheetViews>
  <sheetFormatPr defaultRowHeight="12" x14ac:dyDescent="0.2"/>
  <cols>
    <col min="1" max="1" width="9.140625" style="1"/>
    <col min="2" max="3" width="9.42578125" style="1" bestFit="1" customWidth="1"/>
    <col min="4" max="16384" width="9.140625" style="1"/>
  </cols>
  <sheetData>
    <row r="1" spans="1:3" ht="15" x14ac:dyDescent="0.25">
      <c r="A1" s="2" t="s">
        <v>1</v>
      </c>
    </row>
    <row r="3" spans="1:3" x14ac:dyDescent="0.2">
      <c r="B3" s="1" t="s">
        <v>2</v>
      </c>
    </row>
    <row r="5" spans="1:3" x14ac:dyDescent="0.2">
      <c r="B5" s="1" t="s">
        <v>3</v>
      </c>
    </row>
    <row r="6" spans="1:3" x14ac:dyDescent="0.2">
      <c r="B6" s="1" t="s">
        <v>5</v>
      </c>
    </row>
    <row r="7" spans="1:3" x14ac:dyDescent="0.2">
      <c r="B7" s="1" t="s">
        <v>4</v>
      </c>
    </row>
    <row r="10" spans="1:3" x14ac:dyDescent="0.2">
      <c r="B10" s="1" t="s">
        <v>6</v>
      </c>
    </row>
    <row r="11" spans="1:3" x14ac:dyDescent="0.2">
      <c r="B11" s="1" t="s">
        <v>7</v>
      </c>
    </row>
    <row r="12" spans="1:3" x14ac:dyDescent="0.2">
      <c r="B12" s="1" t="s">
        <v>8</v>
      </c>
    </row>
    <row r="14" spans="1:3" x14ac:dyDescent="0.2">
      <c r="B14" s="1" t="s">
        <v>11</v>
      </c>
      <c r="C14" s="1" t="s">
        <v>15</v>
      </c>
    </row>
    <row r="15" spans="1:3" x14ac:dyDescent="0.2">
      <c r="B15" s="1" t="s">
        <v>12</v>
      </c>
      <c r="C15" s="1" t="s">
        <v>16</v>
      </c>
    </row>
    <row r="16" spans="1:3" x14ac:dyDescent="0.2">
      <c r="B16" s="1" t="s">
        <v>13</v>
      </c>
      <c r="C16" s="1" t="s">
        <v>17</v>
      </c>
    </row>
    <row r="17" spans="2:3" x14ac:dyDescent="0.2">
      <c r="B17" s="1" t="s">
        <v>14</v>
      </c>
      <c r="C17" s="1" t="s">
        <v>18</v>
      </c>
    </row>
    <row r="18" spans="2:3" x14ac:dyDescent="0.2">
      <c r="B18" s="1" t="s">
        <v>19</v>
      </c>
    </row>
    <row r="19" spans="2:3" x14ac:dyDescent="0.2">
      <c r="B19" s="1" t="s">
        <v>20</v>
      </c>
      <c r="C19" s="1" t="s">
        <v>21</v>
      </c>
    </row>
    <row r="20" spans="2:3" x14ac:dyDescent="0.2">
      <c r="C20" s="1" t="s">
        <v>22</v>
      </c>
    </row>
    <row r="23" spans="2:3" x14ac:dyDescent="0.2">
      <c r="B23" s="1" t="s">
        <v>11</v>
      </c>
      <c r="C23" s="1" t="s">
        <v>23</v>
      </c>
    </row>
    <row r="24" spans="2:3" x14ac:dyDescent="0.2">
      <c r="B24" s="1" t="s">
        <v>12</v>
      </c>
      <c r="C24" s="1" t="s">
        <v>10</v>
      </c>
    </row>
    <row r="25" spans="2:3" x14ac:dyDescent="0.2">
      <c r="B25" s="1" t="s">
        <v>13</v>
      </c>
      <c r="C25" s="1" t="s">
        <v>24</v>
      </c>
    </row>
    <row r="26" spans="2:3" x14ac:dyDescent="0.2">
      <c r="B26" s="1" t="s">
        <v>14</v>
      </c>
      <c r="C26" s="1" t="s">
        <v>25</v>
      </c>
    </row>
    <row r="27" spans="2:3" x14ac:dyDescent="0.2">
      <c r="B27" s="1" t="s">
        <v>19</v>
      </c>
    </row>
    <row r="28" spans="2:3" x14ac:dyDescent="0.2">
      <c r="B28" s="1" t="s">
        <v>20</v>
      </c>
      <c r="C28" s="1" t="s">
        <v>26</v>
      </c>
    </row>
    <row r="29" spans="2:3" x14ac:dyDescent="0.2">
      <c r="C29" s="1" t="s">
        <v>27</v>
      </c>
    </row>
    <row r="30" spans="2:3" x14ac:dyDescent="0.2">
      <c r="C30" s="1" t="s">
        <v>28</v>
      </c>
    </row>
    <row r="33" spans="2:6" x14ac:dyDescent="0.2">
      <c r="B33" s="4" t="s">
        <v>29</v>
      </c>
    </row>
    <row r="34" spans="2:6" x14ac:dyDescent="0.2">
      <c r="B34" s="1" t="s">
        <v>30</v>
      </c>
    </row>
    <row r="35" spans="2:6" x14ac:dyDescent="0.2">
      <c r="B35" s="1" t="s">
        <v>31</v>
      </c>
      <c r="D35" s="6">
        <v>3.9980000000000002</v>
      </c>
    </row>
    <row r="36" spans="2:6" x14ac:dyDescent="0.2">
      <c r="B36" s="1" t="s">
        <v>32</v>
      </c>
      <c r="D36" s="5">
        <v>100000</v>
      </c>
    </row>
    <row r="37" spans="2:6" x14ac:dyDescent="0.2">
      <c r="B37" s="1" t="s">
        <v>33</v>
      </c>
      <c r="D37" s="7">
        <f>+D35*D36</f>
        <v>399800</v>
      </c>
    </row>
    <row r="39" spans="2:6" x14ac:dyDescent="0.2">
      <c r="B39" s="1" t="s">
        <v>34</v>
      </c>
      <c r="D39" s="5">
        <f>+D37</f>
        <v>399800</v>
      </c>
    </row>
    <row r="40" spans="2:6" x14ac:dyDescent="0.2">
      <c r="B40" s="1" t="s">
        <v>35</v>
      </c>
      <c r="D40" s="5">
        <v>100000</v>
      </c>
    </row>
    <row r="41" spans="2:6" x14ac:dyDescent="0.2">
      <c r="B41" s="1" t="s">
        <v>37</v>
      </c>
      <c r="D41" s="5">
        <v>20000</v>
      </c>
    </row>
    <row r="42" spans="2:6" x14ac:dyDescent="0.2">
      <c r="B42" s="1" t="s">
        <v>38</v>
      </c>
      <c r="D42" s="1">
        <v>-10000</v>
      </c>
    </row>
    <row r="43" spans="2:6" x14ac:dyDescent="0.2">
      <c r="B43" s="1" t="s">
        <v>36</v>
      </c>
      <c r="D43" s="7">
        <f>SUM(D39:D42)</f>
        <v>509800</v>
      </c>
    </row>
    <row r="46" spans="2:6" x14ac:dyDescent="0.2">
      <c r="B46" s="1" t="s">
        <v>39</v>
      </c>
      <c r="E46" s="5">
        <f>+D43</f>
        <v>509800</v>
      </c>
      <c r="F46" s="5"/>
    </row>
    <row r="47" spans="2:6" x14ac:dyDescent="0.2">
      <c r="B47" s="1" t="s">
        <v>40</v>
      </c>
      <c r="E47" s="5">
        <f>-D42</f>
        <v>10000</v>
      </c>
      <c r="F47" s="5"/>
    </row>
    <row r="48" spans="2:6" x14ac:dyDescent="0.2">
      <c r="C48" s="1" t="s">
        <v>41</v>
      </c>
      <c r="E48" s="5"/>
      <c r="F48" s="5">
        <f>+D39</f>
        <v>399800</v>
      </c>
    </row>
    <row r="49" spans="2:6" x14ac:dyDescent="0.2">
      <c r="C49" s="1" t="s">
        <v>42</v>
      </c>
      <c r="E49" s="5"/>
      <c r="F49" s="5">
        <f>+D36+D41</f>
        <v>120000</v>
      </c>
    </row>
    <row r="50" spans="2:6" x14ac:dyDescent="0.2">
      <c r="B50" s="1" t="s">
        <v>43</v>
      </c>
    </row>
    <row r="52" spans="2:6" x14ac:dyDescent="0.2">
      <c r="B52" s="1" t="s">
        <v>47</v>
      </c>
    </row>
    <row r="53" spans="2:6" x14ac:dyDescent="0.2">
      <c r="B53" s="8" t="s">
        <v>44</v>
      </c>
    </row>
    <row r="54" spans="2:6" x14ac:dyDescent="0.2">
      <c r="B54" s="8" t="s">
        <v>45</v>
      </c>
    </row>
    <row r="55" spans="2:6" x14ac:dyDescent="0.2">
      <c r="B55" s="8" t="s">
        <v>46</v>
      </c>
    </row>
    <row r="57" spans="2:6" x14ac:dyDescent="0.2">
      <c r="B57" s="1" t="s">
        <v>48</v>
      </c>
    </row>
    <row r="58" spans="2:6" x14ac:dyDescent="0.2">
      <c r="B58" s="1" t="s">
        <v>49</v>
      </c>
      <c r="C58" s="3">
        <v>44561</v>
      </c>
    </row>
    <row r="59" spans="2:6" x14ac:dyDescent="0.2">
      <c r="B59" s="1" t="s">
        <v>50</v>
      </c>
      <c r="C59" s="3">
        <v>44197</v>
      </c>
    </row>
    <row r="60" spans="2:6" x14ac:dyDescent="0.2">
      <c r="B60" s="1" t="s">
        <v>51</v>
      </c>
      <c r="C60" s="1">
        <f>9*12</f>
        <v>108</v>
      </c>
      <c r="D60" s="1" t="s">
        <v>52</v>
      </c>
    </row>
    <row r="61" spans="2:6" x14ac:dyDescent="0.2">
      <c r="B61" s="1" t="s">
        <v>53</v>
      </c>
      <c r="C61" s="1">
        <f>7*12</f>
        <v>84</v>
      </c>
      <c r="D61" s="1" t="s">
        <v>52</v>
      </c>
    </row>
    <row r="62" spans="2:6" x14ac:dyDescent="0.2">
      <c r="B62" s="1" t="s">
        <v>54</v>
      </c>
      <c r="C62" s="9">
        <v>0.13</v>
      </c>
    </row>
    <row r="63" spans="2:6" x14ac:dyDescent="0.2">
      <c r="B63" s="1" t="s">
        <v>55</v>
      </c>
      <c r="C63" s="5">
        <v>399800</v>
      </c>
    </row>
    <row r="64" spans="2:6" x14ac:dyDescent="0.2">
      <c r="B64" s="1" t="s">
        <v>56</v>
      </c>
    </row>
    <row r="67" spans="2:7" x14ac:dyDescent="0.2">
      <c r="B67" s="1" t="s">
        <v>49</v>
      </c>
      <c r="C67" s="1" t="s">
        <v>57</v>
      </c>
      <c r="D67" s="1" t="s">
        <v>32</v>
      </c>
      <c r="E67" s="1" t="s">
        <v>58</v>
      </c>
      <c r="F67" s="1" t="s">
        <v>59</v>
      </c>
    </row>
    <row r="68" spans="2:7" x14ac:dyDescent="0.2">
      <c r="B68" s="3">
        <f>+C58</f>
        <v>44561</v>
      </c>
      <c r="C68" s="5">
        <f>+C63</f>
        <v>399800</v>
      </c>
      <c r="D68" s="5"/>
      <c r="E68" s="5">
        <f>+(C68-D68)*$C$62</f>
        <v>51974</v>
      </c>
      <c r="F68" s="5">
        <f>+C68-D68+E68</f>
        <v>451774</v>
      </c>
    </row>
    <row r="69" spans="2:7" x14ac:dyDescent="0.2">
      <c r="B69" s="3">
        <f>+B68+365</f>
        <v>44926</v>
      </c>
      <c r="C69" s="5">
        <f>+F68</f>
        <v>451774</v>
      </c>
      <c r="D69" s="5">
        <v>100000</v>
      </c>
      <c r="E69" s="5">
        <f>+(C69-D69)*$C$62</f>
        <v>45730.62</v>
      </c>
      <c r="F69" s="5">
        <f>+C69-D69+E69</f>
        <v>397504.62</v>
      </c>
      <c r="G69" s="10" t="s">
        <v>66</v>
      </c>
    </row>
    <row r="70" spans="2:7" x14ac:dyDescent="0.2">
      <c r="B70" s="3">
        <v>45291</v>
      </c>
      <c r="C70" s="5">
        <f t="shared" ref="C70:C72" si="0">+F69</f>
        <v>397504.62</v>
      </c>
      <c r="D70" s="5">
        <v>100000</v>
      </c>
      <c r="E70" s="5">
        <f t="shared" ref="E70:E72" si="1">+(C70-D70)*$C$62</f>
        <v>38675.600599999998</v>
      </c>
      <c r="F70" s="5">
        <f t="shared" ref="F70:F72" si="2">+C70-D70+E70</f>
        <v>336180.2206</v>
      </c>
    </row>
    <row r="71" spans="2:7" x14ac:dyDescent="0.2">
      <c r="B71" s="3">
        <v>45657</v>
      </c>
      <c r="C71" s="5">
        <f t="shared" si="0"/>
        <v>336180.2206</v>
      </c>
      <c r="D71" s="5">
        <v>100000</v>
      </c>
      <c r="E71" s="5">
        <f t="shared" si="1"/>
        <v>30703.428678</v>
      </c>
      <c r="F71" s="5">
        <f t="shared" si="2"/>
        <v>266883.649278</v>
      </c>
    </row>
    <row r="72" spans="2:7" x14ac:dyDescent="0.2">
      <c r="B72" s="3">
        <v>46022</v>
      </c>
      <c r="C72" s="5">
        <f t="shared" si="0"/>
        <v>266883.649278</v>
      </c>
      <c r="D72" s="5">
        <v>100000</v>
      </c>
      <c r="E72" s="5">
        <f t="shared" si="1"/>
        <v>21694.874406139999</v>
      </c>
      <c r="F72" s="5">
        <f t="shared" si="2"/>
        <v>188578.52368414</v>
      </c>
    </row>
    <row r="73" spans="2:7" x14ac:dyDescent="0.2">
      <c r="B73" s="3">
        <v>46387</v>
      </c>
      <c r="C73" s="5">
        <f t="shared" ref="C73:C74" si="3">+F72</f>
        <v>188578.52368414</v>
      </c>
      <c r="D73" s="5">
        <v>100000</v>
      </c>
      <c r="E73" s="5">
        <f t="shared" ref="E73:E74" si="4">+(C73-D73)*$C$62</f>
        <v>11515.208078938202</v>
      </c>
      <c r="F73" s="5">
        <f t="shared" ref="F73:F74" si="5">+C73-D73+E73</f>
        <v>100093.73176307821</v>
      </c>
    </row>
    <row r="74" spans="2:7" x14ac:dyDescent="0.2">
      <c r="B74" s="3">
        <v>46752</v>
      </c>
      <c r="C74" s="5">
        <f t="shared" si="3"/>
        <v>100093.73176307821</v>
      </c>
      <c r="D74" s="5">
        <v>100000</v>
      </c>
      <c r="E74" s="5">
        <f t="shared" si="4"/>
        <v>12.185129200166703</v>
      </c>
      <c r="F74" s="5">
        <f t="shared" si="5"/>
        <v>105.9168922783721</v>
      </c>
    </row>
    <row r="77" spans="2:7" x14ac:dyDescent="0.2">
      <c r="B77" s="4" t="s">
        <v>63</v>
      </c>
    </row>
    <row r="78" spans="2:7" x14ac:dyDescent="0.2">
      <c r="B78" s="1" t="s">
        <v>60</v>
      </c>
      <c r="E78" s="5">
        <f>+E68</f>
        <v>51974</v>
      </c>
    </row>
    <row r="79" spans="2:7" x14ac:dyDescent="0.2">
      <c r="C79" s="1" t="s">
        <v>61</v>
      </c>
      <c r="F79" s="5">
        <f>+E78</f>
        <v>51974</v>
      </c>
    </row>
    <row r="80" spans="2:7" x14ac:dyDescent="0.2">
      <c r="B80" s="1" t="s">
        <v>62</v>
      </c>
    </row>
    <row r="82" spans="2:5" x14ac:dyDescent="0.2">
      <c r="B82" s="1" t="s">
        <v>64</v>
      </c>
    </row>
    <row r="83" spans="2:5" x14ac:dyDescent="0.2">
      <c r="B83" s="1" t="s">
        <v>65</v>
      </c>
      <c r="E83" s="5">
        <f>+F68-D69</f>
        <v>351774</v>
      </c>
    </row>
    <row r="84" spans="2:5" x14ac:dyDescent="0.2">
      <c r="B84" s="1" t="s">
        <v>67</v>
      </c>
      <c r="E84" s="5">
        <f>+D69</f>
        <v>100000</v>
      </c>
    </row>
    <row r="85" spans="2:5" ht="12.75" thickBot="1" x14ac:dyDescent="0.25">
      <c r="B85" s="1" t="s">
        <v>68</v>
      </c>
      <c r="C85" s="3">
        <v>44561</v>
      </c>
      <c r="E85" s="11">
        <f>+F68</f>
        <v>451774</v>
      </c>
    </row>
    <row r="86" spans="2:5" ht="12.75" thickTop="1" x14ac:dyDescent="0.2"/>
    <row r="87" spans="2:5" x14ac:dyDescent="0.2">
      <c r="B87" s="1" t="s">
        <v>69</v>
      </c>
    </row>
    <row r="90" spans="2:5" x14ac:dyDescent="0.2">
      <c r="B90" s="1" t="s">
        <v>70</v>
      </c>
    </row>
    <row r="91" spans="2:5" x14ac:dyDescent="0.2">
      <c r="B91" s="1" t="s">
        <v>80</v>
      </c>
    </row>
    <row r="93" spans="2:5" x14ac:dyDescent="0.2">
      <c r="B93" s="1" t="s">
        <v>71</v>
      </c>
      <c r="C93" s="1">
        <v>510000</v>
      </c>
    </row>
    <row r="94" spans="2:5" x14ac:dyDescent="0.2">
      <c r="B94" s="1" t="s">
        <v>51</v>
      </c>
      <c r="C94" s="1">
        <v>9</v>
      </c>
    </row>
    <row r="95" spans="2:5" x14ac:dyDescent="0.2">
      <c r="B95" s="1" t="s">
        <v>53</v>
      </c>
      <c r="C95" s="1">
        <v>7</v>
      </c>
      <c r="D95" s="1" t="s">
        <v>73</v>
      </c>
    </row>
    <row r="96" spans="2:5" x14ac:dyDescent="0.2">
      <c r="B96" s="1" t="s">
        <v>72</v>
      </c>
      <c r="C96" s="1">
        <v>3</v>
      </c>
      <c r="D96" s="1" t="s">
        <v>73</v>
      </c>
    </row>
    <row r="97" spans="2:4" x14ac:dyDescent="0.2">
      <c r="C97" s="1">
        <f>SUM(C95:C96)</f>
        <v>10</v>
      </c>
    </row>
    <row r="99" spans="2:4" x14ac:dyDescent="0.2">
      <c r="B99" s="4" t="s">
        <v>77</v>
      </c>
    </row>
    <row r="100" spans="2:4" x14ac:dyDescent="0.2">
      <c r="B100" s="1" t="s">
        <v>75</v>
      </c>
    </row>
    <row r="101" spans="2:4" x14ac:dyDescent="0.2">
      <c r="B101" s="1" t="s">
        <v>71</v>
      </c>
      <c r="C101" s="5">
        <f>+C93</f>
        <v>510000</v>
      </c>
    </row>
    <row r="102" spans="2:4" x14ac:dyDescent="0.2">
      <c r="B102" s="1" t="s">
        <v>74</v>
      </c>
      <c r="C102" s="5">
        <f>+C95</f>
        <v>7</v>
      </c>
      <c r="D102" s="1" t="s">
        <v>51</v>
      </c>
    </row>
    <row r="103" spans="2:4" ht="12.75" thickBot="1" x14ac:dyDescent="0.25">
      <c r="C103" s="11">
        <f>+C101/C102</f>
        <v>72857.142857142855</v>
      </c>
    </row>
    <row r="104" spans="2:4" ht="12.75" thickTop="1" x14ac:dyDescent="0.2">
      <c r="C104" s="5"/>
    </row>
    <row r="105" spans="2:4" x14ac:dyDescent="0.2">
      <c r="B105" s="4" t="s">
        <v>76</v>
      </c>
    </row>
    <row r="106" spans="2:4" x14ac:dyDescent="0.2">
      <c r="B106" s="1" t="s">
        <v>75</v>
      </c>
    </row>
    <row r="107" spans="2:4" x14ac:dyDescent="0.2">
      <c r="B107" s="1" t="s">
        <v>71</v>
      </c>
      <c r="C107" s="5">
        <f>+C93</f>
        <v>510000</v>
      </c>
    </row>
    <row r="108" spans="2:4" x14ac:dyDescent="0.2">
      <c r="B108" s="1" t="s">
        <v>74</v>
      </c>
      <c r="C108" s="5">
        <f>+C94</f>
        <v>9</v>
      </c>
      <c r="D108" s="1" t="s">
        <v>51</v>
      </c>
    </row>
    <row r="109" spans="2:4" ht="12.75" thickBot="1" x14ac:dyDescent="0.25">
      <c r="C109" s="11">
        <f>+C107/C108</f>
        <v>56666.666666666664</v>
      </c>
    </row>
    <row r="110" spans="2:4" ht="12.75" thickTop="1" x14ac:dyDescent="0.2"/>
    <row r="111" spans="2:4" x14ac:dyDescent="0.2">
      <c r="B111" s="1" t="s">
        <v>78</v>
      </c>
    </row>
    <row r="112" spans="2:4" x14ac:dyDescent="0.2">
      <c r="B112" s="1" t="s">
        <v>79</v>
      </c>
    </row>
    <row r="113" spans="2:4" x14ac:dyDescent="0.2">
      <c r="B113" s="1" t="s">
        <v>81</v>
      </c>
    </row>
    <row r="114" spans="2:4" x14ac:dyDescent="0.2">
      <c r="B114" s="1" t="s">
        <v>82</v>
      </c>
    </row>
    <row r="115" spans="2:4" x14ac:dyDescent="0.2">
      <c r="B115" s="1" t="s">
        <v>83</v>
      </c>
    </row>
    <row r="116" spans="2:4" x14ac:dyDescent="0.2">
      <c r="B116" s="1" t="s">
        <v>79</v>
      </c>
      <c r="C116" s="5">
        <v>5000</v>
      </c>
    </row>
    <row r="118" spans="2:4" x14ac:dyDescent="0.2">
      <c r="B118" s="1" t="s">
        <v>84</v>
      </c>
    </row>
    <row r="119" spans="2:4" x14ac:dyDescent="0.2">
      <c r="B119" s="1" t="s">
        <v>75</v>
      </c>
    </row>
    <row r="120" spans="2:4" x14ac:dyDescent="0.2">
      <c r="B120" s="1" t="s">
        <v>71</v>
      </c>
      <c r="C120" s="5">
        <f>+C107</f>
        <v>510000</v>
      </c>
    </row>
    <row r="121" spans="2:4" x14ac:dyDescent="0.2">
      <c r="B121" s="1" t="s">
        <v>85</v>
      </c>
      <c r="C121" s="5">
        <f>+C116</f>
        <v>5000</v>
      </c>
    </row>
    <row r="122" spans="2:4" x14ac:dyDescent="0.2">
      <c r="C122" s="5">
        <f>+C120-C121</f>
        <v>505000</v>
      </c>
    </row>
    <row r="123" spans="2:4" x14ac:dyDescent="0.2">
      <c r="B123" s="1" t="s">
        <v>74</v>
      </c>
      <c r="C123" s="5">
        <f>+C108</f>
        <v>9</v>
      </c>
      <c r="D123" s="1" t="s">
        <v>51</v>
      </c>
    </row>
    <row r="124" spans="2:4" ht="12.75" thickBot="1" x14ac:dyDescent="0.25">
      <c r="C124" s="11">
        <f>+C122/C123</f>
        <v>56111.111111111109</v>
      </c>
    </row>
    <row r="125" spans="2:4" ht="12.75" thickTop="1" x14ac:dyDescent="0.2"/>
    <row r="127" spans="2:4" x14ac:dyDescent="0.2">
      <c r="B127" s="4" t="s">
        <v>127</v>
      </c>
    </row>
    <row r="128" spans="2:4" x14ac:dyDescent="0.2">
      <c r="B128" s="1" t="s">
        <v>128</v>
      </c>
    </row>
    <row r="129" spans="2:5" x14ac:dyDescent="0.2">
      <c r="B129" s="1" t="s">
        <v>130</v>
      </c>
      <c r="D129" s="5">
        <v>12000000</v>
      </c>
    </row>
    <row r="130" spans="2:5" x14ac:dyDescent="0.2">
      <c r="B130" s="1" t="s">
        <v>131</v>
      </c>
      <c r="D130" s="5">
        <v>2000000</v>
      </c>
    </row>
    <row r="131" spans="2:5" x14ac:dyDescent="0.2">
      <c r="B131" s="1" t="s">
        <v>129</v>
      </c>
      <c r="C131" s="3">
        <v>44197</v>
      </c>
      <c r="D131" s="5">
        <v>10000000</v>
      </c>
    </row>
    <row r="132" spans="2:5" x14ac:dyDescent="0.2">
      <c r="B132" s="1" t="s">
        <v>51</v>
      </c>
      <c r="D132" s="1">
        <v>28</v>
      </c>
      <c r="E132" s="1" t="s">
        <v>73</v>
      </c>
    </row>
    <row r="133" spans="2:5" x14ac:dyDescent="0.2">
      <c r="B133" s="1" t="s">
        <v>132</v>
      </c>
      <c r="C133" s="3">
        <v>44197</v>
      </c>
      <c r="D133" s="5">
        <v>13500000</v>
      </c>
    </row>
    <row r="134" spans="2:5" x14ac:dyDescent="0.2">
      <c r="B134" s="1" t="s">
        <v>113</v>
      </c>
      <c r="C134" s="3"/>
      <c r="D134" s="6">
        <v>4.2119999999999997</v>
      </c>
    </row>
    <row r="135" spans="2:5" x14ac:dyDescent="0.2">
      <c r="B135" s="1" t="s">
        <v>136</v>
      </c>
      <c r="C135" s="3"/>
      <c r="D135" s="5">
        <v>800000</v>
      </c>
      <c r="E135" s="1" t="s">
        <v>93</v>
      </c>
    </row>
    <row r="136" spans="2:5" x14ac:dyDescent="0.2">
      <c r="B136" s="1" t="s">
        <v>168</v>
      </c>
      <c r="D136" s="9">
        <v>0.06</v>
      </c>
    </row>
    <row r="138" spans="2:5" x14ac:dyDescent="0.2">
      <c r="B138" s="1" t="s">
        <v>133</v>
      </c>
    </row>
    <row r="139" spans="2:5" x14ac:dyDescent="0.2">
      <c r="B139" s="1" t="s">
        <v>134</v>
      </c>
    </row>
    <row r="140" spans="2:5" x14ac:dyDescent="0.2">
      <c r="B140" s="1" t="s">
        <v>135</v>
      </c>
      <c r="D140" s="5">
        <f>+D135*D134</f>
        <v>3369600</v>
      </c>
    </row>
    <row r="142" spans="2:5" x14ac:dyDescent="0.2">
      <c r="B142" s="1" t="s">
        <v>137</v>
      </c>
    </row>
    <row r="143" spans="2:5" x14ac:dyDescent="0.2">
      <c r="B143" s="1" t="s">
        <v>138</v>
      </c>
    </row>
    <row r="144" spans="2:5" x14ac:dyDescent="0.2">
      <c r="B144" s="1" t="s">
        <v>139</v>
      </c>
      <c r="D144" s="5">
        <f>+D131/D133*D140</f>
        <v>2496000</v>
      </c>
    </row>
    <row r="146" spans="2:6" x14ac:dyDescent="0.2">
      <c r="B146" s="1" t="s">
        <v>140</v>
      </c>
    </row>
    <row r="147" spans="2:6" x14ac:dyDescent="0.2">
      <c r="B147" s="1" t="s">
        <v>141</v>
      </c>
      <c r="C147" s="1" t="s">
        <v>142</v>
      </c>
      <c r="D147" s="5">
        <f>+D133-D131</f>
        <v>3500000</v>
      </c>
    </row>
    <row r="149" spans="2:6" x14ac:dyDescent="0.2">
      <c r="B149" s="1" t="s">
        <v>143</v>
      </c>
    </row>
    <row r="150" spans="2:6" x14ac:dyDescent="0.2">
      <c r="B150" s="1" t="s">
        <v>141</v>
      </c>
      <c r="D150" s="5">
        <f>+D147</f>
        <v>3500000</v>
      </c>
    </row>
    <row r="151" spans="2:6" x14ac:dyDescent="0.2">
      <c r="B151" s="1" t="s">
        <v>144</v>
      </c>
      <c r="D151" s="5">
        <f>+D133</f>
        <v>13500000</v>
      </c>
    </row>
    <row r="152" spans="2:6" x14ac:dyDescent="0.2">
      <c r="B152" s="1" t="s">
        <v>145</v>
      </c>
      <c r="D152" s="5">
        <f>+D151</f>
        <v>13500000</v>
      </c>
    </row>
    <row r="153" spans="2:6" x14ac:dyDescent="0.2">
      <c r="B153" s="1" t="s">
        <v>146</v>
      </c>
      <c r="D153" s="5">
        <f>+D140</f>
        <v>3369600</v>
      </c>
    </row>
    <row r="154" spans="2:6" ht="12.75" thickBot="1" x14ac:dyDescent="0.25">
      <c r="B154" s="1" t="s">
        <v>147</v>
      </c>
      <c r="D154" s="11">
        <f>+(D150/D151)*(D152-D153)</f>
        <v>2626400</v>
      </c>
    </row>
    <row r="155" spans="2:6" ht="12.75" thickTop="1" x14ac:dyDescent="0.2"/>
    <row r="156" spans="2:6" x14ac:dyDescent="0.2">
      <c r="B156" s="1" t="s">
        <v>153</v>
      </c>
      <c r="E156" s="5">
        <f>+D144</f>
        <v>2496000</v>
      </c>
    </row>
    <row r="157" spans="2:6" x14ac:dyDescent="0.2">
      <c r="B157" s="1" t="s">
        <v>150</v>
      </c>
      <c r="E157" s="5">
        <f>+D130</f>
        <v>2000000</v>
      </c>
      <c r="F157" s="5"/>
    </row>
    <row r="158" spans="2:6" x14ac:dyDescent="0.2">
      <c r="B158" s="1" t="s">
        <v>151</v>
      </c>
      <c r="E158" s="5">
        <f>+F159+F160+F161-E157-E156</f>
        <v>13500000</v>
      </c>
      <c r="F158" s="5"/>
    </row>
    <row r="159" spans="2:6" x14ac:dyDescent="0.2">
      <c r="C159" s="1" t="s">
        <v>148</v>
      </c>
      <c r="F159" s="5">
        <f>+D140</f>
        <v>3369600</v>
      </c>
    </row>
    <row r="160" spans="2:6" x14ac:dyDescent="0.2">
      <c r="C160" s="1" t="s">
        <v>149</v>
      </c>
      <c r="E160" s="5"/>
      <c r="F160" s="5">
        <f>+D129</f>
        <v>12000000</v>
      </c>
    </row>
    <row r="161" spans="2:6" x14ac:dyDescent="0.2">
      <c r="C161" s="1" t="s">
        <v>152</v>
      </c>
      <c r="F161" s="5">
        <f>+D154</f>
        <v>2626400</v>
      </c>
    </row>
    <row r="162" spans="2:6" x14ac:dyDescent="0.2">
      <c r="B162" s="1" t="s">
        <v>154</v>
      </c>
    </row>
    <row r="164" spans="2:6" x14ac:dyDescent="0.2">
      <c r="B164" s="14" t="s">
        <v>155</v>
      </c>
    </row>
    <row r="166" spans="2:6" x14ac:dyDescent="0.2">
      <c r="B166" s="14" t="s">
        <v>156</v>
      </c>
    </row>
    <row r="169" spans="2:6" x14ac:dyDescent="0.2">
      <c r="B169" s="1" t="s">
        <v>135</v>
      </c>
      <c r="D169" s="5">
        <f>+D140</f>
        <v>3369600</v>
      </c>
    </row>
    <row r="170" spans="2:6" x14ac:dyDescent="0.2">
      <c r="B170" s="1" t="s">
        <v>144</v>
      </c>
      <c r="D170" s="5">
        <f>+D151</f>
        <v>13500000</v>
      </c>
    </row>
    <row r="171" spans="2:6" x14ac:dyDescent="0.2">
      <c r="B171" s="1" t="s">
        <v>157</v>
      </c>
      <c r="D171" s="1">
        <f>+D169/D170</f>
        <v>0.24959999999999999</v>
      </c>
    </row>
    <row r="172" spans="2:6" x14ac:dyDescent="0.2">
      <c r="B172" s="1" t="s">
        <v>158</v>
      </c>
      <c r="D172" s="1">
        <f>1-D171</f>
        <v>0.75039999999999996</v>
      </c>
    </row>
    <row r="173" spans="2:6" x14ac:dyDescent="0.2">
      <c r="B173" s="1" t="s">
        <v>129</v>
      </c>
      <c r="D173" s="5">
        <f>+D131</f>
        <v>10000000</v>
      </c>
    </row>
    <row r="174" spans="2:6" x14ac:dyDescent="0.2">
      <c r="B174" s="1" t="s">
        <v>159</v>
      </c>
      <c r="D174" s="5">
        <f>+D171*D173</f>
        <v>2496000</v>
      </c>
    </row>
    <row r="175" spans="2:6" x14ac:dyDescent="0.2">
      <c r="B175" s="1" t="s">
        <v>160</v>
      </c>
      <c r="D175" s="5">
        <f>+D150</f>
        <v>3500000</v>
      </c>
    </row>
    <row r="176" spans="2:6" x14ac:dyDescent="0.2">
      <c r="B176" s="1" t="s">
        <v>158</v>
      </c>
      <c r="D176" s="15">
        <f>+D172</f>
        <v>0.75039999999999996</v>
      </c>
    </row>
    <row r="177" spans="2:6" x14ac:dyDescent="0.2">
      <c r="B177" s="1" t="s">
        <v>161</v>
      </c>
      <c r="D177" s="5">
        <f>+D175*D176</f>
        <v>2626400</v>
      </c>
    </row>
    <row r="179" spans="2:6" x14ac:dyDescent="0.2">
      <c r="B179" s="1" t="s">
        <v>162</v>
      </c>
    </row>
    <row r="181" spans="2:6" x14ac:dyDescent="0.2">
      <c r="B181" s="1" t="s">
        <v>75</v>
      </c>
    </row>
    <row r="182" spans="2:6" x14ac:dyDescent="0.2">
      <c r="B182" s="1" t="s">
        <v>53</v>
      </c>
      <c r="D182" s="1">
        <v>5</v>
      </c>
      <c r="E182" s="1" t="s">
        <v>9</v>
      </c>
    </row>
    <row r="183" spans="2:6" x14ac:dyDescent="0.2">
      <c r="B183" s="1" t="s">
        <v>163</v>
      </c>
      <c r="D183" s="1">
        <v>28</v>
      </c>
      <c r="E183" s="1" t="s">
        <v>73</v>
      </c>
    </row>
    <row r="184" spans="2:6" x14ac:dyDescent="0.2">
      <c r="B184" s="1" t="s">
        <v>98</v>
      </c>
      <c r="D184" s="1">
        <f>+D182</f>
        <v>5</v>
      </c>
      <c r="E184" s="1" t="s">
        <v>73</v>
      </c>
    </row>
    <row r="185" spans="2:6" x14ac:dyDescent="0.2">
      <c r="B185" s="1" t="s">
        <v>75</v>
      </c>
      <c r="D185" s="5">
        <f>+D144/D184</f>
        <v>499200</v>
      </c>
    </row>
    <row r="187" spans="2:6" x14ac:dyDescent="0.2">
      <c r="B187" s="1" t="s">
        <v>164</v>
      </c>
      <c r="E187" s="5">
        <f>+D185</f>
        <v>499200</v>
      </c>
    </row>
    <row r="188" spans="2:6" x14ac:dyDescent="0.2">
      <c r="C188" s="1" t="s">
        <v>165</v>
      </c>
      <c r="F188" s="5">
        <f>+E187</f>
        <v>499200</v>
      </c>
    </row>
    <row r="189" spans="2:6" x14ac:dyDescent="0.2">
      <c r="B189" s="1" t="s">
        <v>166</v>
      </c>
    </row>
    <row r="192" spans="2:6" x14ac:dyDescent="0.2">
      <c r="C192" s="1" t="s">
        <v>167</v>
      </c>
      <c r="D192" s="1" t="s">
        <v>168</v>
      </c>
      <c r="E192" s="1" t="s">
        <v>169</v>
      </c>
      <c r="F192" s="1" t="s">
        <v>170</v>
      </c>
    </row>
    <row r="193" spans="2:7" x14ac:dyDescent="0.2">
      <c r="B193" s="3">
        <v>44561</v>
      </c>
      <c r="C193" s="5">
        <f>+D140</f>
        <v>3369600</v>
      </c>
      <c r="D193" s="5">
        <f>+C193*$D$136</f>
        <v>202176</v>
      </c>
      <c r="E193" s="5">
        <f>-D135</f>
        <v>-800000</v>
      </c>
      <c r="F193" s="5">
        <f>SUM(C193:E193)</f>
        <v>2771776</v>
      </c>
    </row>
    <row r="195" spans="2:7" x14ac:dyDescent="0.2">
      <c r="B195" s="1" t="s">
        <v>171</v>
      </c>
      <c r="E195" s="5">
        <f>+D193</f>
        <v>202176</v>
      </c>
    </row>
    <row r="196" spans="2:7" x14ac:dyDescent="0.2">
      <c r="B196" s="1" t="s">
        <v>172</v>
      </c>
      <c r="E196" s="16">
        <f>-SUM(D193:E193)</f>
        <v>597824</v>
      </c>
      <c r="G196" s="1" t="s">
        <v>190</v>
      </c>
    </row>
    <row r="197" spans="2:7" x14ac:dyDescent="0.2">
      <c r="C197" s="1" t="s">
        <v>173</v>
      </c>
      <c r="F197" s="5">
        <v>800000</v>
      </c>
    </row>
    <row r="199" spans="2:7" x14ac:dyDescent="0.2">
      <c r="E199" s="5"/>
    </row>
    <row r="200" spans="2:7" x14ac:dyDescent="0.2">
      <c r="B200" s="13" t="s">
        <v>202</v>
      </c>
      <c r="E200" s="5"/>
    </row>
    <row r="201" spans="2:7" x14ac:dyDescent="0.2">
      <c r="B201" s="1" t="s">
        <v>203</v>
      </c>
      <c r="E201" s="5"/>
    </row>
  </sheetData>
  <hyperlinks>
    <hyperlink ref="A1" location="Main!A1" display="Main" xr:uid="{8885D739-409D-44C4-9586-0349679D98A2}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73E4D-F00A-46B1-A616-5D542A5309CB}">
  <dimension ref="B3:F42"/>
  <sheetViews>
    <sheetView tabSelected="1" workbookViewId="0">
      <selection activeCell="F9" sqref="F9"/>
    </sheetView>
  </sheetViews>
  <sheetFormatPr defaultRowHeight="12" x14ac:dyDescent="0.2"/>
  <cols>
    <col min="1" max="16384" width="9.140625" style="1"/>
  </cols>
  <sheetData>
    <row r="3" spans="2:6" x14ac:dyDescent="0.2">
      <c r="B3" s="1" t="s">
        <v>312</v>
      </c>
    </row>
    <row r="4" spans="2:6" x14ac:dyDescent="0.2">
      <c r="B4" s="1" t="s">
        <v>89</v>
      </c>
      <c r="C4" s="3">
        <v>44562</v>
      </c>
    </row>
    <row r="5" spans="2:6" x14ac:dyDescent="0.2">
      <c r="B5" s="1" t="s">
        <v>109</v>
      </c>
      <c r="C5" s="1">
        <v>5000</v>
      </c>
      <c r="D5" s="1" t="s">
        <v>278</v>
      </c>
    </row>
    <row r="6" spans="2:6" x14ac:dyDescent="0.2">
      <c r="B6" s="1" t="s">
        <v>53</v>
      </c>
      <c r="C6" s="1">
        <f>5*12</f>
        <v>60</v>
      </c>
      <c r="D6" s="1" t="s">
        <v>52</v>
      </c>
    </row>
    <row r="7" spans="2:6" x14ac:dyDescent="0.2">
      <c r="B7" s="1" t="s">
        <v>91</v>
      </c>
      <c r="C7" s="3">
        <v>44562</v>
      </c>
    </row>
    <row r="8" spans="2:6" x14ac:dyDescent="0.2">
      <c r="B8" s="1" t="s">
        <v>37</v>
      </c>
      <c r="C8" s="1">
        <v>1</v>
      </c>
    </row>
    <row r="9" spans="2:6" x14ac:dyDescent="0.2">
      <c r="B9" s="1" t="s">
        <v>313</v>
      </c>
      <c r="C9" s="9">
        <v>0.12</v>
      </c>
      <c r="D9" s="1" t="s">
        <v>93</v>
      </c>
    </row>
    <row r="10" spans="2:6" x14ac:dyDescent="0.2">
      <c r="B10" s="1" t="s">
        <v>113</v>
      </c>
      <c r="C10" s="1">
        <v>3.0369999999999999</v>
      </c>
    </row>
    <row r="12" spans="2:6" x14ac:dyDescent="0.2">
      <c r="B12" s="8" t="s">
        <v>314</v>
      </c>
      <c r="C12" s="8"/>
      <c r="D12" s="8"/>
      <c r="E12" s="8"/>
      <c r="F12" s="8"/>
    </row>
    <row r="13" spans="2:6" x14ac:dyDescent="0.2">
      <c r="B13" s="8" t="s">
        <v>315</v>
      </c>
      <c r="C13" s="8"/>
      <c r="D13" s="8"/>
      <c r="E13" s="8">
        <f>+C5</f>
        <v>5000</v>
      </c>
      <c r="F13" s="8"/>
    </row>
    <row r="14" spans="2:6" x14ac:dyDescent="0.2">
      <c r="B14" s="8"/>
      <c r="C14" s="8" t="s">
        <v>215</v>
      </c>
      <c r="D14" s="8"/>
      <c r="E14" s="8"/>
      <c r="F14" s="8">
        <f>+E13</f>
        <v>5000</v>
      </c>
    </row>
    <row r="16" spans="2:6" x14ac:dyDescent="0.2">
      <c r="B16" s="1" t="s">
        <v>68</v>
      </c>
      <c r="C16" s="1">
        <f>+C5*C10</f>
        <v>15185</v>
      </c>
    </row>
    <row r="17" spans="2:6" x14ac:dyDescent="0.2">
      <c r="B17" s="1" t="s">
        <v>222</v>
      </c>
      <c r="C17" s="1">
        <f>+C16+C5</f>
        <v>20185</v>
      </c>
      <c r="D17" s="1" t="s">
        <v>316</v>
      </c>
    </row>
    <row r="19" spans="2:6" x14ac:dyDescent="0.2">
      <c r="B19" s="1" t="s">
        <v>153</v>
      </c>
      <c r="E19" s="5">
        <f>+C17</f>
        <v>20185</v>
      </c>
      <c r="F19" s="5"/>
    </row>
    <row r="20" spans="2:6" x14ac:dyDescent="0.2">
      <c r="C20" s="1" t="s">
        <v>61</v>
      </c>
      <c r="E20" s="5"/>
      <c r="F20" s="5">
        <f>+C16</f>
        <v>15185</v>
      </c>
    </row>
    <row r="21" spans="2:6" x14ac:dyDescent="0.2">
      <c r="C21" s="1" t="s">
        <v>317</v>
      </c>
      <c r="E21" s="5"/>
      <c r="F21" s="5">
        <f>+E19-F20</f>
        <v>5000</v>
      </c>
    </row>
    <row r="22" spans="2:6" x14ac:dyDescent="0.2">
      <c r="B22" s="1" t="s">
        <v>318</v>
      </c>
    </row>
    <row r="24" spans="2:6" x14ac:dyDescent="0.2">
      <c r="B24" s="1" t="s">
        <v>319</v>
      </c>
    </row>
    <row r="25" spans="2:6" x14ac:dyDescent="0.2">
      <c r="B25" s="1" t="s">
        <v>222</v>
      </c>
      <c r="C25" s="5">
        <f>+C16</f>
        <v>15185</v>
      </c>
    </row>
    <row r="26" spans="2:6" x14ac:dyDescent="0.2">
      <c r="B26" s="1" t="s">
        <v>320</v>
      </c>
      <c r="C26" s="5">
        <f>+C6</f>
        <v>60</v>
      </c>
    </row>
    <row r="27" spans="2:6" x14ac:dyDescent="0.2">
      <c r="B27" s="1" t="s">
        <v>321</v>
      </c>
      <c r="C27" s="5">
        <f>+C25*12/C26</f>
        <v>3037</v>
      </c>
      <c r="D27" s="1" t="s">
        <v>322</v>
      </c>
    </row>
    <row r="29" spans="2:6" x14ac:dyDescent="0.2">
      <c r="B29" s="1" t="s">
        <v>323</v>
      </c>
      <c r="E29" s="5">
        <f>+C27</f>
        <v>3037</v>
      </c>
    </row>
    <row r="30" spans="2:6" x14ac:dyDescent="0.2">
      <c r="C30" s="1" t="s">
        <v>281</v>
      </c>
      <c r="F30" s="5">
        <f>+E29</f>
        <v>3037</v>
      </c>
    </row>
    <row r="31" spans="2:6" x14ac:dyDescent="0.2">
      <c r="B31" s="1" t="s">
        <v>324</v>
      </c>
    </row>
    <row r="33" spans="2:6" x14ac:dyDescent="0.2">
      <c r="B33" s="3"/>
      <c r="C33" s="1" t="s">
        <v>57</v>
      </c>
      <c r="D33" s="1" t="s">
        <v>32</v>
      </c>
      <c r="E33" s="1" t="s">
        <v>228</v>
      </c>
      <c r="F33" s="1" t="s">
        <v>59</v>
      </c>
    </row>
    <row r="34" spans="2:6" x14ac:dyDescent="0.2">
      <c r="B34" s="3">
        <v>44926</v>
      </c>
      <c r="C34" s="5">
        <f>+C5*C10</f>
        <v>15185</v>
      </c>
      <c r="D34" s="5">
        <v>0</v>
      </c>
      <c r="E34" s="5">
        <f>SUM(C34:D34)*$C$9</f>
        <v>1822.2</v>
      </c>
      <c r="F34" s="5">
        <f>SUM(C34:E34)</f>
        <v>17007.2</v>
      </c>
    </row>
    <row r="35" spans="2:6" x14ac:dyDescent="0.2">
      <c r="B35" s="3">
        <v>45291</v>
      </c>
      <c r="C35" s="5">
        <f>+F34</f>
        <v>17007.2</v>
      </c>
      <c r="D35" s="5">
        <f>-$C$5</f>
        <v>-5000</v>
      </c>
      <c r="E35" s="5">
        <f>SUM(C35:D35)*$C$9</f>
        <v>1440.864</v>
      </c>
      <c r="F35" s="5">
        <f t="shared" ref="F35:F38" si="0">SUM(C35:E35)</f>
        <v>13448.064</v>
      </c>
    </row>
    <row r="36" spans="2:6" x14ac:dyDescent="0.2">
      <c r="B36" s="3">
        <v>45657</v>
      </c>
      <c r="C36" s="5">
        <f t="shared" ref="C36:C38" si="1">+F35</f>
        <v>13448.064</v>
      </c>
      <c r="D36" s="5">
        <f>-$C$5</f>
        <v>-5000</v>
      </c>
      <c r="E36" s="5">
        <f>SUM(C36:D36)*$C$9</f>
        <v>1013.76768</v>
      </c>
      <c r="F36" s="5">
        <f t="shared" si="0"/>
        <v>9461.8316800000011</v>
      </c>
    </row>
    <row r="37" spans="2:6" x14ac:dyDescent="0.2">
      <c r="B37" s="3">
        <v>46022</v>
      </c>
      <c r="C37" s="5">
        <f t="shared" si="1"/>
        <v>9461.8316800000011</v>
      </c>
      <c r="D37" s="5">
        <f>-$C$5</f>
        <v>-5000</v>
      </c>
      <c r="E37" s="5">
        <f>SUM(C37:D37)*$C$9</f>
        <v>535.41980160000014</v>
      </c>
      <c r="F37" s="5">
        <f t="shared" si="0"/>
        <v>4997.2514816000012</v>
      </c>
    </row>
    <row r="38" spans="2:6" x14ac:dyDescent="0.2">
      <c r="B38" s="3">
        <v>46387</v>
      </c>
      <c r="C38" s="5">
        <f t="shared" si="1"/>
        <v>4997.2514816000012</v>
      </c>
      <c r="D38" s="5">
        <f>-$C$5</f>
        <v>-5000</v>
      </c>
      <c r="E38" s="5">
        <f>SUM(C38:D38)*$C$9</f>
        <v>-0.32982220799985951</v>
      </c>
      <c r="F38" s="5">
        <f t="shared" si="0"/>
        <v>-3.078340607998689</v>
      </c>
    </row>
    <row r="41" spans="2:6" x14ac:dyDescent="0.2">
      <c r="B41" s="1" t="s">
        <v>102</v>
      </c>
      <c r="C41" s="5">
        <f>+F34-F35</f>
        <v>3559.1360000000004</v>
      </c>
    </row>
    <row r="42" spans="2:6" x14ac:dyDescent="0.2">
      <c r="B42" s="1" t="s">
        <v>103</v>
      </c>
      <c r="C42" s="5">
        <f>+F34-C41</f>
        <v>13448.064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6B658-DD53-452D-98F5-6770835D996D}">
  <dimension ref="A1:H42"/>
  <sheetViews>
    <sheetView zoomScale="175" zoomScaleNormal="175" workbookViewId="0">
      <selection activeCell="F30" sqref="F30"/>
    </sheetView>
  </sheetViews>
  <sheetFormatPr defaultRowHeight="12" x14ac:dyDescent="0.2"/>
  <cols>
    <col min="1" max="16384" width="9.140625" style="1"/>
  </cols>
  <sheetData>
    <row r="1" spans="1:8" ht="15" x14ac:dyDescent="0.25">
      <c r="A1" s="2" t="s">
        <v>1</v>
      </c>
    </row>
    <row r="3" spans="1:8" x14ac:dyDescent="0.2">
      <c r="B3" s="1" t="s">
        <v>88</v>
      </c>
    </row>
    <row r="4" spans="1:8" x14ac:dyDescent="0.2">
      <c r="B4" s="1" t="s">
        <v>49</v>
      </c>
      <c r="C4" s="3">
        <v>44561</v>
      </c>
    </row>
    <row r="6" spans="1:8" x14ac:dyDescent="0.2">
      <c r="B6" s="1" t="s">
        <v>89</v>
      </c>
      <c r="C6" s="3">
        <v>44197</v>
      </c>
    </row>
    <row r="7" spans="1:8" x14ac:dyDescent="0.2">
      <c r="B7" s="1" t="s">
        <v>53</v>
      </c>
      <c r="C7" s="1">
        <v>4</v>
      </c>
      <c r="D7" s="1" t="s">
        <v>73</v>
      </c>
    </row>
    <row r="8" spans="1:8" x14ac:dyDescent="0.2">
      <c r="B8" s="1" t="s">
        <v>32</v>
      </c>
      <c r="C8" s="5">
        <v>10000</v>
      </c>
      <c r="D8" s="1" t="s">
        <v>90</v>
      </c>
    </row>
    <row r="9" spans="1:8" x14ac:dyDescent="0.2">
      <c r="B9" s="1" t="s">
        <v>91</v>
      </c>
      <c r="C9" s="3">
        <v>44561</v>
      </c>
    </row>
    <row r="10" spans="1:8" x14ac:dyDescent="0.2">
      <c r="B10" s="1" t="s">
        <v>92</v>
      </c>
      <c r="C10" s="9">
        <v>0.1</v>
      </c>
      <c r="D10" s="1" t="s">
        <v>93</v>
      </c>
    </row>
    <row r="11" spans="1:8" x14ac:dyDescent="0.2">
      <c r="B11" s="1" t="s">
        <v>94</v>
      </c>
      <c r="C11" s="1">
        <v>3.17</v>
      </c>
    </row>
    <row r="12" spans="1:8" x14ac:dyDescent="0.2">
      <c r="B12" s="1" t="s">
        <v>51</v>
      </c>
      <c r="C12" s="1">
        <v>5</v>
      </c>
      <c r="D12" s="1" t="s">
        <v>73</v>
      </c>
    </row>
    <row r="13" spans="1:8" x14ac:dyDescent="0.2">
      <c r="B13" s="1" t="s">
        <v>95</v>
      </c>
      <c r="C13" s="1">
        <v>0</v>
      </c>
    </row>
    <row r="14" spans="1:8" x14ac:dyDescent="0.2">
      <c r="B14" s="1" t="s">
        <v>96</v>
      </c>
      <c r="C14" s="1">
        <v>5000</v>
      </c>
    </row>
    <row r="16" spans="1:8" x14ac:dyDescent="0.2">
      <c r="B16" s="1" t="s">
        <v>49</v>
      </c>
      <c r="C16" s="1" t="s">
        <v>57</v>
      </c>
      <c r="D16" s="1" t="s">
        <v>58</v>
      </c>
      <c r="E16" s="1" t="s">
        <v>32</v>
      </c>
      <c r="F16" s="1" t="s">
        <v>59</v>
      </c>
      <c r="G16" s="5" t="s">
        <v>102</v>
      </c>
      <c r="H16" s="5" t="s">
        <v>103</v>
      </c>
    </row>
    <row r="17" spans="2:8" x14ac:dyDescent="0.2">
      <c r="B17" s="3">
        <f>+C4</f>
        <v>44561</v>
      </c>
      <c r="C17" s="5">
        <f>+C8*C11</f>
        <v>31700</v>
      </c>
      <c r="D17" s="5">
        <f>+C17*$C$10</f>
        <v>3170</v>
      </c>
      <c r="E17" s="5">
        <f>-$C$8</f>
        <v>-10000</v>
      </c>
      <c r="F17" s="5">
        <f>SUM(C17:E17)</f>
        <v>24870</v>
      </c>
      <c r="G17" s="5">
        <f>+F17-F18</f>
        <v>7513</v>
      </c>
      <c r="H17" s="5">
        <f>+F18</f>
        <v>17357</v>
      </c>
    </row>
    <row r="18" spans="2:8" x14ac:dyDescent="0.2">
      <c r="B18" s="3">
        <v>44926</v>
      </c>
      <c r="C18" s="5">
        <f>+F17</f>
        <v>24870</v>
      </c>
      <c r="D18" s="5">
        <f t="shared" ref="D18:D20" si="0">+C18*$C$10</f>
        <v>2487</v>
      </c>
      <c r="E18" s="5">
        <f>-$C$8</f>
        <v>-10000</v>
      </c>
      <c r="F18" s="5">
        <f>SUM(C18:E18)</f>
        <v>17357</v>
      </c>
      <c r="G18" s="5">
        <f>+F18-F19</f>
        <v>8264.2999999999993</v>
      </c>
      <c r="H18" s="5">
        <f>+F19</f>
        <v>9092.7000000000007</v>
      </c>
    </row>
    <row r="19" spans="2:8" x14ac:dyDescent="0.2">
      <c r="B19" s="3">
        <v>45291</v>
      </c>
      <c r="C19" s="5">
        <f t="shared" ref="C19:C20" si="1">+F18</f>
        <v>17357</v>
      </c>
      <c r="D19" s="5">
        <f t="shared" si="0"/>
        <v>1735.7</v>
      </c>
      <c r="E19" s="5">
        <f t="shared" ref="E19:E20" si="2">-$C$8</f>
        <v>-10000</v>
      </c>
      <c r="F19" s="5">
        <f t="shared" ref="F19:F20" si="3">SUM(C19:E19)</f>
        <v>9092.7000000000007</v>
      </c>
      <c r="G19" s="5">
        <f t="shared" ref="G19:G20" si="4">+F19-F20</f>
        <v>9090.73</v>
      </c>
      <c r="H19" s="5">
        <f t="shared" ref="H19:H20" si="5">+F20</f>
        <v>1.9700000000011642</v>
      </c>
    </row>
    <row r="20" spans="2:8" x14ac:dyDescent="0.2">
      <c r="B20" s="3">
        <v>45657</v>
      </c>
      <c r="C20" s="5">
        <f t="shared" si="1"/>
        <v>9092.7000000000007</v>
      </c>
      <c r="D20" s="5">
        <f t="shared" si="0"/>
        <v>909.2700000000001</v>
      </c>
      <c r="E20" s="5">
        <f t="shared" si="2"/>
        <v>-10000</v>
      </c>
      <c r="F20" s="5">
        <f t="shared" si="3"/>
        <v>1.9700000000011642</v>
      </c>
      <c r="G20" s="5">
        <f t="shared" si="4"/>
        <v>1.9700000000011642</v>
      </c>
      <c r="H20" s="5">
        <f t="shared" si="5"/>
        <v>0</v>
      </c>
    </row>
    <row r="21" spans="2:8" x14ac:dyDescent="0.2">
      <c r="B21" s="3"/>
      <c r="C21" s="5"/>
      <c r="D21" s="5"/>
      <c r="E21" s="5"/>
      <c r="F21" s="5"/>
    </row>
    <row r="22" spans="2:8" x14ac:dyDescent="0.2">
      <c r="B22" s="3" t="s">
        <v>104</v>
      </c>
      <c r="C22" s="5" t="s">
        <v>102</v>
      </c>
      <c r="D22" s="5" t="s">
        <v>103</v>
      </c>
      <c r="E22" s="5"/>
      <c r="F22" s="5"/>
    </row>
    <row r="23" spans="2:8" x14ac:dyDescent="0.2">
      <c r="B23" s="3">
        <f>+B17</f>
        <v>44561</v>
      </c>
      <c r="C23" s="5">
        <f>+F17-F18</f>
        <v>7513</v>
      </c>
      <c r="D23" s="5">
        <f>+F18</f>
        <v>17357</v>
      </c>
      <c r="E23" s="5"/>
      <c r="F23" s="5"/>
    </row>
    <row r="24" spans="2:8" x14ac:dyDescent="0.2">
      <c r="B24" s="3">
        <f>+B18</f>
        <v>44926</v>
      </c>
      <c r="C24" s="5">
        <f>+F18-F19</f>
        <v>8264.2999999999993</v>
      </c>
      <c r="D24" s="5">
        <f>+F19</f>
        <v>9092.7000000000007</v>
      </c>
      <c r="E24" s="5"/>
      <c r="F24" s="5"/>
    </row>
    <row r="25" spans="2:8" x14ac:dyDescent="0.2">
      <c r="B25" s="3"/>
      <c r="C25" s="5"/>
      <c r="D25" s="5"/>
      <c r="E25" s="5"/>
      <c r="F25" s="5"/>
    </row>
    <row r="26" spans="2:8" x14ac:dyDescent="0.2">
      <c r="B26" s="3" t="s">
        <v>105</v>
      </c>
      <c r="C26" s="5"/>
      <c r="D26" s="5"/>
      <c r="E26" s="5"/>
      <c r="F26" s="5"/>
    </row>
    <row r="27" spans="2:8" x14ac:dyDescent="0.2">
      <c r="B27" s="3">
        <f>+B23</f>
        <v>44561</v>
      </c>
      <c r="C27" s="5">
        <f>+D17</f>
        <v>3170</v>
      </c>
      <c r="D27" s="5"/>
      <c r="E27" s="5"/>
      <c r="F27" s="5"/>
    </row>
    <row r="28" spans="2:8" x14ac:dyDescent="0.2">
      <c r="B28" s="3">
        <f>+B24</f>
        <v>44926</v>
      </c>
      <c r="C28" s="5">
        <f>+D18</f>
        <v>2487</v>
      </c>
      <c r="D28" s="5"/>
      <c r="E28" s="5"/>
      <c r="F28" s="5"/>
    </row>
    <row r="29" spans="2:8" x14ac:dyDescent="0.2">
      <c r="B29" s="3"/>
      <c r="C29" s="5"/>
      <c r="D29" s="5"/>
      <c r="E29" s="5"/>
      <c r="F29" s="5"/>
    </row>
    <row r="30" spans="2:8" x14ac:dyDescent="0.2">
      <c r="B30" s="1" t="s">
        <v>68</v>
      </c>
      <c r="C30" s="5">
        <f>+C17</f>
        <v>31700</v>
      </c>
    </row>
    <row r="32" spans="2:8" x14ac:dyDescent="0.2">
      <c r="B32" s="1" t="s">
        <v>97</v>
      </c>
    </row>
    <row r="33" spans="2:6" x14ac:dyDescent="0.2">
      <c r="B33" s="1" t="s">
        <v>71</v>
      </c>
      <c r="C33" s="5">
        <f>+C17</f>
        <v>31700</v>
      </c>
    </row>
    <row r="34" spans="2:6" x14ac:dyDescent="0.2">
      <c r="B34" s="1" t="s">
        <v>51</v>
      </c>
      <c r="C34" s="5">
        <v>5</v>
      </c>
    </row>
    <row r="35" spans="2:6" x14ac:dyDescent="0.2">
      <c r="B35" s="1" t="s">
        <v>53</v>
      </c>
      <c r="C35" s="5">
        <v>4</v>
      </c>
      <c r="D35" s="1" t="s">
        <v>73</v>
      </c>
    </row>
    <row r="36" spans="2:6" x14ac:dyDescent="0.2">
      <c r="B36" s="1" t="s">
        <v>98</v>
      </c>
      <c r="C36" s="5">
        <f>+C35</f>
        <v>4</v>
      </c>
    </row>
    <row r="37" spans="2:6" x14ac:dyDescent="0.2">
      <c r="B37" s="1" t="s">
        <v>95</v>
      </c>
      <c r="C37" s="5">
        <v>5000</v>
      </c>
    </row>
    <row r="38" spans="2:6" x14ac:dyDescent="0.2">
      <c r="B38" s="1" t="s">
        <v>99</v>
      </c>
      <c r="C38" s="5">
        <f>+C33-C37</f>
        <v>26700</v>
      </c>
    </row>
    <row r="39" spans="2:6" x14ac:dyDescent="0.2">
      <c r="B39" s="1" t="s">
        <v>97</v>
      </c>
      <c r="C39" s="5">
        <f>+C38/C36</f>
        <v>6675</v>
      </c>
    </row>
    <row r="41" spans="2:6" x14ac:dyDescent="0.2">
      <c r="B41" s="1" t="s">
        <v>100</v>
      </c>
      <c r="E41" s="5">
        <f>+C39</f>
        <v>6675</v>
      </c>
    </row>
    <row r="42" spans="2:6" x14ac:dyDescent="0.2">
      <c r="C42" s="1" t="s">
        <v>101</v>
      </c>
      <c r="F42" s="5">
        <f>+E41</f>
        <v>6675</v>
      </c>
    </row>
  </sheetData>
  <hyperlinks>
    <hyperlink ref="A1" location="Main!A1" display="Main" xr:uid="{A97AD1DB-F73D-4037-A7D8-0360B0D7E6D7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EDC5F-26B6-43F5-8135-DD0BD74F588B}">
  <dimension ref="A1:G46"/>
  <sheetViews>
    <sheetView topLeftCell="A20" zoomScale="190" zoomScaleNormal="190" workbookViewId="0">
      <selection activeCell="B26" sqref="B26:D32"/>
    </sheetView>
  </sheetViews>
  <sheetFormatPr defaultRowHeight="12" x14ac:dyDescent="0.2"/>
  <cols>
    <col min="1" max="16384" width="9.140625" style="1"/>
  </cols>
  <sheetData>
    <row r="1" spans="1:4" ht="15" x14ac:dyDescent="0.25">
      <c r="A1" s="2" t="s">
        <v>1</v>
      </c>
    </row>
    <row r="3" spans="1:4" x14ac:dyDescent="0.2">
      <c r="B3" s="1" t="s">
        <v>106</v>
      </c>
    </row>
    <row r="5" spans="1:4" x14ac:dyDescent="0.2">
      <c r="B5" s="1" t="s">
        <v>49</v>
      </c>
      <c r="C5" s="3">
        <v>44561</v>
      </c>
    </row>
    <row r="7" spans="1:4" x14ac:dyDescent="0.2">
      <c r="B7" s="1" t="s">
        <v>107</v>
      </c>
      <c r="C7" s="3">
        <v>44197</v>
      </c>
    </row>
    <row r="8" spans="1:4" x14ac:dyDescent="0.2">
      <c r="B8" s="1" t="s">
        <v>108</v>
      </c>
      <c r="C8" s="1">
        <f>3*2</f>
        <v>6</v>
      </c>
      <c r="D8" s="1" t="s">
        <v>111</v>
      </c>
    </row>
    <row r="9" spans="1:4" x14ac:dyDescent="0.2">
      <c r="B9" s="1" t="s">
        <v>109</v>
      </c>
      <c r="C9" s="5">
        <v>11000</v>
      </c>
      <c r="D9" s="1" t="s">
        <v>110</v>
      </c>
    </row>
    <row r="10" spans="1:4" x14ac:dyDescent="0.2">
      <c r="B10" s="1" t="s">
        <v>91</v>
      </c>
      <c r="C10" s="3">
        <v>44197</v>
      </c>
    </row>
    <row r="11" spans="1:4" x14ac:dyDescent="0.2">
      <c r="B11" s="1" t="s">
        <v>92</v>
      </c>
      <c r="C11" s="9">
        <v>0.04</v>
      </c>
      <c r="D11" s="1" t="s">
        <v>112</v>
      </c>
    </row>
    <row r="12" spans="1:4" x14ac:dyDescent="0.2">
      <c r="B12" s="1" t="s">
        <v>113</v>
      </c>
      <c r="C12" s="1">
        <v>4.452</v>
      </c>
      <c r="D12" s="1" t="s">
        <v>114</v>
      </c>
    </row>
    <row r="13" spans="1:4" x14ac:dyDescent="0.2">
      <c r="B13" s="1" t="s">
        <v>115</v>
      </c>
      <c r="C13" s="1">
        <v>4</v>
      </c>
      <c r="D13" s="1" t="s">
        <v>111</v>
      </c>
    </row>
    <row r="14" spans="1:4" x14ac:dyDescent="0.2">
      <c r="B14" s="1" t="s">
        <v>51</v>
      </c>
      <c r="C14" s="1">
        <v>8</v>
      </c>
      <c r="D14" s="1" t="s">
        <v>111</v>
      </c>
    </row>
    <row r="17" spans="2:7" x14ac:dyDescent="0.2">
      <c r="G17" s="1" t="s">
        <v>126</v>
      </c>
    </row>
    <row r="18" spans="2:7" x14ac:dyDescent="0.2">
      <c r="B18" s="1" t="s">
        <v>123</v>
      </c>
      <c r="C18" s="1" t="s">
        <v>57</v>
      </c>
      <c r="D18" s="1" t="s">
        <v>32</v>
      </c>
      <c r="E18" s="1" t="s">
        <v>58</v>
      </c>
      <c r="F18" s="1" t="s">
        <v>59</v>
      </c>
    </row>
    <row r="19" spans="2:7" x14ac:dyDescent="0.2">
      <c r="B19" s="3">
        <v>44377</v>
      </c>
      <c r="C19" s="5">
        <f>+C9*C12</f>
        <v>48972</v>
      </c>
      <c r="D19" s="5">
        <v>0</v>
      </c>
      <c r="E19" s="5">
        <f>SUM(C19:D19)*$C$11</f>
        <v>1958.88</v>
      </c>
      <c r="F19" s="5">
        <f>SUM(C19:E19)</f>
        <v>50930.879999999997</v>
      </c>
      <c r="G19" s="1" t="s">
        <v>124</v>
      </c>
    </row>
    <row r="20" spans="2:7" ht="12.75" thickBot="1" x14ac:dyDescent="0.25">
      <c r="B20" s="3">
        <v>44561</v>
      </c>
      <c r="C20" s="5">
        <f>+F19</f>
        <v>50930.879999999997</v>
      </c>
      <c r="D20" s="5">
        <f t="shared" ref="D20:D24" si="0">-$C$9</f>
        <v>-11000</v>
      </c>
      <c r="E20" s="5">
        <f t="shared" ref="E20:E24" si="1">SUM(C20:D20)*$C$11</f>
        <v>1597.2351999999998</v>
      </c>
      <c r="F20" s="12">
        <f t="shared" ref="F20:F24" si="2">SUM(C20:E20)</f>
        <v>41528.1152</v>
      </c>
    </row>
    <row r="21" spans="2:7" x14ac:dyDescent="0.2">
      <c r="B21" s="3">
        <v>44742</v>
      </c>
      <c r="C21" s="5">
        <f t="shared" ref="C21:C24" si="3">+F20</f>
        <v>41528.1152</v>
      </c>
      <c r="D21" s="5">
        <f t="shared" si="0"/>
        <v>-11000</v>
      </c>
      <c r="E21" s="5">
        <f t="shared" si="1"/>
        <v>1221.1246080000001</v>
      </c>
      <c r="F21" s="5">
        <f t="shared" si="2"/>
        <v>31749.239807999998</v>
      </c>
    </row>
    <row r="22" spans="2:7" ht="12.75" thickBot="1" x14ac:dyDescent="0.25">
      <c r="B22" s="3">
        <v>44926</v>
      </c>
      <c r="C22" s="5">
        <f t="shared" si="3"/>
        <v>31749.239807999998</v>
      </c>
      <c r="D22" s="5">
        <f t="shared" si="0"/>
        <v>-11000</v>
      </c>
      <c r="E22" s="5">
        <f t="shared" si="1"/>
        <v>829.96959231999995</v>
      </c>
      <c r="F22" s="12">
        <f t="shared" si="2"/>
        <v>21579.20940032</v>
      </c>
    </row>
    <row r="23" spans="2:7" x14ac:dyDescent="0.2">
      <c r="B23" s="3">
        <v>45107</v>
      </c>
      <c r="C23" s="5">
        <f t="shared" si="3"/>
        <v>21579.20940032</v>
      </c>
      <c r="D23" s="5">
        <f t="shared" si="0"/>
        <v>-11000</v>
      </c>
      <c r="E23" s="5">
        <f t="shared" si="1"/>
        <v>423.16837601280002</v>
      </c>
      <c r="F23" s="5">
        <f t="shared" si="2"/>
        <v>11002.3777763328</v>
      </c>
    </row>
    <row r="24" spans="2:7" x14ac:dyDescent="0.2">
      <c r="B24" s="3">
        <v>45291</v>
      </c>
      <c r="C24" s="5">
        <f t="shared" si="3"/>
        <v>11002.3777763328</v>
      </c>
      <c r="D24" s="5">
        <f t="shared" si="0"/>
        <v>-11000</v>
      </c>
      <c r="E24" s="5">
        <f t="shared" si="1"/>
        <v>9.5111053311993599E-2</v>
      </c>
      <c r="F24" s="5">
        <f t="shared" si="2"/>
        <v>2.4728873861118337</v>
      </c>
      <c r="G24" s="1" t="s">
        <v>125</v>
      </c>
    </row>
    <row r="26" spans="2:7" x14ac:dyDescent="0.2">
      <c r="B26" s="3" t="s">
        <v>104</v>
      </c>
      <c r="C26" s="5" t="s">
        <v>102</v>
      </c>
      <c r="D26" s="5" t="s">
        <v>103</v>
      </c>
      <c r="E26" s="5"/>
      <c r="F26" s="5"/>
    </row>
    <row r="27" spans="2:7" x14ac:dyDescent="0.2">
      <c r="B27" s="3">
        <f>+B20</f>
        <v>44561</v>
      </c>
      <c r="C27" s="5">
        <f>+C9*2</f>
        <v>22000</v>
      </c>
      <c r="D27" s="5">
        <f>+F19-F21</f>
        <v>19181.640191999999</v>
      </c>
      <c r="E27" s="5"/>
      <c r="F27" s="5"/>
    </row>
    <row r="28" spans="2:7" x14ac:dyDescent="0.2">
      <c r="B28" s="3">
        <f>+B22</f>
        <v>44926</v>
      </c>
      <c r="C28" s="5">
        <f>+F22</f>
        <v>21579.20940032</v>
      </c>
      <c r="D28" s="5">
        <v>0</v>
      </c>
      <c r="E28" s="5"/>
      <c r="F28" s="5"/>
    </row>
    <row r="29" spans="2:7" x14ac:dyDescent="0.2">
      <c r="B29" s="3"/>
      <c r="C29" s="5"/>
      <c r="D29" s="5"/>
      <c r="E29" s="5"/>
      <c r="F29" s="5"/>
    </row>
    <row r="30" spans="2:7" x14ac:dyDescent="0.2">
      <c r="B30" s="3" t="s">
        <v>105</v>
      </c>
      <c r="C30" s="5"/>
      <c r="D30" s="5"/>
      <c r="E30" s="5"/>
      <c r="F30" s="5"/>
    </row>
    <row r="31" spans="2:7" x14ac:dyDescent="0.2">
      <c r="B31" s="3">
        <f>+B27</f>
        <v>44561</v>
      </c>
      <c r="C31" s="5">
        <f>+E19+E20</f>
        <v>3556.1152000000002</v>
      </c>
      <c r="D31" s="5"/>
      <c r="E31" s="5"/>
      <c r="F31" s="5"/>
    </row>
    <row r="32" spans="2:7" x14ac:dyDescent="0.2">
      <c r="B32" s="3">
        <f>+B28</f>
        <v>44926</v>
      </c>
      <c r="C32" s="5">
        <f>+E21+E22</f>
        <v>2051.0942003199998</v>
      </c>
      <c r="D32" s="5"/>
      <c r="E32" s="5"/>
      <c r="F32" s="5"/>
    </row>
    <row r="33" spans="2:6" x14ac:dyDescent="0.2">
      <c r="B33" s="3"/>
      <c r="C33" s="5"/>
      <c r="D33" s="5"/>
      <c r="E33" s="5"/>
      <c r="F33" s="5"/>
    </row>
    <row r="34" spans="2:6" x14ac:dyDescent="0.2">
      <c r="B34" s="1" t="s">
        <v>68</v>
      </c>
      <c r="C34" s="5">
        <f>+C19</f>
        <v>48972</v>
      </c>
    </row>
    <row r="36" spans="2:6" x14ac:dyDescent="0.2">
      <c r="B36" s="1" t="s">
        <v>97</v>
      </c>
    </row>
    <row r="37" spans="2:6" x14ac:dyDescent="0.2">
      <c r="B37" s="1" t="s">
        <v>116</v>
      </c>
      <c r="C37" s="5">
        <f>+C34+C9</f>
        <v>59972</v>
      </c>
      <c r="D37" s="1" t="s">
        <v>117</v>
      </c>
    </row>
    <row r="38" spans="2:6" x14ac:dyDescent="0.2">
      <c r="B38" s="1" t="s">
        <v>51</v>
      </c>
      <c r="C38" s="5">
        <v>4</v>
      </c>
      <c r="D38" s="1" t="s">
        <v>73</v>
      </c>
    </row>
    <row r="39" spans="2:6" x14ac:dyDescent="0.2">
      <c r="B39" s="1" t="s">
        <v>53</v>
      </c>
      <c r="C39" s="5">
        <f>+C8+C13</f>
        <v>10</v>
      </c>
      <c r="D39" s="1">
        <v>5</v>
      </c>
    </row>
    <row r="40" spans="2:6" x14ac:dyDescent="0.2">
      <c r="B40" s="1" t="s">
        <v>98</v>
      </c>
      <c r="C40" s="5">
        <f>+C38</f>
        <v>4</v>
      </c>
    </row>
    <row r="41" spans="2:6" x14ac:dyDescent="0.2">
      <c r="B41" s="1" t="s">
        <v>95</v>
      </c>
      <c r="C41" s="5">
        <v>0</v>
      </c>
    </row>
    <row r="42" spans="2:6" x14ac:dyDescent="0.2">
      <c r="B42" s="1" t="s">
        <v>99</v>
      </c>
      <c r="C42" s="5">
        <f>+C37-C41</f>
        <v>59972</v>
      </c>
    </row>
    <row r="43" spans="2:6" x14ac:dyDescent="0.2">
      <c r="B43" s="1" t="s">
        <v>97</v>
      </c>
      <c r="C43" s="5">
        <f>+C42/C40</f>
        <v>14993</v>
      </c>
    </row>
    <row r="45" spans="2:6" x14ac:dyDescent="0.2">
      <c r="B45" s="1" t="s">
        <v>100</v>
      </c>
      <c r="E45" s="5">
        <f>+C43</f>
        <v>14993</v>
      </c>
    </row>
    <row r="46" spans="2:6" x14ac:dyDescent="0.2">
      <c r="C46" s="1" t="s">
        <v>101</v>
      </c>
      <c r="F46" s="5">
        <f>+E45</f>
        <v>14993</v>
      </c>
    </row>
  </sheetData>
  <hyperlinks>
    <hyperlink ref="A1" location="Main!A1" display="Main" xr:uid="{A85AD94D-DA84-4939-93D8-785D7C536F8B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E0D35-BB84-4EF0-B620-20753C16A70E}">
  <dimension ref="A1:G83"/>
  <sheetViews>
    <sheetView topLeftCell="A51" zoomScale="175" zoomScaleNormal="175" workbookViewId="0">
      <selection activeCell="F59" sqref="F59"/>
    </sheetView>
  </sheetViews>
  <sheetFormatPr defaultRowHeight="12" x14ac:dyDescent="0.2"/>
  <cols>
    <col min="1" max="16384" width="9.140625" style="1"/>
  </cols>
  <sheetData>
    <row r="1" spans="1:4" ht="15" x14ac:dyDescent="0.25">
      <c r="A1" s="2" t="s">
        <v>1</v>
      </c>
    </row>
    <row r="3" spans="1:4" x14ac:dyDescent="0.2">
      <c r="B3" s="1" t="s">
        <v>204</v>
      </c>
    </row>
    <row r="5" spans="1:4" x14ac:dyDescent="0.2">
      <c r="B5" s="1" t="s">
        <v>49</v>
      </c>
      <c r="C5" s="3">
        <v>44926</v>
      </c>
    </row>
    <row r="6" spans="1:4" x14ac:dyDescent="0.2">
      <c r="C6" s="3"/>
    </row>
    <row r="7" spans="1:4" x14ac:dyDescent="0.2">
      <c r="B7" s="1" t="s">
        <v>89</v>
      </c>
      <c r="C7" s="3">
        <v>44562</v>
      </c>
    </row>
    <row r="8" spans="1:4" x14ac:dyDescent="0.2">
      <c r="B8" s="1" t="s">
        <v>53</v>
      </c>
      <c r="C8" s="1">
        <v>4</v>
      </c>
      <c r="D8" s="1" t="s">
        <v>205</v>
      </c>
    </row>
    <row r="9" spans="1:4" x14ac:dyDescent="0.2">
      <c r="B9" s="1" t="s">
        <v>109</v>
      </c>
      <c r="C9" s="1">
        <v>25000</v>
      </c>
      <c r="D9" s="1" t="s">
        <v>206</v>
      </c>
    </row>
    <row r="10" spans="1:4" x14ac:dyDescent="0.2">
      <c r="B10" s="1" t="s">
        <v>207</v>
      </c>
      <c r="C10" s="1" t="s">
        <v>208</v>
      </c>
    </row>
    <row r="11" spans="1:4" x14ac:dyDescent="0.2">
      <c r="B11" s="1" t="s">
        <v>51</v>
      </c>
      <c r="C11" s="1">
        <v>5</v>
      </c>
      <c r="D11" s="1" t="s">
        <v>9</v>
      </c>
    </row>
    <row r="12" spans="1:4" x14ac:dyDescent="0.2">
      <c r="B12" s="1" t="s">
        <v>209</v>
      </c>
    </row>
    <row r="13" spans="1:4" x14ac:dyDescent="0.2">
      <c r="B13" s="1" t="s">
        <v>210</v>
      </c>
    </row>
    <row r="14" spans="1:4" x14ac:dyDescent="0.2">
      <c r="B14" s="1" t="s">
        <v>95</v>
      </c>
      <c r="C14" s="5">
        <v>20000</v>
      </c>
    </row>
    <row r="15" spans="1:4" x14ac:dyDescent="0.2">
      <c r="B15" s="1" t="s">
        <v>54</v>
      </c>
      <c r="C15" s="17">
        <v>0.04</v>
      </c>
      <c r="D15" s="1" t="s">
        <v>211</v>
      </c>
    </row>
    <row r="16" spans="1:4" x14ac:dyDescent="0.2">
      <c r="B16" s="1" t="s">
        <v>212</v>
      </c>
      <c r="C16" s="1">
        <v>6.0019999999999998</v>
      </c>
      <c r="D16" s="1" t="s">
        <v>211</v>
      </c>
    </row>
    <row r="18" spans="2:6" x14ac:dyDescent="0.2">
      <c r="B18" s="1" t="s">
        <v>213</v>
      </c>
    </row>
    <row r="19" spans="2:6" x14ac:dyDescent="0.2">
      <c r="B19" s="1" t="s">
        <v>214</v>
      </c>
      <c r="D19" s="1" t="s">
        <v>109</v>
      </c>
    </row>
    <row r="20" spans="2:6" x14ac:dyDescent="0.2">
      <c r="C20" s="1" t="s">
        <v>215</v>
      </c>
      <c r="E20" s="1" t="s">
        <v>109</v>
      </c>
    </row>
    <row r="22" spans="2:6" x14ac:dyDescent="0.2">
      <c r="B22" s="1" t="s">
        <v>216</v>
      </c>
    </row>
    <row r="24" spans="2:6" x14ac:dyDescent="0.2">
      <c r="C24" s="1" t="s">
        <v>217</v>
      </c>
      <c r="D24" s="1" t="s">
        <v>32</v>
      </c>
      <c r="E24" s="1" t="s">
        <v>168</v>
      </c>
      <c r="F24" s="1" t="s">
        <v>170</v>
      </c>
    </row>
    <row r="25" spans="2:6" x14ac:dyDescent="0.2">
      <c r="B25" s="3">
        <v>44742</v>
      </c>
      <c r="C25" s="5">
        <f>+C16*C9</f>
        <v>150050</v>
      </c>
      <c r="D25" s="5">
        <v>0</v>
      </c>
      <c r="E25" s="5">
        <f>+(C25+D25)*$C$15</f>
        <v>6002</v>
      </c>
      <c r="F25" s="5">
        <f>SUM(C25:E25)</f>
        <v>156052</v>
      </c>
    </row>
    <row r="26" spans="2:6" ht="12.75" thickBot="1" x14ac:dyDescent="0.25">
      <c r="B26" s="3">
        <v>44926</v>
      </c>
      <c r="C26" s="5">
        <f>+F25</f>
        <v>156052</v>
      </c>
      <c r="D26" s="5">
        <f>-$C$9</f>
        <v>-25000</v>
      </c>
      <c r="E26" s="5">
        <f t="shared" ref="E26:E29" si="0">+(C26+D26)*$C$15</f>
        <v>5242.08</v>
      </c>
      <c r="F26" s="11">
        <f t="shared" ref="F26:F29" si="1">SUM(C26:E26)</f>
        <v>136294.07999999999</v>
      </c>
    </row>
    <row r="27" spans="2:6" ht="12.75" thickTop="1" x14ac:dyDescent="0.2">
      <c r="B27" s="3">
        <v>45107</v>
      </c>
      <c r="C27" s="5">
        <f t="shared" ref="C27:C29" si="2">+F26</f>
        <v>136294.07999999999</v>
      </c>
      <c r="D27" s="5">
        <f t="shared" ref="D27:D32" si="3">-$C$9</f>
        <v>-25000</v>
      </c>
      <c r="E27" s="5">
        <f t="shared" si="0"/>
        <v>4451.7631999999994</v>
      </c>
      <c r="F27" s="5">
        <f t="shared" si="1"/>
        <v>115745.84319999999</v>
      </c>
    </row>
    <row r="28" spans="2:6" x14ac:dyDescent="0.2">
      <c r="B28" s="3">
        <v>45291</v>
      </c>
      <c r="C28" s="5">
        <f t="shared" si="2"/>
        <v>115745.84319999999</v>
      </c>
      <c r="D28" s="5">
        <f t="shared" si="3"/>
        <v>-25000</v>
      </c>
      <c r="E28" s="5">
        <f t="shared" si="0"/>
        <v>3629.8337279999996</v>
      </c>
      <c r="F28" s="5">
        <f t="shared" si="1"/>
        <v>94375.676927999986</v>
      </c>
    </row>
    <row r="29" spans="2:6" x14ac:dyDescent="0.2">
      <c r="B29" s="3">
        <v>45473</v>
      </c>
      <c r="C29" s="5">
        <f t="shared" si="2"/>
        <v>94375.676927999986</v>
      </c>
      <c r="D29" s="5">
        <f t="shared" si="3"/>
        <v>-25000</v>
      </c>
      <c r="E29" s="5">
        <f t="shared" si="0"/>
        <v>2775.0270771199994</v>
      </c>
      <c r="F29" s="5">
        <f t="shared" si="1"/>
        <v>72150.704005119987</v>
      </c>
    </row>
    <row r="30" spans="2:6" x14ac:dyDescent="0.2">
      <c r="B30" s="3">
        <v>45657</v>
      </c>
      <c r="C30" s="5">
        <f t="shared" ref="C30" si="4">+F29</f>
        <v>72150.704005119987</v>
      </c>
      <c r="D30" s="5">
        <f t="shared" si="3"/>
        <v>-25000</v>
      </c>
      <c r="E30" s="5">
        <f t="shared" ref="E30" si="5">+(C30+D30)*$C$15</f>
        <v>1886.0281602047996</v>
      </c>
      <c r="F30" s="5">
        <f t="shared" ref="F30" si="6">SUM(C30:E30)</f>
        <v>49036.732165324785</v>
      </c>
    </row>
    <row r="31" spans="2:6" x14ac:dyDescent="0.2">
      <c r="B31" s="3">
        <v>45838</v>
      </c>
      <c r="C31" s="5">
        <f t="shared" ref="C31:C32" si="7">+F30</f>
        <v>49036.732165324785</v>
      </c>
      <c r="D31" s="5">
        <f t="shared" si="3"/>
        <v>-25000</v>
      </c>
      <c r="E31" s="5">
        <f t="shared" ref="E31:E32" si="8">+(C31+D31)*$C$15</f>
        <v>961.46928661299148</v>
      </c>
      <c r="F31" s="5">
        <f t="shared" ref="F31:F32" si="9">SUM(C31:E31)</f>
        <v>24998.201451937777</v>
      </c>
    </row>
    <row r="32" spans="2:6" x14ac:dyDescent="0.2">
      <c r="B32" s="3">
        <v>46022</v>
      </c>
      <c r="C32" s="5">
        <f t="shared" si="7"/>
        <v>24998.201451937777</v>
      </c>
      <c r="D32" s="5">
        <f t="shared" si="3"/>
        <v>-25000</v>
      </c>
      <c r="E32" s="5">
        <f t="shared" si="8"/>
        <v>-7.1941922488913401E-2</v>
      </c>
      <c r="F32" s="5">
        <f t="shared" si="9"/>
        <v>-1.8704899847117487</v>
      </c>
    </row>
    <row r="33" spans="2:6" x14ac:dyDescent="0.2">
      <c r="B33" s="3"/>
      <c r="C33" s="5"/>
      <c r="D33" s="5"/>
      <c r="E33" s="5"/>
      <c r="F33" s="5"/>
    </row>
    <row r="34" spans="2:6" x14ac:dyDescent="0.2">
      <c r="B34" s="3" t="s">
        <v>222</v>
      </c>
      <c r="C34" s="5">
        <f>+C25</f>
        <v>150050</v>
      </c>
      <c r="D34" s="5"/>
      <c r="E34" s="5"/>
      <c r="F34" s="5"/>
    </row>
    <row r="35" spans="2:6" x14ac:dyDescent="0.2">
      <c r="B35" s="3"/>
      <c r="C35" s="5">
        <f>+C9</f>
        <v>25000</v>
      </c>
      <c r="D35" s="5"/>
      <c r="E35" s="5"/>
      <c r="F35" s="5"/>
    </row>
    <row r="36" spans="2:6" x14ac:dyDescent="0.2">
      <c r="B36" s="3"/>
      <c r="C36" s="7">
        <f>SUM(C34:C35)</f>
        <v>175050</v>
      </c>
      <c r="D36" s="5"/>
      <c r="E36" s="5"/>
      <c r="F36" s="5"/>
    </row>
    <row r="37" spans="2:6" x14ac:dyDescent="0.2">
      <c r="B37" s="3"/>
      <c r="C37" s="5"/>
      <c r="D37" s="5"/>
      <c r="E37" s="5"/>
      <c r="F37" s="5"/>
    </row>
    <row r="38" spans="2:6" x14ac:dyDescent="0.2">
      <c r="B38" s="3" t="s">
        <v>153</v>
      </c>
      <c r="C38" s="5"/>
      <c r="D38" s="5"/>
      <c r="E38" s="5">
        <f>+C36</f>
        <v>175050</v>
      </c>
      <c r="F38" s="5"/>
    </row>
    <row r="39" spans="2:6" x14ac:dyDescent="0.2">
      <c r="B39" s="3"/>
      <c r="C39" s="5" t="s">
        <v>223</v>
      </c>
      <c r="D39" s="5"/>
      <c r="E39" s="5"/>
      <c r="F39" s="5">
        <f>+C25</f>
        <v>150050</v>
      </c>
    </row>
    <row r="40" spans="2:6" x14ac:dyDescent="0.2">
      <c r="B40" s="3"/>
      <c r="C40" s="5" t="s">
        <v>224</v>
      </c>
      <c r="D40" s="5"/>
      <c r="E40" s="5"/>
      <c r="F40" s="5">
        <f>-D26</f>
        <v>25000</v>
      </c>
    </row>
    <row r="41" spans="2:6" x14ac:dyDescent="0.2">
      <c r="B41" s="3" t="s">
        <v>225</v>
      </c>
      <c r="C41" s="5"/>
      <c r="D41" s="5"/>
      <c r="E41" s="5"/>
      <c r="F41" s="5"/>
    </row>
    <row r="42" spans="2:6" x14ac:dyDescent="0.2">
      <c r="B42" s="3"/>
      <c r="C42" s="5"/>
      <c r="D42" s="5"/>
    </row>
    <row r="43" spans="2:6" x14ac:dyDescent="0.2">
      <c r="B43" s="1" t="s">
        <v>218</v>
      </c>
    </row>
    <row r="44" spans="2:6" x14ac:dyDescent="0.2">
      <c r="B44" s="1" t="s">
        <v>129</v>
      </c>
      <c r="C44" s="5">
        <f>+E38</f>
        <v>175050</v>
      </c>
    </row>
    <row r="45" spans="2:6" x14ac:dyDescent="0.2">
      <c r="B45" s="1" t="s">
        <v>220</v>
      </c>
      <c r="C45" s="5">
        <v>4</v>
      </c>
    </row>
    <row r="46" spans="2:6" x14ac:dyDescent="0.2">
      <c r="B46" s="1" t="s">
        <v>219</v>
      </c>
      <c r="C46" s="1">
        <v>20000</v>
      </c>
    </row>
    <row r="47" spans="2:6" x14ac:dyDescent="0.2">
      <c r="B47" s="1" t="s">
        <v>226</v>
      </c>
      <c r="C47" s="1">
        <v>0.9</v>
      </c>
    </row>
    <row r="48" spans="2:6" x14ac:dyDescent="0.2">
      <c r="C48" s="4">
        <f>+C46*C47</f>
        <v>18000</v>
      </c>
    </row>
    <row r="49" spans="2:7" x14ac:dyDescent="0.2">
      <c r="C49" s="5">
        <f>+(C44-C48)/C45</f>
        <v>39262.5</v>
      </c>
    </row>
    <row r="51" spans="2:7" x14ac:dyDescent="0.2">
      <c r="B51" s="1" t="s">
        <v>221</v>
      </c>
      <c r="E51" s="5">
        <f>+C49</f>
        <v>39262.5</v>
      </c>
    </row>
    <row r="52" spans="2:7" x14ac:dyDescent="0.2">
      <c r="C52" s="1" t="s">
        <v>101</v>
      </c>
      <c r="F52" s="5">
        <f>+E51</f>
        <v>39262.5</v>
      </c>
    </row>
    <row r="53" spans="2:7" x14ac:dyDescent="0.2">
      <c r="B53" s="1" t="s">
        <v>227</v>
      </c>
    </row>
    <row r="55" spans="2:7" x14ac:dyDescent="0.2">
      <c r="B55" s="1" t="s">
        <v>228</v>
      </c>
      <c r="D55" s="5">
        <f>SUM(E25:E26)</f>
        <v>11244.08</v>
      </c>
    </row>
    <row r="57" spans="2:7" x14ac:dyDescent="0.2">
      <c r="B57" s="1" t="s">
        <v>229</v>
      </c>
      <c r="E57" s="5">
        <f>+D55</f>
        <v>11244.08</v>
      </c>
    </row>
    <row r="58" spans="2:7" x14ac:dyDescent="0.2">
      <c r="B58" s="1" t="s">
        <v>230</v>
      </c>
      <c r="E58" s="5">
        <f>-SUM(D25:E26)</f>
        <v>13755.92</v>
      </c>
    </row>
    <row r="59" spans="2:7" x14ac:dyDescent="0.2">
      <c r="C59" s="1" t="s">
        <v>231</v>
      </c>
      <c r="F59" s="5">
        <f>SUM(E57:E58)</f>
        <v>25000</v>
      </c>
      <c r="G59" s="1" t="s">
        <v>266</v>
      </c>
    </row>
    <row r="60" spans="2:7" x14ac:dyDescent="0.2">
      <c r="B60" s="1" t="s">
        <v>232</v>
      </c>
    </row>
    <row r="62" spans="2:7" x14ac:dyDescent="0.2">
      <c r="B62" s="4" t="s">
        <v>233</v>
      </c>
    </row>
    <row r="64" spans="2:7" x14ac:dyDescent="0.2">
      <c r="B64" s="1" t="s">
        <v>228</v>
      </c>
      <c r="D64" s="5">
        <f>+D55</f>
        <v>11244.08</v>
      </c>
    </row>
    <row r="65" spans="2:6" x14ac:dyDescent="0.2">
      <c r="B65" s="1" t="s">
        <v>235</v>
      </c>
      <c r="D65" s="5">
        <f>+C36</f>
        <v>175050</v>
      </c>
    </row>
    <row r="66" spans="2:6" x14ac:dyDescent="0.2">
      <c r="B66" s="1" t="s">
        <v>236</v>
      </c>
      <c r="D66" s="5">
        <f>+C49</f>
        <v>39262.5</v>
      </c>
    </row>
    <row r="67" spans="2:6" x14ac:dyDescent="0.2">
      <c r="B67" s="1" t="s">
        <v>234</v>
      </c>
      <c r="D67" s="5">
        <f>+D65-D66</f>
        <v>135787.5</v>
      </c>
    </row>
    <row r="68" spans="2:6" x14ac:dyDescent="0.2">
      <c r="B68" s="1" t="s">
        <v>237</v>
      </c>
      <c r="D68" s="5">
        <f>+F26-F28</f>
        <v>41918.403072000001</v>
      </c>
    </row>
    <row r="70" spans="2:6" x14ac:dyDescent="0.2">
      <c r="B70" s="1" t="s">
        <v>238</v>
      </c>
    </row>
    <row r="71" spans="2:6" x14ac:dyDescent="0.2">
      <c r="B71" s="1" t="s">
        <v>239</v>
      </c>
      <c r="E71" s="5">
        <f>+D66</f>
        <v>39262.5</v>
      </c>
    </row>
    <row r="72" spans="2:6" x14ac:dyDescent="0.2">
      <c r="B72" s="1" t="s">
        <v>240</v>
      </c>
      <c r="E72" s="5">
        <f>+D64</f>
        <v>11244.08</v>
      </c>
    </row>
    <row r="74" spans="2:6" x14ac:dyDescent="0.2">
      <c r="B74" s="1" t="s">
        <v>241</v>
      </c>
    </row>
    <row r="75" spans="2:6" x14ac:dyDescent="0.2">
      <c r="B75" s="1" t="s">
        <v>242</v>
      </c>
    </row>
    <row r="76" spans="2:6" x14ac:dyDescent="0.2">
      <c r="B76" s="1" t="s">
        <v>243</v>
      </c>
      <c r="E76" s="5">
        <f>+D67</f>
        <v>135787.5</v>
      </c>
    </row>
    <row r="78" spans="2:6" x14ac:dyDescent="0.2">
      <c r="B78" s="1" t="s">
        <v>103</v>
      </c>
    </row>
    <row r="79" spans="2:6" x14ac:dyDescent="0.2">
      <c r="B79" s="1" t="s">
        <v>68</v>
      </c>
      <c r="E79" s="5">
        <f>+E76-E82</f>
        <v>93869.096927999999</v>
      </c>
      <c r="F79" s="1" t="s">
        <v>244</v>
      </c>
    </row>
    <row r="80" spans="2:6" x14ac:dyDescent="0.2">
      <c r="F80" s="1" t="s">
        <v>245</v>
      </c>
    </row>
    <row r="81" spans="2:6" x14ac:dyDescent="0.2">
      <c r="B81" s="1" t="s">
        <v>102</v>
      </c>
    </row>
    <row r="82" spans="2:6" x14ac:dyDescent="0.2">
      <c r="B82" s="1" t="s">
        <v>68</v>
      </c>
      <c r="E82" s="5">
        <f>+D68</f>
        <v>41918.403072000001</v>
      </c>
      <c r="F82" s="1" t="s">
        <v>244</v>
      </c>
    </row>
    <row r="83" spans="2:6" x14ac:dyDescent="0.2">
      <c r="F83" s="1" t="s">
        <v>245</v>
      </c>
    </row>
  </sheetData>
  <hyperlinks>
    <hyperlink ref="A1" location="Main!A1" display="Main" xr:uid="{5D7DD969-BD4C-46E6-914F-B5094DB5B9AE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4DAF1-41E1-47E3-9694-D35FE687EB80}">
  <dimension ref="A1:F88"/>
  <sheetViews>
    <sheetView topLeftCell="A64" zoomScale="145" zoomScaleNormal="145" workbookViewId="0">
      <selection activeCell="B83" sqref="B83:F88"/>
    </sheetView>
  </sheetViews>
  <sheetFormatPr defaultRowHeight="12" x14ac:dyDescent="0.2"/>
  <cols>
    <col min="1" max="16384" width="9.140625" style="1"/>
  </cols>
  <sheetData>
    <row r="1" spans="1:5" ht="15" x14ac:dyDescent="0.25">
      <c r="A1" s="2" t="s">
        <v>1</v>
      </c>
    </row>
    <row r="4" spans="1:5" x14ac:dyDescent="0.2">
      <c r="B4" s="1" t="s">
        <v>175</v>
      </c>
    </row>
    <row r="6" spans="1:5" x14ac:dyDescent="0.2">
      <c r="B6" s="4" t="s">
        <v>176</v>
      </c>
    </row>
    <row r="8" spans="1:5" x14ac:dyDescent="0.2">
      <c r="B8" s="1" t="s">
        <v>129</v>
      </c>
      <c r="D8" s="5">
        <v>5000000</v>
      </c>
    </row>
    <row r="9" spans="1:5" x14ac:dyDescent="0.2">
      <c r="B9" s="1" t="s">
        <v>51</v>
      </c>
      <c r="D9" s="5">
        <v>40</v>
      </c>
    </row>
    <row r="10" spans="1:5" x14ac:dyDescent="0.2">
      <c r="B10" s="1" t="s">
        <v>132</v>
      </c>
      <c r="D10" s="5">
        <v>7800000</v>
      </c>
    </row>
    <row r="11" spans="1:5" x14ac:dyDescent="0.2">
      <c r="B11" s="1" t="s">
        <v>177</v>
      </c>
      <c r="D11" s="5">
        <v>38</v>
      </c>
    </row>
    <row r="12" spans="1:5" x14ac:dyDescent="0.2">
      <c r="B12" s="1" t="s">
        <v>178</v>
      </c>
      <c r="D12" s="5">
        <v>650000</v>
      </c>
      <c r="E12" s="1" t="s">
        <v>179</v>
      </c>
    </row>
    <row r="13" spans="1:5" x14ac:dyDescent="0.2">
      <c r="B13" s="1" t="s">
        <v>180</v>
      </c>
      <c r="D13" s="5">
        <f>+D10-D8</f>
        <v>2800000</v>
      </c>
    </row>
    <row r="15" spans="1:5" x14ac:dyDescent="0.2">
      <c r="B15" s="1" t="s">
        <v>181</v>
      </c>
    </row>
    <row r="16" spans="1:5" x14ac:dyDescent="0.2">
      <c r="B16" s="1" t="s">
        <v>182</v>
      </c>
    </row>
    <row r="17" spans="2:2" x14ac:dyDescent="0.2">
      <c r="B17" s="1" t="s">
        <v>183</v>
      </c>
    </row>
    <row r="18" spans="2:2" x14ac:dyDescent="0.2">
      <c r="B18" s="1" t="s">
        <v>184</v>
      </c>
    </row>
    <row r="21" spans="2:2" x14ac:dyDescent="0.2">
      <c r="B21" s="4" t="s">
        <v>185</v>
      </c>
    </row>
    <row r="22" spans="2:2" x14ac:dyDescent="0.2">
      <c r="B22" s="13" t="s">
        <v>192</v>
      </c>
    </row>
    <row r="23" spans="2:2" x14ac:dyDescent="0.2">
      <c r="B23" s="13" t="s">
        <v>193</v>
      </c>
    </row>
    <row r="25" spans="2:2" x14ac:dyDescent="0.2">
      <c r="B25" s="8" t="s">
        <v>194</v>
      </c>
    </row>
    <row r="26" spans="2:2" x14ac:dyDescent="0.2">
      <c r="B26" s="8" t="s">
        <v>195</v>
      </c>
    </row>
    <row r="27" spans="2:2" x14ac:dyDescent="0.2">
      <c r="B27" s="8" t="s">
        <v>196</v>
      </c>
    </row>
    <row r="28" spans="2:2" x14ac:dyDescent="0.2">
      <c r="B28" s="8" t="s">
        <v>197</v>
      </c>
    </row>
    <row r="29" spans="2:2" x14ac:dyDescent="0.2">
      <c r="B29" s="8" t="s">
        <v>198</v>
      </c>
    </row>
    <row r="30" spans="2:2" x14ac:dyDescent="0.2">
      <c r="B30" s="8" t="s">
        <v>199</v>
      </c>
    </row>
    <row r="31" spans="2:2" x14ac:dyDescent="0.2">
      <c r="B31" s="8" t="s">
        <v>200</v>
      </c>
    </row>
    <row r="32" spans="2:2" x14ac:dyDescent="0.2">
      <c r="B32" s="8" t="s">
        <v>201</v>
      </c>
    </row>
    <row r="34" spans="1:5" x14ac:dyDescent="0.2">
      <c r="B34" s="1" t="s">
        <v>129</v>
      </c>
      <c r="D34" s="5">
        <v>4600000</v>
      </c>
    </row>
    <row r="35" spans="1:5" x14ac:dyDescent="0.2">
      <c r="B35" s="1" t="s">
        <v>186</v>
      </c>
      <c r="D35" s="5">
        <v>25</v>
      </c>
      <c r="E35" s="1" t="s">
        <v>73</v>
      </c>
    </row>
    <row r="36" spans="1:5" x14ac:dyDescent="0.2">
      <c r="B36" s="1" t="s">
        <v>132</v>
      </c>
      <c r="D36" s="5">
        <v>6100000</v>
      </c>
    </row>
    <row r="37" spans="1:5" x14ac:dyDescent="0.2">
      <c r="B37" s="1" t="s">
        <v>187</v>
      </c>
      <c r="D37" s="5">
        <v>5</v>
      </c>
      <c r="E37" s="1" t="s">
        <v>73</v>
      </c>
    </row>
    <row r="38" spans="1:5" x14ac:dyDescent="0.2">
      <c r="B38" s="1" t="s">
        <v>188</v>
      </c>
      <c r="D38" s="5">
        <v>450000</v>
      </c>
      <c r="E38" s="1" t="s">
        <v>189</v>
      </c>
    </row>
    <row r="39" spans="1:5" x14ac:dyDescent="0.2">
      <c r="B39" s="1" t="s">
        <v>54</v>
      </c>
      <c r="D39" s="9">
        <v>7.0000000000000007E-2</v>
      </c>
    </row>
    <row r="40" spans="1:5" x14ac:dyDescent="0.2">
      <c r="B40" s="1" t="s">
        <v>113</v>
      </c>
      <c r="D40" s="15">
        <v>4.0999999999999996</v>
      </c>
    </row>
    <row r="42" spans="1:5" x14ac:dyDescent="0.2">
      <c r="B42" s="1" t="s">
        <v>133</v>
      </c>
    </row>
    <row r="43" spans="1:5" x14ac:dyDescent="0.2">
      <c r="B43" s="1" t="s">
        <v>134</v>
      </c>
    </row>
    <row r="44" spans="1:5" x14ac:dyDescent="0.2">
      <c r="B44" s="1" t="s">
        <v>135</v>
      </c>
      <c r="D44" s="5">
        <f>+D38*D40</f>
        <v>1844999.9999999998</v>
      </c>
    </row>
    <row r="46" spans="1:5" x14ac:dyDescent="0.2">
      <c r="A46" s="1" t="s">
        <v>191</v>
      </c>
      <c r="B46" s="1" t="s">
        <v>137</v>
      </c>
    </row>
    <row r="47" spans="1:5" x14ac:dyDescent="0.2">
      <c r="B47" s="1" t="s">
        <v>138</v>
      </c>
    </row>
    <row r="48" spans="1:5" x14ac:dyDescent="0.2">
      <c r="B48" s="1" t="s">
        <v>139</v>
      </c>
      <c r="D48" s="5">
        <f>+D34/D36*D44</f>
        <v>1391311.4754098358</v>
      </c>
    </row>
    <row r="50" spans="2:4" x14ac:dyDescent="0.2">
      <c r="B50" s="1" t="s">
        <v>140</v>
      </c>
    </row>
    <row r="51" spans="2:4" x14ac:dyDescent="0.2">
      <c r="B51" s="1" t="s">
        <v>141</v>
      </c>
      <c r="C51" s="1" t="s">
        <v>142</v>
      </c>
      <c r="D51" s="5">
        <f>+D36-D34</f>
        <v>1500000</v>
      </c>
    </row>
    <row r="52" spans="2:4" x14ac:dyDescent="0.2">
      <c r="D52" s="5"/>
    </row>
    <row r="53" spans="2:4" x14ac:dyDescent="0.2">
      <c r="B53" s="1" t="s">
        <v>143</v>
      </c>
    </row>
    <row r="54" spans="2:4" x14ac:dyDescent="0.2">
      <c r="B54" s="1" t="s">
        <v>141</v>
      </c>
      <c r="D54" s="5">
        <f>+D36-D34</f>
        <v>1500000</v>
      </c>
    </row>
    <row r="55" spans="2:4" x14ac:dyDescent="0.2">
      <c r="B55" s="1" t="s">
        <v>144</v>
      </c>
      <c r="D55" s="5">
        <f>+D36</f>
        <v>6100000</v>
      </c>
    </row>
    <row r="56" spans="2:4" x14ac:dyDescent="0.2">
      <c r="B56" s="1" t="s">
        <v>145</v>
      </c>
      <c r="D56" s="5">
        <f>+D55</f>
        <v>6100000</v>
      </c>
    </row>
    <row r="57" spans="2:4" x14ac:dyDescent="0.2">
      <c r="B57" s="1" t="s">
        <v>146</v>
      </c>
      <c r="D57" s="5">
        <f>+D44</f>
        <v>1844999.9999999998</v>
      </c>
    </row>
    <row r="58" spans="2:4" ht="12.75" thickBot="1" x14ac:dyDescent="0.25">
      <c r="B58" s="1" t="s">
        <v>147</v>
      </c>
      <c r="D58" s="11">
        <f>+(D54/D55)*(D56-D57)</f>
        <v>1046311.475409836</v>
      </c>
    </row>
    <row r="59" spans="2:4" ht="12.75" thickTop="1" x14ac:dyDescent="0.2"/>
    <row r="61" spans="2:4" x14ac:dyDescent="0.2">
      <c r="B61" s="1" t="s">
        <v>135</v>
      </c>
      <c r="D61" s="5">
        <f>+D44</f>
        <v>1844999.9999999998</v>
      </c>
    </row>
    <row r="62" spans="2:4" x14ac:dyDescent="0.2">
      <c r="B62" s="1" t="s">
        <v>144</v>
      </c>
      <c r="D62" s="5">
        <f>+D36</f>
        <v>6100000</v>
      </c>
    </row>
    <row r="63" spans="2:4" x14ac:dyDescent="0.2">
      <c r="B63" s="1" t="s">
        <v>157</v>
      </c>
      <c r="D63" s="9">
        <f>+D61/D62</f>
        <v>0.30245901639344258</v>
      </c>
    </row>
    <row r="64" spans="2:4" x14ac:dyDescent="0.2">
      <c r="B64" s="1" t="s">
        <v>158</v>
      </c>
      <c r="D64" s="9">
        <f>1-D63</f>
        <v>0.69754098360655736</v>
      </c>
    </row>
    <row r="65" spans="2:6" x14ac:dyDescent="0.2">
      <c r="B65" s="1" t="s">
        <v>129</v>
      </c>
      <c r="D65" s="5">
        <f>+D34</f>
        <v>4600000</v>
      </c>
    </row>
    <row r="66" spans="2:6" x14ac:dyDescent="0.2">
      <c r="B66" s="1" t="s">
        <v>159</v>
      </c>
      <c r="D66" s="5">
        <f>+D63*D65</f>
        <v>1391311.4754098358</v>
      </c>
    </row>
    <row r="67" spans="2:6" x14ac:dyDescent="0.2">
      <c r="B67" s="1" t="s">
        <v>160</v>
      </c>
      <c r="D67" s="5">
        <f>+D54</f>
        <v>1500000</v>
      </c>
    </row>
    <row r="68" spans="2:6" x14ac:dyDescent="0.2">
      <c r="B68" s="1" t="s">
        <v>158</v>
      </c>
      <c r="D68" s="9">
        <f>+D64</f>
        <v>0.69754098360655736</v>
      </c>
    </row>
    <row r="69" spans="2:6" x14ac:dyDescent="0.2">
      <c r="B69" s="1" t="s">
        <v>161</v>
      </c>
      <c r="D69" s="5">
        <f>+D67*D68</f>
        <v>1046311.475409836</v>
      </c>
    </row>
    <row r="72" spans="2:6" x14ac:dyDescent="0.2">
      <c r="B72" s="1" t="s">
        <v>75</v>
      </c>
    </row>
    <row r="73" spans="2:6" x14ac:dyDescent="0.2">
      <c r="B73" s="1" t="s">
        <v>53</v>
      </c>
      <c r="D73" s="1">
        <v>5</v>
      </c>
      <c r="E73" s="1" t="s">
        <v>9</v>
      </c>
    </row>
    <row r="74" spans="2:6" x14ac:dyDescent="0.2">
      <c r="B74" s="1" t="s">
        <v>163</v>
      </c>
      <c r="D74" s="1">
        <v>25</v>
      </c>
      <c r="E74" s="1" t="s">
        <v>73</v>
      </c>
    </row>
    <row r="75" spans="2:6" x14ac:dyDescent="0.2">
      <c r="B75" s="1" t="s">
        <v>98</v>
      </c>
      <c r="D75" s="1">
        <f>+D73</f>
        <v>5</v>
      </c>
      <c r="E75" s="1" t="s">
        <v>73</v>
      </c>
    </row>
    <row r="76" spans="2:6" x14ac:dyDescent="0.2">
      <c r="B76" s="1" t="s">
        <v>75</v>
      </c>
      <c r="D76" s="5">
        <f>+D48/D75</f>
        <v>278262.29508196714</v>
      </c>
    </row>
    <row r="78" spans="2:6" x14ac:dyDescent="0.2">
      <c r="B78" s="1" t="s">
        <v>164</v>
      </c>
      <c r="E78" s="5">
        <f>+D76</f>
        <v>278262.29508196714</v>
      </c>
    </row>
    <row r="79" spans="2:6" x14ac:dyDescent="0.2">
      <c r="C79" s="1" t="s">
        <v>165</v>
      </c>
      <c r="F79" s="5">
        <f>+E78</f>
        <v>278262.29508196714</v>
      </c>
    </row>
    <row r="80" spans="2:6" x14ac:dyDescent="0.2">
      <c r="B80" s="1" t="s">
        <v>166</v>
      </c>
    </row>
    <row r="83" spans="2:6" x14ac:dyDescent="0.2">
      <c r="C83" s="1" t="s">
        <v>167</v>
      </c>
      <c r="D83" s="1" t="s">
        <v>168</v>
      </c>
      <c r="E83" s="1" t="s">
        <v>169</v>
      </c>
      <c r="F83" s="1" t="s">
        <v>170</v>
      </c>
    </row>
    <row r="84" spans="2:6" x14ac:dyDescent="0.2">
      <c r="B84" s="3">
        <v>44561</v>
      </c>
      <c r="C84" s="5">
        <f>+D44</f>
        <v>1844999.9999999998</v>
      </c>
      <c r="D84" s="5">
        <f>+C84*D39</f>
        <v>129150</v>
      </c>
      <c r="E84" s="5">
        <f>-D38</f>
        <v>-450000</v>
      </c>
      <c r="F84" s="5">
        <f>SUM(C84:E84)</f>
        <v>1524149.9999999998</v>
      </c>
    </row>
    <row r="86" spans="2:6" x14ac:dyDescent="0.2">
      <c r="B86" s="1" t="s">
        <v>171</v>
      </c>
      <c r="E86" s="5">
        <f>+D84</f>
        <v>129150</v>
      </c>
    </row>
    <row r="87" spans="2:6" x14ac:dyDescent="0.2">
      <c r="B87" s="1" t="s">
        <v>172</v>
      </c>
      <c r="E87" s="16">
        <f>-SUM(D84:E84)</f>
        <v>320850</v>
      </c>
    </row>
    <row r="88" spans="2:6" x14ac:dyDescent="0.2">
      <c r="C88" s="1" t="s">
        <v>173</v>
      </c>
      <c r="F88" s="5">
        <v>800000</v>
      </c>
    </row>
  </sheetData>
  <hyperlinks>
    <hyperlink ref="A1" location="Main!A1" display="Main" xr:uid="{1C6C4C24-99BC-4264-A298-04EE347033C2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C3233-6BAF-4D20-829F-7290F8828199}">
  <dimension ref="A1:F71"/>
  <sheetViews>
    <sheetView topLeftCell="A22" zoomScale="205" zoomScaleNormal="205" workbookViewId="0">
      <selection activeCell="D40" sqref="D40"/>
    </sheetView>
  </sheetViews>
  <sheetFormatPr defaultRowHeight="12" x14ac:dyDescent="0.2"/>
  <cols>
    <col min="1" max="1" width="9.140625" style="1"/>
    <col min="2" max="3" width="9.42578125" style="1" bestFit="1" customWidth="1"/>
    <col min="4" max="16384" width="9.140625" style="1"/>
  </cols>
  <sheetData>
    <row r="1" spans="1:5" ht="15" x14ac:dyDescent="0.25">
      <c r="A1" s="2" t="s">
        <v>1</v>
      </c>
    </row>
    <row r="3" spans="1:5" x14ac:dyDescent="0.2">
      <c r="B3" s="1" t="s">
        <v>246</v>
      </c>
    </row>
    <row r="4" spans="1:5" x14ac:dyDescent="0.2">
      <c r="B4" s="1" t="s">
        <v>49</v>
      </c>
      <c r="C4" s="3">
        <v>45107</v>
      </c>
    </row>
    <row r="6" spans="1:5" x14ac:dyDescent="0.2">
      <c r="B6" s="1" t="s">
        <v>247</v>
      </c>
    </row>
    <row r="7" spans="1:5" x14ac:dyDescent="0.2">
      <c r="B7" s="1" t="s">
        <v>248</v>
      </c>
    </row>
    <row r="9" spans="1:5" x14ac:dyDescent="0.2">
      <c r="B9" s="1" t="s">
        <v>252</v>
      </c>
    </row>
    <row r="10" spans="1:5" x14ac:dyDescent="0.2">
      <c r="B10" s="1" t="s">
        <v>249</v>
      </c>
    </row>
    <row r="11" spans="1:5" x14ac:dyDescent="0.2">
      <c r="B11" s="1" t="s">
        <v>250</v>
      </c>
    </row>
    <row r="12" spans="1:5" x14ac:dyDescent="0.2">
      <c r="B12" s="1" t="s">
        <v>251</v>
      </c>
    </row>
    <row r="14" spans="1:5" x14ac:dyDescent="0.2">
      <c r="B14" s="1" t="s">
        <v>89</v>
      </c>
      <c r="C14" s="3">
        <v>45047</v>
      </c>
    </row>
    <row r="15" spans="1:5" x14ac:dyDescent="0.2">
      <c r="C15" s="5">
        <f>YEARFRAC(C14,C4)*12</f>
        <v>1.9666666666666668</v>
      </c>
      <c r="D15" s="5">
        <f>6000*C15/6</f>
        <v>1966.6666666666667</v>
      </c>
      <c r="E15" s="18" t="s">
        <v>253</v>
      </c>
    </row>
    <row r="17" spans="2:6" x14ac:dyDescent="0.2">
      <c r="B17" s="1" t="s">
        <v>254</v>
      </c>
      <c r="E17" s="5">
        <f>+D15</f>
        <v>1966.6666666666667</v>
      </c>
    </row>
    <row r="18" spans="2:6" x14ac:dyDescent="0.2">
      <c r="C18" s="1" t="s">
        <v>255</v>
      </c>
      <c r="E18" s="5"/>
      <c r="F18" s="5">
        <f>+E17</f>
        <v>1966.6666666666667</v>
      </c>
    </row>
    <row r="19" spans="2:6" x14ac:dyDescent="0.2">
      <c r="B19" s="1" t="s">
        <v>256</v>
      </c>
    </row>
    <row r="22" spans="2:6" x14ac:dyDescent="0.2">
      <c r="B22" s="1" t="s">
        <v>257</v>
      </c>
    </row>
    <row r="24" spans="2:6" x14ac:dyDescent="0.2">
      <c r="B24" s="1" t="s">
        <v>89</v>
      </c>
      <c r="C24" s="3">
        <v>44835</v>
      </c>
    </row>
    <row r="25" spans="2:6" x14ac:dyDescent="0.2">
      <c r="B25" s="1" t="s">
        <v>132</v>
      </c>
      <c r="C25" s="1">
        <v>240000</v>
      </c>
    </row>
    <row r="26" spans="2:6" x14ac:dyDescent="0.2">
      <c r="B26" s="1" t="s">
        <v>51</v>
      </c>
      <c r="C26" s="1">
        <v>6</v>
      </c>
      <c r="D26" s="1" t="s">
        <v>73</v>
      </c>
    </row>
    <row r="27" spans="2:6" x14ac:dyDescent="0.2">
      <c r="B27" s="1" t="s">
        <v>53</v>
      </c>
      <c r="C27" s="1">
        <v>5</v>
      </c>
      <c r="D27" s="1" t="s">
        <v>73</v>
      </c>
    </row>
    <row r="28" spans="2:6" x14ac:dyDescent="0.2">
      <c r="B28" s="1" t="s">
        <v>95</v>
      </c>
      <c r="C28" s="1">
        <v>40000</v>
      </c>
      <c r="D28" s="1" t="s">
        <v>258</v>
      </c>
    </row>
    <row r="29" spans="2:6" x14ac:dyDescent="0.2">
      <c r="B29" s="1" t="s">
        <v>259</v>
      </c>
      <c r="C29" s="9">
        <v>1</v>
      </c>
    </row>
    <row r="30" spans="2:6" x14ac:dyDescent="0.2">
      <c r="B30" s="1" t="s">
        <v>32</v>
      </c>
      <c r="C30" s="1">
        <v>15000</v>
      </c>
      <c r="D30" s="1" t="s">
        <v>260</v>
      </c>
    </row>
    <row r="31" spans="2:6" x14ac:dyDescent="0.2">
      <c r="B31" s="1" t="s">
        <v>92</v>
      </c>
      <c r="C31" s="9">
        <v>0.02</v>
      </c>
      <c r="D31" s="1" t="s">
        <v>261</v>
      </c>
    </row>
    <row r="32" spans="2:6" x14ac:dyDescent="0.2">
      <c r="B32" s="1" t="s">
        <v>262</v>
      </c>
      <c r="C32" s="1">
        <v>16.350999999999999</v>
      </c>
    </row>
    <row r="33" spans="2:6" x14ac:dyDescent="0.2">
      <c r="B33" s="1" t="s">
        <v>263</v>
      </c>
    </row>
    <row r="36" spans="2:6" x14ac:dyDescent="0.2">
      <c r="B36" s="3"/>
      <c r="C36" s="1" t="s">
        <v>264</v>
      </c>
      <c r="D36" s="1" t="s">
        <v>168</v>
      </c>
      <c r="E36" s="1" t="s">
        <v>32</v>
      </c>
      <c r="F36" s="1" t="s">
        <v>170</v>
      </c>
    </row>
    <row r="37" spans="2:6" x14ac:dyDescent="0.2">
      <c r="B37" s="3">
        <v>44926</v>
      </c>
      <c r="C37" s="5">
        <f>+C32*C30</f>
        <v>245265</v>
      </c>
      <c r="D37" s="5">
        <f>+C37*$C$31</f>
        <v>4905.3</v>
      </c>
      <c r="E37" s="5">
        <f>-$C$30</f>
        <v>-15000</v>
      </c>
      <c r="F37" s="5">
        <f>SUM(C37:E37)</f>
        <v>235170.3</v>
      </c>
    </row>
    <row r="38" spans="2:6" x14ac:dyDescent="0.2">
      <c r="B38" s="3">
        <v>45016</v>
      </c>
      <c r="C38" s="5">
        <f>+F37</f>
        <v>235170.3</v>
      </c>
      <c r="D38" s="5">
        <f t="shared" ref="D38:D43" si="0">+C38*$C$31</f>
        <v>4703.4059999999999</v>
      </c>
      <c r="E38" s="5">
        <f>-$C$30</f>
        <v>-15000</v>
      </c>
      <c r="F38" s="5">
        <f t="shared" ref="F38:F43" si="1">SUM(C38:E38)</f>
        <v>224873.70599999998</v>
      </c>
    </row>
    <row r="39" spans="2:6" x14ac:dyDescent="0.2">
      <c r="B39" s="3">
        <v>45107</v>
      </c>
      <c r="C39" s="5">
        <f>+F38</f>
        <v>224873.70599999998</v>
      </c>
      <c r="D39" s="5">
        <f t="shared" si="0"/>
        <v>4497.4741199999999</v>
      </c>
      <c r="E39" s="5">
        <f t="shared" ref="E39:E43" si="2">-$C$30</f>
        <v>-15000</v>
      </c>
      <c r="F39" s="5">
        <f t="shared" si="1"/>
        <v>214371.18011999998</v>
      </c>
    </row>
    <row r="40" spans="2:6" x14ac:dyDescent="0.2">
      <c r="B40" s="3">
        <v>45199</v>
      </c>
      <c r="C40" s="5">
        <f t="shared" ref="C40:C41" si="3">+F39</f>
        <v>214371.18011999998</v>
      </c>
      <c r="D40" s="5">
        <f t="shared" si="0"/>
        <v>4287.4236023999993</v>
      </c>
      <c r="E40" s="5">
        <f t="shared" si="2"/>
        <v>-15000</v>
      </c>
      <c r="F40" s="5">
        <f t="shared" si="1"/>
        <v>203658.60372239997</v>
      </c>
    </row>
    <row r="41" spans="2:6" x14ac:dyDescent="0.2">
      <c r="B41" s="3">
        <v>45291</v>
      </c>
      <c r="C41" s="5">
        <f t="shared" si="3"/>
        <v>203658.60372239997</v>
      </c>
      <c r="D41" s="5">
        <f t="shared" si="0"/>
        <v>4073.1720744479994</v>
      </c>
      <c r="E41" s="5">
        <f t="shared" si="2"/>
        <v>-15000</v>
      </c>
      <c r="F41" s="5">
        <f t="shared" si="1"/>
        <v>192731.77579684797</v>
      </c>
    </row>
    <row r="42" spans="2:6" x14ac:dyDescent="0.2">
      <c r="B42" s="3">
        <v>45382</v>
      </c>
      <c r="C42" s="5">
        <f t="shared" ref="C42:C43" si="4">+F41</f>
        <v>192731.77579684797</v>
      </c>
      <c r="D42" s="5">
        <f t="shared" si="0"/>
        <v>3854.6355159369596</v>
      </c>
      <c r="E42" s="5">
        <f t="shared" si="2"/>
        <v>-15000</v>
      </c>
      <c r="F42" s="5">
        <f t="shared" si="1"/>
        <v>181586.41131278494</v>
      </c>
    </row>
    <row r="43" spans="2:6" x14ac:dyDescent="0.2">
      <c r="B43" s="3">
        <v>45107</v>
      </c>
      <c r="C43" s="5">
        <f t="shared" si="4"/>
        <v>181586.41131278494</v>
      </c>
      <c r="D43" s="5">
        <f t="shared" si="0"/>
        <v>3631.7282262556987</v>
      </c>
      <c r="E43" s="5">
        <f t="shared" si="2"/>
        <v>-15000</v>
      </c>
      <c r="F43" s="5">
        <f t="shared" si="1"/>
        <v>170218.13953904065</v>
      </c>
    </row>
    <row r="45" spans="2:6" x14ac:dyDescent="0.2">
      <c r="B45" s="1" t="s">
        <v>222</v>
      </c>
      <c r="C45" s="5">
        <f>+C37</f>
        <v>245265</v>
      </c>
    </row>
    <row r="48" spans="2:6" x14ac:dyDescent="0.2">
      <c r="B48" s="1" t="s">
        <v>153</v>
      </c>
      <c r="E48" s="5">
        <f>+C45</f>
        <v>245265</v>
      </c>
    </row>
    <row r="49" spans="2:6" x14ac:dyDescent="0.2">
      <c r="C49" s="1" t="s">
        <v>223</v>
      </c>
      <c r="F49" s="5">
        <f>+E48</f>
        <v>245265</v>
      </c>
    </row>
    <row r="50" spans="2:6" x14ac:dyDescent="0.2">
      <c r="B50" s="1" t="s">
        <v>225</v>
      </c>
    </row>
    <row r="52" spans="2:6" x14ac:dyDescent="0.2">
      <c r="B52" s="1" t="s">
        <v>228</v>
      </c>
      <c r="D52" s="5">
        <f>SUM(D37:D39)</f>
        <v>14106.180120000001</v>
      </c>
    </row>
    <row r="53" spans="2:6" x14ac:dyDescent="0.2">
      <c r="B53" s="1" t="s">
        <v>265</v>
      </c>
      <c r="D53" s="5">
        <f>+F39-F43</f>
        <v>44153.040580959321</v>
      </c>
    </row>
    <row r="55" spans="2:6" x14ac:dyDescent="0.2">
      <c r="B55" s="1" t="s">
        <v>171</v>
      </c>
      <c r="E55" s="5">
        <f>+D52</f>
        <v>14106.180120000001</v>
      </c>
      <c r="F55" s="5"/>
    </row>
    <row r="56" spans="2:6" x14ac:dyDescent="0.2">
      <c r="B56" s="1" t="s">
        <v>172</v>
      </c>
      <c r="E56" s="5">
        <f>-+SUM(D37:E39)</f>
        <v>30893.819880000003</v>
      </c>
      <c r="F56" s="5"/>
    </row>
    <row r="57" spans="2:6" x14ac:dyDescent="0.2">
      <c r="C57" s="1" t="s">
        <v>267</v>
      </c>
      <c r="E57" s="5"/>
      <c r="F57" s="5">
        <v>45000</v>
      </c>
    </row>
    <row r="58" spans="2:6" x14ac:dyDescent="0.2">
      <c r="B58" s="1" t="s">
        <v>232</v>
      </c>
    </row>
    <row r="60" spans="2:6" x14ac:dyDescent="0.2">
      <c r="B60" s="1" t="s">
        <v>218</v>
      </c>
    </row>
    <row r="61" spans="2:6" x14ac:dyDescent="0.2">
      <c r="B61" s="1" t="s">
        <v>129</v>
      </c>
      <c r="C61" s="5">
        <f>+C45</f>
        <v>245265</v>
      </c>
    </row>
    <row r="62" spans="2:6" x14ac:dyDescent="0.2">
      <c r="B62" s="1" t="s">
        <v>219</v>
      </c>
      <c r="C62" s="5">
        <f>+C28</f>
        <v>40000</v>
      </c>
    </row>
    <row r="63" spans="2:6" x14ac:dyDescent="0.2">
      <c r="B63" s="1" t="s">
        <v>220</v>
      </c>
      <c r="C63" s="5">
        <f>+C27</f>
        <v>5</v>
      </c>
    </row>
    <row r="64" spans="2:6" x14ac:dyDescent="0.2">
      <c r="B64" s="1" t="s">
        <v>226</v>
      </c>
      <c r="C64" s="19">
        <v>1</v>
      </c>
    </row>
    <row r="65" spans="2:6" x14ac:dyDescent="0.2">
      <c r="C65" s="5">
        <f>(C61-C62)</f>
        <v>205265</v>
      </c>
    </row>
    <row r="66" spans="2:6" x14ac:dyDescent="0.2">
      <c r="B66" s="1" t="s">
        <v>268</v>
      </c>
      <c r="C66" s="5">
        <f>YEARFRAC(C24,B39)*12</f>
        <v>8.9666666666666668</v>
      </c>
    </row>
    <row r="67" spans="2:6" x14ac:dyDescent="0.2">
      <c r="C67" s="5">
        <f>+C65*C66/(C63*12)</f>
        <v>30675.713888888888</v>
      </c>
    </row>
    <row r="69" spans="2:6" x14ac:dyDescent="0.2">
      <c r="B69" s="1" t="s">
        <v>221</v>
      </c>
      <c r="E69" s="5">
        <f>+C67</f>
        <v>30675.713888888888</v>
      </c>
    </row>
    <row r="70" spans="2:6" x14ac:dyDescent="0.2">
      <c r="C70" s="1" t="s">
        <v>101</v>
      </c>
      <c r="F70" s="5">
        <f>+E69</f>
        <v>30675.713888888888</v>
      </c>
    </row>
    <row r="71" spans="2:6" x14ac:dyDescent="0.2">
      <c r="B71" s="1" t="s">
        <v>227</v>
      </c>
    </row>
  </sheetData>
  <hyperlinks>
    <hyperlink ref="A1" location="Main!A1" display="Main" xr:uid="{17CB5784-4D7E-44BC-92B5-2E2A57FAB60E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BF8F7B-E74C-40E8-9F4D-835160E7BB64}">
  <dimension ref="A1:F157"/>
  <sheetViews>
    <sheetView topLeftCell="A67" zoomScale="205" zoomScaleNormal="205" workbookViewId="0">
      <selection activeCell="B76" sqref="B76"/>
    </sheetView>
  </sheetViews>
  <sheetFormatPr defaultRowHeight="12" x14ac:dyDescent="0.2"/>
  <cols>
    <col min="1" max="1" width="9.140625" style="1"/>
    <col min="2" max="4" width="9.42578125" style="1" bestFit="1" customWidth="1"/>
    <col min="5" max="16384" width="9.140625" style="1"/>
  </cols>
  <sheetData>
    <row r="1" spans="1:4" ht="15" x14ac:dyDescent="0.25">
      <c r="A1" s="2" t="s">
        <v>1</v>
      </c>
    </row>
    <row r="3" spans="1:4" x14ac:dyDescent="0.2">
      <c r="B3" s="1" t="s">
        <v>269</v>
      </c>
    </row>
    <row r="5" spans="1:4" x14ac:dyDescent="0.2">
      <c r="B5" s="1" t="s">
        <v>270</v>
      </c>
      <c r="C5" s="3">
        <v>45230</v>
      </c>
    </row>
    <row r="7" spans="1:4" x14ac:dyDescent="0.2">
      <c r="B7" s="1" t="s">
        <v>271</v>
      </c>
    </row>
    <row r="8" spans="1:4" x14ac:dyDescent="0.2">
      <c r="B8" s="1" t="s">
        <v>272</v>
      </c>
    </row>
    <row r="9" spans="1:4" x14ac:dyDescent="0.2">
      <c r="B9" s="1" t="s">
        <v>273</v>
      </c>
    </row>
    <row r="11" spans="1:4" x14ac:dyDescent="0.2">
      <c r="B11" s="4" t="s">
        <v>274</v>
      </c>
    </row>
    <row r="12" spans="1:4" x14ac:dyDescent="0.2">
      <c r="B12" s="1" t="s">
        <v>275</v>
      </c>
      <c r="C12" s="3">
        <v>44866</v>
      </c>
    </row>
    <row r="13" spans="1:4" x14ac:dyDescent="0.2">
      <c r="B13" s="1" t="s">
        <v>53</v>
      </c>
      <c r="C13" s="1">
        <f>4*12</f>
        <v>48</v>
      </c>
      <c r="D13" s="1" t="s">
        <v>52</v>
      </c>
    </row>
    <row r="14" spans="1:4" x14ac:dyDescent="0.2">
      <c r="B14" s="1" t="s">
        <v>51</v>
      </c>
      <c r="C14" s="1">
        <f>5*12</f>
        <v>60</v>
      </c>
      <c r="D14" s="1" t="s">
        <v>52</v>
      </c>
    </row>
    <row r="15" spans="1:4" x14ac:dyDescent="0.2">
      <c r="B15" s="1" t="s">
        <v>95</v>
      </c>
      <c r="C15" s="5">
        <v>10000</v>
      </c>
      <c r="D15" s="1" t="s">
        <v>276</v>
      </c>
    </row>
    <row r="16" spans="1:4" x14ac:dyDescent="0.2">
      <c r="B16" s="1" t="s">
        <v>277</v>
      </c>
      <c r="C16" s="9">
        <v>0.8</v>
      </c>
    </row>
    <row r="17" spans="2:6" x14ac:dyDescent="0.2">
      <c r="B17" s="1" t="s">
        <v>32</v>
      </c>
      <c r="C17" s="1">
        <v>38000</v>
      </c>
      <c r="D17" s="1" t="s">
        <v>278</v>
      </c>
    </row>
    <row r="18" spans="2:6" x14ac:dyDescent="0.2">
      <c r="B18" s="1" t="s">
        <v>92</v>
      </c>
      <c r="C18" s="19">
        <v>0.115</v>
      </c>
    </row>
    <row r="19" spans="2:6" x14ac:dyDescent="0.2">
      <c r="B19" s="1" t="s">
        <v>113</v>
      </c>
      <c r="C19" s="1">
        <v>2.423</v>
      </c>
    </row>
    <row r="21" spans="2:6" x14ac:dyDescent="0.2">
      <c r="C21" s="1" t="s">
        <v>217</v>
      </c>
      <c r="D21" s="1" t="s">
        <v>32</v>
      </c>
      <c r="E21" s="1" t="s">
        <v>168</v>
      </c>
      <c r="F21" s="1" t="s">
        <v>170</v>
      </c>
    </row>
    <row r="22" spans="2:6" x14ac:dyDescent="0.2">
      <c r="B22" s="3">
        <v>45230</v>
      </c>
      <c r="C22" s="5">
        <f>+C19*C17</f>
        <v>92074</v>
      </c>
      <c r="D22" s="5">
        <v>0</v>
      </c>
      <c r="E22" s="5">
        <f>+SUM(C22:D22)*$C$18</f>
        <v>10588.51</v>
      </c>
      <c r="F22" s="5">
        <f>SUM(C22:E22)</f>
        <v>102662.51</v>
      </c>
    </row>
    <row r="23" spans="2:6" x14ac:dyDescent="0.2">
      <c r="B23" s="3">
        <v>45596</v>
      </c>
      <c r="C23" s="5">
        <f>+F22</f>
        <v>102662.51</v>
      </c>
      <c r="D23" s="5">
        <f>+-$C$17</f>
        <v>-38000</v>
      </c>
      <c r="E23" s="5">
        <f>+SUM(C23:D23)*$C$18</f>
        <v>7436.1886500000001</v>
      </c>
      <c r="F23" s="5">
        <f>SUM(C23:E23)</f>
        <v>72098.698649999991</v>
      </c>
    </row>
    <row r="24" spans="2:6" x14ac:dyDescent="0.2">
      <c r="F24" s="5"/>
    </row>
    <row r="25" spans="2:6" x14ac:dyDescent="0.2">
      <c r="B25" s="1" t="s">
        <v>279</v>
      </c>
    </row>
    <row r="26" spans="2:6" x14ac:dyDescent="0.2">
      <c r="B26" s="1" t="s">
        <v>153</v>
      </c>
      <c r="E26" s="5">
        <f>+C22+C17</f>
        <v>130074</v>
      </c>
    </row>
    <row r="27" spans="2:6" x14ac:dyDescent="0.2">
      <c r="C27" s="1" t="s">
        <v>61</v>
      </c>
      <c r="F27" s="5">
        <f>+E26-F28</f>
        <v>92074</v>
      </c>
    </row>
    <row r="28" spans="2:6" x14ac:dyDescent="0.2">
      <c r="C28" s="1" t="s">
        <v>303</v>
      </c>
      <c r="F28" s="5">
        <f>+C17</f>
        <v>38000</v>
      </c>
    </row>
    <row r="29" spans="2:6" x14ac:dyDescent="0.2">
      <c r="F29" s="5"/>
    </row>
    <row r="30" spans="2:6" x14ac:dyDescent="0.2">
      <c r="B30" s="1" t="s">
        <v>218</v>
      </c>
    </row>
    <row r="31" spans="2:6" x14ac:dyDescent="0.2">
      <c r="B31" s="1" t="s">
        <v>235</v>
      </c>
      <c r="C31" s="5">
        <f>+E26</f>
        <v>130074</v>
      </c>
    </row>
    <row r="32" spans="2:6" x14ac:dyDescent="0.2">
      <c r="B32" s="1" t="s">
        <v>95</v>
      </c>
      <c r="C32" s="5">
        <f>+C15</f>
        <v>10000</v>
      </c>
    </row>
    <row r="33" spans="2:6" x14ac:dyDescent="0.2">
      <c r="B33" s="1" t="s">
        <v>277</v>
      </c>
      <c r="C33" s="9">
        <f>+C16</f>
        <v>0.8</v>
      </c>
    </row>
    <row r="34" spans="2:6" x14ac:dyDescent="0.2">
      <c r="C34" s="1">
        <f>+C32*C33</f>
        <v>8000</v>
      </c>
    </row>
    <row r="35" spans="2:6" x14ac:dyDescent="0.2">
      <c r="B35" s="1" t="s">
        <v>280</v>
      </c>
      <c r="C35" s="5">
        <f>+C31-C34</f>
        <v>122074</v>
      </c>
    </row>
    <row r="36" spans="2:6" x14ac:dyDescent="0.2">
      <c r="B36" s="1" t="s">
        <v>74</v>
      </c>
      <c r="C36" s="5">
        <f>+C13</f>
        <v>48</v>
      </c>
    </row>
    <row r="37" spans="2:6" x14ac:dyDescent="0.2">
      <c r="C37" s="5">
        <f>+C35*12/C36</f>
        <v>30518.5</v>
      </c>
    </row>
    <row r="38" spans="2:6" x14ac:dyDescent="0.2">
      <c r="C38" s="5"/>
    </row>
    <row r="39" spans="2:6" x14ac:dyDescent="0.2">
      <c r="B39" s="1" t="s">
        <v>164</v>
      </c>
      <c r="C39" s="5"/>
      <c r="E39" s="5">
        <f>+C37</f>
        <v>30518.5</v>
      </c>
    </row>
    <row r="40" spans="2:6" x14ac:dyDescent="0.2">
      <c r="C40" s="5" t="s">
        <v>281</v>
      </c>
      <c r="F40" s="5">
        <f>+E39</f>
        <v>30518.5</v>
      </c>
    </row>
    <row r="41" spans="2:6" x14ac:dyDescent="0.2">
      <c r="B41" s="1" t="s">
        <v>282</v>
      </c>
      <c r="C41" s="5"/>
    </row>
    <row r="43" spans="2:6" x14ac:dyDescent="0.2">
      <c r="B43" s="1" t="s">
        <v>58</v>
      </c>
    </row>
    <row r="44" spans="2:6" x14ac:dyDescent="0.2">
      <c r="B44" s="1" t="s">
        <v>283</v>
      </c>
      <c r="E44" s="5">
        <f>+E22</f>
        <v>10588.51</v>
      </c>
    </row>
    <row r="45" spans="2:6" x14ac:dyDescent="0.2">
      <c r="C45" s="1" t="s">
        <v>148</v>
      </c>
      <c r="E45" s="5"/>
      <c r="F45" s="5">
        <f>+E44</f>
        <v>10588.51</v>
      </c>
    </row>
    <row r="46" spans="2:6" x14ac:dyDescent="0.2">
      <c r="B46" s="1" t="s">
        <v>304</v>
      </c>
    </row>
    <row r="48" spans="2:6" x14ac:dyDescent="0.2">
      <c r="B48" s="1" t="s">
        <v>305</v>
      </c>
      <c r="D48" s="5">
        <f>+C17</f>
        <v>38000</v>
      </c>
    </row>
    <row r="49" spans="2:6" x14ac:dyDescent="0.2">
      <c r="B49" s="1" t="s">
        <v>306</v>
      </c>
      <c r="D49" s="5">
        <f>+F22+D23</f>
        <v>64662.509999999995</v>
      </c>
    </row>
    <row r="51" spans="2:6" x14ac:dyDescent="0.2">
      <c r="B51" s="4" t="s">
        <v>284</v>
      </c>
    </row>
    <row r="53" spans="2:6" x14ac:dyDescent="0.2">
      <c r="B53" s="1" t="s">
        <v>132</v>
      </c>
      <c r="C53" s="3">
        <v>45047</v>
      </c>
      <c r="D53" s="5">
        <v>440000</v>
      </c>
    </row>
    <row r="54" spans="2:6" x14ac:dyDescent="0.2">
      <c r="B54" s="1" t="s">
        <v>130</v>
      </c>
      <c r="C54" s="3"/>
      <c r="D54" s="5">
        <v>500000</v>
      </c>
    </row>
    <row r="55" spans="2:6" x14ac:dyDescent="0.2">
      <c r="B55" s="1" t="s">
        <v>131</v>
      </c>
      <c r="C55" s="3"/>
      <c r="D55" s="5">
        <f>+D54-D56</f>
        <v>100000</v>
      </c>
    </row>
    <row r="56" spans="2:6" x14ac:dyDescent="0.2">
      <c r="B56" s="1" t="s">
        <v>129</v>
      </c>
      <c r="C56" s="3">
        <v>45047</v>
      </c>
      <c r="D56" s="5">
        <v>400000</v>
      </c>
    </row>
    <row r="57" spans="2:6" x14ac:dyDescent="0.2">
      <c r="B57" s="1" t="s">
        <v>177</v>
      </c>
      <c r="C57" s="3">
        <v>45230</v>
      </c>
      <c r="D57" s="1">
        <f>2*12</f>
        <v>24</v>
      </c>
      <c r="E57" s="1" t="s">
        <v>52</v>
      </c>
    </row>
    <row r="58" spans="2:6" x14ac:dyDescent="0.2">
      <c r="B58" s="1" t="s">
        <v>136</v>
      </c>
      <c r="C58" s="3">
        <v>45230</v>
      </c>
      <c r="D58" s="1">
        <v>68000</v>
      </c>
      <c r="E58" s="1" t="s">
        <v>285</v>
      </c>
    </row>
    <row r="59" spans="2:6" x14ac:dyDescent="0.2">
      <c r="B59" s="1" t="s">
        <v>92</v>
      </c>
      <c r="D59" s="19">
        <v>5.5E-2</v>
      </c>
      <c r="E59" s="1" t="s">
        <v>211</v>
      </c>
    </row>
    <row r="60" spans="2:6" x14ac:dyDescent="0.2">
      <c r="B60" s="1" t="s">
        <v>51</v>
      </c>
      <c r="D60" s="1">
        <f>10*12</f>
        <v>120</v>
      </c>
      <c r="E60" s="1" t="s">
        <v>52</v>
      </c>
    </row>
    <row r="61" spans="2:6" x14ac:dyDescent="0.2">
      <c r="B61" s="1" t="s">
        <v>51</v>
      </c>
      <c r="C61" s="3">
        <v>45047</v>
      </c>
      <c r="D61" s="1">
        <f>6*12</f>
        <v>72</v>
      </c>
      <c r="E61" s="1" t="s">
        <v>52</v>
      </c>
    </row>
    <row r="62" spans="2:6" x14ac:dyDescent="0.2">
      <c r="B62" s="1" t="s">
        <v>113</v>
      </c>
      <c r="D62" s="6">
        <v>3.5049999999999999</v>
      </c>
      <c r="E62" s="1" t="s">
        <v>286</v>
      </c>
    </row>
    <row r="64" spans="2:6" x14ac:dyDescent="0.2">
      <c r="C64" s="1" t="s">
        <v>217</v>
      </c>
      <c r="D64" s="1" t="s">
        <v>168</v>
      </c>
      <c r="E64" s="1" t="s">
        <v>32</v>
      </c>
      <c r="F64" s="1" t="s">
        <v>170</v>
      </c>
    </row>
    <row r="65" spans="2:6" x14ac:dyDescent="0.2">
      <c r="B65" s="3">
        <v>45412</v>
      </c>
      <c r="C65" s="5">
        <f>+D62*D58</f>
        <v>238340</v>
      </c>
      <c r="D65" s="5">
        <f>+C65*$D$59</f>
        <v>13108.7</v>
      </c>
      <c r="E65" s="5">
        <f>-$D$58</f>
        <v>-68000</v>
      </c>
      <c r="F65" s="5">
        <f>SUM(C65:E65)</f>
        <v>183448.7</v>
      </c>
    </row>
    <row r="66" spans="2:6" x14ac:dyDescent="0.2">
      <c r="B66" s="3">
        <v>45595</v>
      </c>
      <c r="C66" s="5">
        <f>+F65</f>
        <v>183448.7</v>
      </c>
      <c r="D66" s="5">
        <f t="shared" ref="D66:D68" si="0">+C66*$D$59</f>
        <v>10089.6785</v>
      </c>
      <c r="E66" s="5">
        <f t="shared" ref="E66:E68" si="1">-$D$58</f>
        <v>-68000</v>
      </c>
      <c r="F66" s="5">
        <f t="shared" ref="F66:F68" si="2">SUM(C66:E66)</f>
        <v>125538.37850000002</v>
      </c>
    </row>
    <row r="67" spans="2:6" x14ac:dyDescent="0.2">
      <c r="B67" s="3">
        <v>45777</v>
      </c>
      <c r="C67" s="5">
        <f t="shared" ref="C67:C68" si="3">+F66</f>
        <v>125538.37850000002</v>
      </c>
      <c r="D67" s="5">
        <f t="shared" si="0"/>
        <v>6904.6108175000008</v>
      </c>
      <c r="E67" s="5">
        <f t="shared" si="1"/>
        <v>-68000</v>
      </c>
      <c r="F67" s="5">
        <f t="shared" si="2"/>
        <v>64442.989317500032</v>
      </c>
    </row>
    <row r="68" spans="2:6" x14ac:dyDescent="0.2">
      <c r="B68" s="3">
        <v>46325</v>
      </c>
      <c r="C68" s="5">
        <f t="shared" si="3"/>
        <v>64442.989317500032</v>
      </c>
      <c r="D68" s="5">
        <f t="shared" si="0"/>
        <v>3544.3644124625016</v>
      </c>
      <c r="E68" s="5">
        <f t="shared" si="1"/>
        <v>-68000</v>
      </c>
      <c r="F68" s="5">
        <f t="shared" si="2"/>
        <v>-12.646270037468639</v>
      </c>
    </row>
    <row r="70" spans="2:6" x14ac:dyDescent="0.2">
      <c r="B70" s="1" t="s">
        <v>171</v>
      </c>
      <c r="E70" s="5">
        <f>+D65</f>
        <v>13108.7</v>
      </c>
    </row>
    <row r="71" spans="2:6" x14ac:dyDescent="0.2">
      <c r="B71" s="1" t="s">
        <v>172</v>
      </c>
      <c r="E71" s="16">
        <f>-SUM(D65:E65)</f>
        <v>54891.3</v>
      </c>
    </row>
    <row r="72" spans="2:6" x14ac:dyDescent="0.2">
      <c r="C72" s="1" t="s">
        <v>287</v>
      </c>
      <c r="F72" s="5">
        <f>+D58</f>
        <v>68000</v>
      </c>
    </row>
    <row r="73" spans="2:6" x14ac:dyDescent="0.2">
      <c r="B73" s="1" t="s">
        <v>311</v>
      </c>
      <c r="F73" s="5"/>
    </row>
    <row r="74" spans="2:6" x14ac:dyDescent="0.2">
      <c r="F74" s="5"/>
    </row>
    <row r="75" spans="2:6" x14ac:dyDescent="0.2">
      <c r="B75" s="1" t="s">
        <v>68</v>
      </c>
      <c r="F75" s="5"/>
    </row>
    <row r="76" spans="2:6" x14ac:dyDescent="0.2">
      <c r="B76" s="1" t="s">
        <v>305</v>
      </c>
      <c r="D76" s="5">
        <f>+F65-F67</f>
        <v>119005.71068249998</v>
      </c>
      <c r="F76" s="5"/>
    </row>
    <row r="77" spans="2:6" x14ac:dyDescent="0.2">
      <c r="B77" s="1" t="s">
        <v>306</v>
      </c>
      <c r="D77" s="5">
        <f>+F67</f>
        <v>64442.989317500032</v>
      </c>
      <c r="F77" s="5"/>
    </row>
    <row r="79" spans="2:6" x14ac:dyDescent="0.2">
      <c r="B79" s="1" t="s">
        <v>133</v>
      </c>
    </row>
    <row r="80" spans="2:6" x14ac:dyDescent="0.2">
      <c r="B80" s="1" t="s">
        <v>134</v>
      </c>
    </row>
    <row r="81" spans="2:4" x14ac:dyDescent="0.2">
      <c r="B81" s="1" t="s">
        <v>135</v>
      </c>
      <c r="D81" s="5">
        <f>+D58*D62</f>
        <v>238340</v>
      </c>
    </row>
    <row r="83" spans="2:4" x14ac:dyDescent="0.2">
      <c r="B83" s="1" t="s">
        <v>137</v>
      </c>
    </row>
    <row r="84" spans="2:4" x14ac:dyDescent="0.2">
      <c r="B84" s="1" t="s">
        <v>138</v>
      </c>
    </row>
    <row r="85" spans="2:4" x14ac:dyDescent="0.2">
      <c r="B85" s="1" t="s">
        <v>139</v>
      </c>
      <c r="D85" s="5">
        <f>+D56/D53*D81</f>
        <v>216672.72727272726</v>
      </c>
    </row>
    <row r="87" spans="2:4" x14ac:dyDescent="0.2">
      <c r="B87" s="1" t="s">
        <v>140</v>
      </c>
    </row>
    <row r="88" spans="2:4" x14ac:dyDescent="0.2">
      <c r="B88" s="1" t="s">
        <v>141</v>
      </c>
      <c r="C88" s="1" t="s">
        <v>142</v>
      </c>
      <c r="D88" s="5">
        <f>+D53-D56</f>
        <v>40000</v>
      </c>
    </row>
    <row r="89" spans="2:4" x14ac:dyDescent="0.2">
      <c r="D89" s="5"/>
    </row>
    <row r="90" spans="2:4" x14ac:dyDescent="0.2">
      <c r="B90" s="1" t="s">
        <v>143</v>
      </c>
    </row>
    <row r="91" spans="2:4" x14ac:dyDescent="0.2">
      <c r="B91" s="1" t="s">
        <v>141</v>
      </c>
      <c r="D91" s="5">
        <f>+D88</f>
        <v>40000</v>
      </c>
    </row>
    <row r="92" spans="2:4" x14ac:dyDescent="0.2">
      <c r="B92" s="1" t="s">
        <v>144</v>
      </c>
      <c r="D92" s="5">
        <f>+D53</f>
        <v>440000</v>
      </c>
    </row>
    <row r="93" spans="2:4" x14ac:dyDescent="0.2">
      <c r="B93" s="1" t="s">
        <v>145</v>
      </c>
      <c r="D93" s="5">
        <f>+D53</f>
        <v>440000</v>
      </c>
    </row>
    <row r="94" spans="2:4" x14ac:dyDescent="0.2">
      <c r="B94" s="1" t="s">
        <v>146</v>
      </c>
      <c r="D94" s="5">
        <f>+D81</f>
        <v>238340</v>
      </c>
    </row>
    <row r="95" spans="2:4" ht="12.75" thickBot="1" x14ac:dyDescent="0.25">
      <c r="B95" s="1" t="s">
        <v>147</v>
      </c>
      <c r="D95" s="11">
        <f>+(D91/D92)*(D93-D94)</f>
        <v>18332.727272727272</v>
      </c>
    </row>
    <row r="96" spans="2:4" ht="12.75" thickTop="1" x14ac:dyDescent="0.2"/>
    <row r="97" spans="2:6" x14ac:dyDescent="0.2">
      <c r="B97" s="1" t="s">
        <v>135</v>
      </c>
      <c r="D97" s="5">
        <f>+D81</f>
        <v>238340</v>
      </c>
    </row>
    <row r="98" spans="2:6" x14ac:dyDescent="0.2">
      <c r="B98" s="1" t="s">
        <v>144</v>
      </c>
      <c r="D98" s="5">
        <f>+D53</f>
        <v>440000</v>
      </c>
    </row>
    <row r="99" spans="2:6" x14ac:dyDescent="0.2">
      <c r="B99" s="1" t="s">
        <v>157</v>
      </c>
      <c r="D99" s="9">
        <f>+D97/D98</f>
        <v>0.54168181818181815</v>
      </c>
    </row>
    <row r="100" spans="2:6" x14ac:dyDescent="0.2">
      <c r="B100" s="1" t="s">
        <v>158</v>
      </c>
      <c r="D100" s="9">
        <f>1-D99</f>
        <v>0.45831818181818185</v>
      </c>
    </row>
    <row r="101" spans="2:6" x14ac:dyDescent="0.2">
      <c r="B101" s="1" t="s">
        <v>129</v>
      </c>
      <c r="D101" s="5">
        <f>+D56</f>
        <v>400000</v>
      </c>
    </row>
    <row r="102" spans="2:6" x14ac:dyDescent="0.2">
      <c r="B102" s="1" t="s">
        <v>159</v>
      </c>
      <c r="D102" s="5">
        <f>+D99*D101</f>
        <v>216672.72727272726</v>
      </c>
    </row>
    <row r="103" spans="2:6" x14ac:dyDescent="0.2">
      <c r="B103" s="1" t="s">
        <v>160</v>
      </c>
      <c r="D103" s="5">
        <f>+D88</f>
        <v>40000</v>
      </c>
    </row>
    <row r="104" spans="2:6" x14ac:dyDescent="0.2">
      <c r="B104" s="1" t="s">
        <v>158</v>
      </c>
      <c r="D104" s="9">
        <f>+D100</f>
        <v>0.45831818181818185</v>
      </c>
    </row>
    <row r="105" spans="2:6" x14ac:dyDescent="0.2">
      <c r="B105" s="1" t="s">
        <v>161</v>
      </c>
      <c r="D105" s="20">
        <f>+D103*D104</f>
        <v>18332.727272727272</v>
      </c>
    </row>
    <row r="106" spans="2:6" x14ac:dyDescent="0.2">
      <c r="D106" s="20"/>
    </row>
    <row r="107" spans="2:6" x14ac:dyDescent="0.2">
      <c r="B107" s="1" t="s">
        <v>307</v>
      </c>
      <c r="D107" s="20">
        <f>+D91-D105</f>
        <v>21667.272727272728</v>
      </c>
    </row>
    <row r="108" spans="2:6" x14ac:dyDescent="0.2">
      <c r="D108" s="20"/>
    </row>
    <row r="109" spans="2:6" x14ac:dyDescent="0.2">
      <c r="B109" s="1" t="s">
        <v>308</v>
      </c>
      <c r="D109" s="20"/>
      <c r="E109" s="5">
        <f>+D102</f>
        <v>216672.72727272726</v>
      </c>
    </row>
    <row r="110" spans="2:6" x14ac:dyDescent="0.2">
      <c r="B110" s="1" t="s">
        <v>309</v>
      </c>
      <c r="D110" s="20"/>
      <c r="E110" s="5">
        <f>+D107</f>
        <v>21667.272727272728</v>
      </c>
    </row>
    <row r="111" spans="2:6" x14ac:dyDescent="0.2">
      <c r="C111" s="1" t="s">
        <v>61</v>
      </c>
      <c r="D111" s="20"/>
      <c r="F111" s="5">
        <f>+D97</f>
        <v>238340</v>
      </c>
    </row>
    <row r="112" spans="2:6" x14ac:dyDescent="0.2">
      <c r="B112" s="1" t="s">
        <v>310</v>
      </c>
    </row>
    <row r="114" spans="2:6" x14ac:dyDescent="0.2">
      <c r="B114" s="1" t="s">
        <v>75</v>
      </c>
    </row>
    <row r="115" spans="2:6" x14ac:dyDescent="0.2">
      <c r="B115" s="1" t="s">
        <v>53</v>
      </c>
      <c r="D115" s="1">
        <f>+D57</f>
        <v>24</v>
      </c>
    </row>
    <row r="116" spans="2:6" x14ac:dyDescent="0.2">
      <c r="B116" s="1" t="s">
        <v>163</v>
      </c>
      <c r="D116" s="1">
        <f>+D61-6</f>
        <v>66</v>
      </c>
    </row>
    <row r="117" spans="2:6" x14ac:dyDescent="0.2">
      <c r="B117" s="1" t="s">
        <v>98</v>
      </c>
      <c r="D117" s="1">
        <f>+D115</f>
        <v>24</v>
      </c>
    </row>
    <row r="118" spans="2:6" x14ac:dyDescent="0.2">
      <c r="D118" s="5">
        <f>YEARFRAC(C56,C5)*12</f>
        <v>6</v>
      </c>
    </row>
    <row r="119" spans="2:6" x14ac:dyDescent="0.2">
      <c r="B119" s="1" t="s">
        <v>75</v>
      </c>
      <c r="D119" s="5">
        <f>+D118/D117*D102</f>
        <v>54168.181818181816</v>
      </c>
    </row>
    <row r="121" spans="2:6" x14ac:dyDescent="0.2">
      <c r="B121" s="1" t="s">
        <v>164</v>
      </c>
      <c r="E121" s="5">
        <f>+D119</f>
        <v>54168.181818181816</v>
      </c>
    </row>
    <row r="122" spans="2:6" x14ac:dyDescent="0.2">
      <c r="C122" s="1" t="s">
        <v>165</v>
      </c>
      <c r="F122" s="5">
        <f>+E121</f>
        <v>54168.181818181816</v>
      </c>
    </row>
    <row r="123" spans="2:6" x14ac:dyDescent="0.2">
      <c r="B123" s="1" t="s">
        <v>166</v>
      </c>
    </row>
    <row r="125" spans="2:6" x14ac:dyDescent="0.2">
      <c r="B125" s="13" t="s">
        <v>288</v>
      </c>
    </row>
    <row r="128" spans="2:6" x14ac:dyDescent="0.2">
      <c r="B128" s="1" t="s">
        <v>289</v>
      </c>
    </row>
    <row r="130" spans="2:4" x14ac:dyDescent="0.2">
      <c r="B130" s="1" t="s">
        <v>89</v>
      </c>
      <c r="C130" s="3">
        <v>45108</v>
      </c>
    </row>
    <row r="131" spans="2:4" x14ac:dyDescent="0.2">
      <c r="B131" s="1" t="s">
        <v>51</v>
      </c>
      <c r="C131" s="1">
        <f>3*12</f>
        <v>36</v>
      </c>
      <c r="D131" s="1" t="s">
        <v>52</v>
      </c>
    </row>
    <row r="132" spans="2:4" x14ac:dyDescent="0.2">
      <c r="B132" s="1" t="s">
        <v>132</v>
      </c>
      <c r="C132" s="5">
        <f>3*300</f>
        <v>900</v>
      </c>
    </row>
    <row r="133" spans="2:4" x14ac:dyDescent="0.2">
      <c r="B133" s="1" t="s">
        <v>294</v>
      </c>
      <c r="C133" s="5">
        <f>SUM(C134:C136)</f>
        <v>1300</v>
      </c>
    </row>
    <row r="134" spans="2:4" x14ac:dyDescent="0.2">
      <c r="B134" s="3">
        <v>45108</v>
      </c>
      <c r="C134" s="5">
        <v>600</v>
      </c>
    </row>
    <row r="135" spans="2:4" x14ac:dyDescent="0.2">
      <c r="B135" s="3">
        <v>45474</v>
      </c>
      <c r="C135" s="5">
        <v>500</v>
      </c>
    </row>
    <row r="136" spans="2:4" x14ac:dyDescent="0.2">
      <c r="B136" s="3">
        <v>45839</v>
      </c>
      <c r="C136" s="5">
        <v>200</v>
      </c>
    </row>
    <row r="137" spans="2:4" x14ac:dyDescent="0.2">
      <c r="B137" s="3"/>
    </row>
    <row r="139" spans="2:4" x14ac:dyDescent="0.2">
      <c r="B139" s="1" t="s">
        <v>290</v>
      </c>
    </row>
    <row r="141" spans="2:4" x14ac:dyDescent="0.2">
      <c r="B141" s="1" t="s">
        <v>291</v>
      </c>
    </row>
    <row r="142" spans="2:4" x14ac:dyDescent="0.2">
      <c r="B142" s="1" t="s">
        <v>292</v>
      </c>
    </row>
    <row r="144" spans="2:4" x14ac:dyDescent="0.2">
      <c r="B144" s="1" t="s">
        <v>293</v>
      </c>
      <c r="C144" s="5">
        <f>YEARFRAC(C130,C5)*12</f>
        <v>4</v>
      </c>
    </row>
    <row r="145" spans="2:6" x14ac:dyDescent="0.2">
      <c r="C145" s="5">
        <f>+C144/C131*C133</f>
        <v>144.44444444444443</v>
      </c>
    </row>
    <row r="147" spans="2:6" x14ac:dyDescent="0.2">
      <c r="B147" s="1" t="s">
        <v>295</v>
      </c>
      <c r="C147" s="5">
        <f>+C134-C145</f>
        <v>455.55555555555554</v>
      </c>
    </row>
    <row r="149" spans="2:6" x14ac:dyDescent="0.2">
      <c r="B149" s="1" t="s">
        <v>296</v>
      </c>
      <c r="E149" s="5">
        <f>+C145</f>
        <v>144.44444444444443</v>
      </c>
    </row>
    <row r="150" spans="2:6" x14ac:dyDescent="0.2">
      <c r="B150" s="1" t="s">
        <v>297</v>
      </c>
      <c r="E150" s="5">
        <f>+C147</f>
        <v>455.55555555555554</v>
      </c>
    </row>
    <row r="151" spans="2:6" x14ac:dyDescent="0.2">
      <c r="C151" s="1" t="s">
        <v>298</v>
      </c>
      <c r="F151" s="5">
        <f>+C134</f>
        <v>600</v>
      </c>
    </row>
    <row r="152" spans="2:6" x14ac:dyDescent="0.2">
      <c r="B152" s="1" t="s">
        <v>299</v>
      </c>
    </row>
    <row r="154" spans="2:6" x14ac:dyDescent="0.2">
      <c r="B154" s="1" t="s">
        <v>300</v>
      </c>
    </row>
    <row r="156" spans="2:6" x14ac:dyDescent="0.2">
      <c r="B156" s="1" t="s">
        <v>302</v>
      </c>
      <c r="E156" s="5">
        <f>+F157</f>
        <v>66.666666666666657</v>
      </c>
      <c r="F156" s="5"/>
    </row>
    <row r="157" spans="2:6" x14ac:dyDescent="0.2">
      <c r="C157" s="1" t="s">
        <v>301</v>
      </c>
      <c r="E157" s="5"/>
      <c r="F157" s="5">
        <f>+C144/C131*C134</f>
        <v>66.666666666666657</v>
      </c>
    </row>
  </sheetData>
  <hyperlinks>
    <hyperlink ref="A1" location="Main!A1" display="Main" xr:uid="{D3DAD3B6-17F2-46A1-BEE9-28522B0D955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Main</vt:lpstr>
      <vt:lpstr>Module 8</vt:lpstr>
      <vt:lpstr>Lease comps</vt:lpstr>
      <vt:lpstr>WSE8.2</vt:lpstr>
      <vt:lpstr>WSE8.3</vt:lpstr>
      <vt:lpstr>WSE8.4</vt:lpstr>
      <vt:lpstr>WSE8.5</vt:lpstr>
      <vt:lpstr>WSE8.6</vt:lpstr>
      <vt:lpstr>WSE8.7</vt:lpstr>
    </vt:vector>
  </TitlesOfParts>
  <Company>Deloitte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bcornish</dc:creator>
  <cp:lastModifiedBy>Cornish, Bob</cp:lastModifiedBy>
  <dcterms:created xsi:type="dcterms:W3CDTF">2023-05-01T09:03:34Z</dcterms:created>
  <dcterms:modified xsi:type="dcterms:W3CDTF">2023-05-06T16:24:04Z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2023-05-01T09:03:35Z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dd59d931-bab4-448f-9cde-a4f7b42f778d</vt:lpwstr>
  </property>
  <property fmtid="{D5CDD505-2E9C-101B-9397-08002B2CF9AE}" pid="8" name="MSIP_Label_ea60d57e-af5b-4752-ac57-3e4f28ca11dc_ContentBits">
    <vt:lpwstr>0</vt:lpwstr>
  </property>
</Properties>
</file>