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824" documentId="8_{A2D2504D-96DB-4FA9-9006-A80B30F5C4DD}" xr6:coauthVersionLast="47" xr6:coauthVersionMax="47" xr10:uidLastSave="{4EBFC4EE-0590-4CD6-AD29-02490F53E026}"/>
  <bookViews>
    <workbookView xWindow="2250" yWindow="2250" windowWidth="15360" windowHeight="10530" activeTab="7"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39" i="49" l="1"/>
  <c r="BC43" i="49"/>
  <c r="BC51" i="49"/>
  <c r="BC5" i="49"/>
  <c r="BC13" i="49" s="1"/>
  <c r="BA5" i="49"/>
  <c r="BA29" i="49"/>
  <c r="BB29" i="49" s="1"/>
  <c r="BC42" i="49"/>
  <c r="BD8" i="49"/>
  <c r="BD7" i="49"/>
  <c r="BA27" i="49" s="1"/>
  <c r="BD6" i="49"/>
  <c r="BD5" i="49"/>
  <c r="BC24" i="49"/>
  <c r="C78" i="68"/>
  <c r="BC30" i="49" l="1"/>
  <c r="D44" i="40" l="1"/>
  <c r="C42" i="40"/>
  <c r="M14" i="74"/>
  <c r="L13" i="74"/>
  <c r="H15" i="69"/>
  <c r="K13" i="69"/>
  <c r="K14" i="69" s="1"/>
  <c r="C3" i="69" s="1"/>
  <c r="H16" i="69"/>
  <c r="I13" i="69"/>
  <c r="I19" i="69"/>
  <c r="L10" i="69"/>
  <c r="I10" i="69"/>
  <c r="L14" i="69"/>
  <c r="L17" i="69"/>
  <c r="L15" i="69"/>
  <c r="I14" i="69"/>
  <c r="I17" i="69"/>
  <c r="L12" i="69"/>
  <c r="L18" i="69"/>
  <c r="I12" i="69"/>
  <c r="I16" i="69"/>
  <c r="L13" i="69"/>
  <c r="I11" i="69"/>
  <c r="L16" i="69"/>
  <c r="L11" i="69"/>
  <c r="I15" i="69"/>
  <c r="I18" i="69"/>
  <c r="C7" i="69" l="1"/>
  <c r="C16" i="69" l="1"/>
  <c r="C10" i="69"/>
  <c r="H19" i="69"/>
  <c r="C2" i="69" s="1"/>
  <c r="C15" i="69" s="1"/>
  <c r="C17" i="69" s="1"/>
  <c r="C19" i="69" s="1"/>
  <c r="C11" i="69" l="1"/>
  <c r="M11" i="61" l="1"/>
  <c r="G9" i="61"/>
  <c r="G4" i="61"/>
  <c r="F20" i="61"/>
  <c r="E26" i="41"/>
  <c r="H11" i="41"/>
  <c r="F11" i="41"/>
  <c r="C12" i="41"/>
  <c r="C11" i="41"/>
  <c r="E14" i="64" l="1"/>
  <c r="D2" i="64"/>
  <c r="D3" i="64"/>
  <c r="R3" i="95"/>
  <c r="E42" i="95"/>
  <c r="E58" i="95"/>
  <c r="E39" i="95"/>
  <c r="E41" i="95"/>
  <c r="E31" i="95"/>
  <c r="E43" i="95"/>
  <c r="E25" i="95"/>
  <c r="F41" i="95"/>
  <c r="E40" i="95"/>
  <c r="J10" i="64" l="1"/>
  <c r="C31" i="68"/>
  <c r="C32" i="68"/>
  <c r="C15" i="68"/>
  <c r="J14" i="64" l="1"/>
  <c r="K13" i="64"/>
  <c r="D67" i="69"/>
  <c r="E67" i="69" s="1"/>
  <c r="D65" i="69"/>
  <c r="AM46" i="56" l="1"/>
  <c r="AM43" i="56"/>
  <c r="AM29" i="56"/>
  <c r="AM20" i="56"/>
  <c r="AM21" i="56" s="1"/>
  <c r="AM19" i="56"/>
  <c r="F27" i="41"/>
  <c r="E12" i="41"/>
  <c r="E13" i="41"/>
  <c r="E14" i="41"/>
  <c r="F14" i="41" s="1"/>
  <c r="H14" i="41" s="1"/>
  <c r="E15" i="41"/>
  <c r="E11" i="41"/>
  <c r="D94" i="40"/>
  <c r="D93" i="40"/>
  <c r="D90" i="40"/>
  <c r="D89" i="40"/>
  <c r="C17" i="16"/>
  <c r="C15" i="16" s="1"/>
  <c r="C24" i="16"/>
  <c r="C25" i="16"/>
  <c r="E90" i="40"/>
  <c r="BC105" i="49" l="1"/>
  <c r="I25" i="97"/>
  <c r="D20" i="97"/>
  <c r="L11" i="97"/>
  <c r="C73" i="18"/>
  <c r="F12" i="41" l="1"/>
  <c r="H12" i="41" s="1"/>
  <c r="E18" i="41"/>
  <c r="E23" i="40" l="1"/>
  <c r="T17" i="84"/>
  <c r="T16" i="84"/>
  <c r="H49" i="69"/>
  <c r="H47" i="69" s="1"/>
  <c r="F33" i="69"/>
  <c r="H33" i="69" s="1"/>
  <c r="I33" i="69" s="1"/>
  <c r="F32" i="69"/>
  <c r="D32" i="69"/>
  <c r="C86" i="68"/>
  <c r="D87" i="68" s="1"/>
  <c r="C23" i="68"/>
  <c r="E23" i="68"/>
  <c r="A10" i="70"/>
  <c r="C19" i="96"/>
  <c r="D19" i="96" s="1"/>
  <c r="E19" i="96" s="1"/>
  <c r="F19" i="96" s="1"/>
  <c r="A121" i="96"/>
  <c r="BC97" i="49"/>
  <c r="D79" i="30"/>
  <c r="C79" i="30"/>
  <c r="C84" i="30"/>
  <c r="I23" i="30"/>
  <c r="I22" i="30"/>
  <c r="I21" i="30"/>
  <c r="C53" i="30"/>
  <c r="B59" i="30" s="1" a="1"/>
  <c r="B59" i="30" s="1"/>
  <c r="C57" i="30"/>
  <c r="D11" i="74"/>
  <c r="C18" i="94"/>
  <c r="D21" i="94" s="1"/>
  <c r="H15" i="94"/>
  <c r="M20" i="16"/>
  <c r="M21" i="16"/>
  <c r="J63" i="16"/>
  <c r="L90" i="74"/>
  <c r="L85" i="74"/>
  <c r="D44" i="74" s="1"/>
  <c r="L67" i="74"/>
  <c r="L69" i="74" s="1"/>
  <c r="D49" i="74" s="1"/>
  <c r="L77" i="74"/>
  <c r="D11" i="73"/>
  <c r="AT14" i="73"/>
  <c r="AG11" i="73"/>
  <c r="R20" i="73"/>
  <c r="R22" i="73" s="1"/>
  <c r="D7" i="73" s="1"/>
  <c r="B7" i="73" s="1"/>
  <c r="M15" i="94"/>
  <c r="P15" i="94"/>
  <c r="G13" i="3"/>
  <c r="G10" i="3"/>
  <c r="G15" i="3"/>
  <c r="E16" i="3"/>
  <c r="G11" i="3"/>
  <c r="G12" i="3"/>
  <c r="G14" i="3"/>
  <c r="G8" i="3"/>
  <c r="N21" i="61"/>
  <c r="D7" i="84"/>
  <c r="L50" i="74"/>
  <c r="D34" i="74" s="1"/>
  <c r="O15" i="94"/>
  <c r="K13" i="74"/>
  <c r="D22" i="74" s="1"/>
  <c r="G15" i="94"/>
  <c r="L15" i="94"/>
  <c r="K15" i="94"/>
  <c r="L116" i="74" s="1"/>
  <c r="E15" i="94"/>
  <c r="C2" i="84"/>
  <c r="D9" i="84" s="1"/>
  <c r="H71" i="18"/>
  <c r="J17" i="18"/>
  <c r="BC96" i="49"/>
  <c r="E63" i="49"/>
  <c r="E53" i="97"/>
  <c r="J5" i="97"/>
  <c r="J7" i="97"/>
  <c r="J8" i="97"/>
  <c r="M11" i="97"/>
  <c r="D37" i="97" s="1"/>
  <c r="D46" i="97"/>
  <c r="B42" i="97"/>
  <c r="B41" i="97"/>
  <c r="D30" i="97"/>
  <c r="D28" i="97"/>
  <c r="D27" i="97"/>
  <c r="D26" i="97"/>
  <c r="D25" i="97"/>
  <c r="D24" i="97"/>
  <c r="N11" i="97"/>
  <c r="B50" i="97"/>
  <c r="I11" i="97"/>
  <c r="G11" i="97"/>
  <c r="F11" i="97"/>
  <c r="D19" i="97" s="1"/>
  <c r="E11" i="97"/>
  <c r="D18" i="97" s="1"/>
  <c r="D11" i="97"/>
  <c r="D17" i="97" s="1"/>
  <c r="C11" i="97"/>
  <c r="D16" i="97" s="1"/>
  <c r="J10" i="97"/>
  <c r="J9" i="97"/>
  <c r="J6" i="97"/>
  <c r="N9" i="96"/>
  <c r="D140" i="96"/>
  <c r="D76" i="96" a="1"/>
  <c r="D76" i="96" s="1"/>
  <c r="E76" i="96" s="1"/>
  <c r="N68" i="96"/>
  <c r="C148" i="96"/>
  <c r="E148" i="96" s="1"/>
  <c r="G148" i="96" s="1"/>
  <c r="D141" i="96" s="1"/>
  <c r="F150" i="96"/>
  <c r="C150" i="96"/>
  <c r="E150" i="96" s="1"/>
  <c r="G150" i="96" s="1"/>
  <c r="F148" i="96"/>
  <c r="F146" i="96"/>
  <c r="C146" i="96"/>
  <c r="E146" i="96" s="1"/>
  <c r="H146" i="96" s="1"/>
  <c r="C129" i="96"/>
  <c r="B124" i="96"/>
  <c r="B126" i="96"/>
  <c r="B128" i="96" s="1"/>
  <c r="C96" i="96"/>
  <c r="B91" i="96"/>
  <c r="B90" i="96"/>
  <c r="C95" i="96" s="1"/>
  <c r="B88" i="96"/>
  <c r="C78" i="96"/>
  <c r="D78" i="96" s="1" a="1"/>
  <c r="D78" i="96" s="1"/>
  <c r="E78" i="96" s="1"/>
  <c r="D74" i="96" a="1"/>
  <c r="D74" i="96" s="1"/>
  <c r="E74" i="96" s="1"/>
  <c r="D69" i="96" a="1"/>
  <c r="D69" i="96" s="1"/>
  <c r="B36" i="96"/>
  <c r="C41" i="96" s="1"/>
  <c r="B35" i="96"/>
  <c r="C40" i="96" s="1"/>
  <c r="C23" i="96"/>
  <c r="D23" i="96" s="1"/>
  <c r="E23" i="96" s="1"/>
  <c r="C21" i="96"/>
  <c r="D21" i="96" s="1"/>
  <c r="E21" i="96" s="1"/>
  <c r="C12"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D15" i="94"/>
  <c r="D9" i="74" s="1"/>
  <c r="F15" i="94"/>
  <c r="I15" i="94"/>
  <c r="D13" i="74" s="1"/>
  <c r="N15" i="94"/>
  <c r="Q15" i="94"/>
  <c r="R15" i="94"/>
  <c r="C100" i="40"/>
  <c r="D102" i="40"/>
  <c r="I57" i="40"/>
  <c r="I56" i="40"/>
  <c r="D57" i="40"/>
  <c r="O19" i="38"/>
  <c r="N19" i="38"/>
  <c r="O15" i="38"/>
  <c r="O20" i="38" s="1"/>
  <c r="N15" i="38"/>
  <c r="N20" i="38" s="1"/>
  <c r="N11" i="61"/>
  <c r="N13" i="61"/>
  <c r="G6" i="61"/>
  <c r="B41" i="82"/>
  <c r="B44" i="82" s="1"/>
  <c r="B29" i="82"/>
  <c r="D31" i="82"/>
  <c r="B28" i="82"/>
  <c r="D30" i="82"/>
  <c r="B8" i="41" a="1"/>
  <c r="B8" i="41" s="1"/>
  <c r="C23" i="40"/>
  <c r="D23" i="40" s="1"/>
  <c r="F17" i="61"/>
  <c r="F19" i="61"/>
  <c r="W5" i="61"/>
  <c r="E18" i="61" s="1"/>
  <c r="C44" i="36"/>
  <c r="D74" i="80"/>
  <c r="E74" i="80" s="1"/>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D70" i="80"/>
  <c r="E70" i="80" s="1"/>
  <c r="B32" i="16"/>
  <c r="D72" i="80"/>
  <c r="E72" i="80" s="1"/>
  <c r="D77" i="80"/>
  <c r="E77" i="80" s="1"/>
  <c r="C89" i="80" s="1"/>
  <c r="F121" i="69"/>
  <c r="F123" i="69" s="1"/>
  <c r="E113" i="69"/>
  <c r="F114" i="69"/>
  <c r="F109" i="69"/>
  <c r="E112" i="69" s="1"/>
  <c r="C109" i="69"/>
  <c r="F103" i="69"/>
  <c r="H67" i="18"/>
  <c r="H68" i="18"/>
  <c r="H69" i="18"/>
  <c r="H70" i="18"/>
  <c r="H66" i="18"/>
  <c r="H65" i="18"/>
  <c r="I65" i="18" s="1"/>
  <c r="P33" i="71"/>
  <c r="AS121" i="49"/>
  <c r="AS120" i="49"/>
  <c r="BA118" i="49"/>
  <c r="E66" i="69"/>
  <c r="E68" i="69"/>
  <c r="E65" i="69"/>
  <c r="D9" i="82"/>
  <c r="B9" i="82"/>
  <c r="B12" i="82" s="1"/>
  <c r="L106" i="74"/>
  <c r="L108" i="74" s="1"/>
  <c r="D46" i="74" s="1"/>
  <c r="T122" i="73"/>
  <c r="T120" i="73"/>
  <c r="T50" i="73"/>
  <c r="T52" i="73" s="1"/>
  <c r="L98" i="74"/>
  <c r="L100" i="74" s="1"/>
  <c r="D45" i="74" s="1"/>
  <c r="T84" i="73"/>
  <c r="D69" i="80"/>
  <c r="E69" i="80" s="1"/>
  <c r="D71" i="80"/>
  <c r="E71" i="80" s="1"/>
  <c r="D73" i="80"/>
  <c r="E73" i="80" s="1"/>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5" i="74"/>
  <c r="K5" i="74"/>
  <c r="E54" i="74" s="1"/>
  <c r="L92" i="74"/>
  <c r="D35" i="74" s="1"/>
  <c r="D8" i="68" a="1"/>
  <c r="D8" i="68" s="1"/>
  <c r="C51" i="36"/>
  <c r="C56" i="36" s="1"/>
  <c r="I36" i="69"/>
  <c r="I35" i="69"/>
  <c r="I34" i="69"/>
  <c r="I37" i="69"/>
  <c r="B67" i="38"/>
  <c r="B68" i="38" s="1"/>
  <c r="B71" i="38" s="1"/>
  <c r="B41" i="38"/>
  <c r="C45" i="38" s="1"/>
  <c r="T57" i="73"/>
  <c r="T91" i="73"/>
  <c r="D28" i="73" s="1"/>
  <c r="T74" i="73"/>
  <c r="T76" i="73" s="1"/>
  <c r="D38" i="74"/>
  <c r="L58" i="74"/>
  <c r="L60" i="74" s="1"/>
  <c r="D37" i="74" s="1"/>
  <c r="L34" i="74"/>
  <c r="L30" i="74"/>
  <c r="L32" i="74" s="1"/>
  <c r="M13" i="74"/>
  <c r="D24" i="74" s="1"/>
  <c r="T65" i="73"/>
  <c r="T67" i="73" s="1"/>
  <c r="T41" i="73"/>
  <c r="T37" i="73"/>
  <c r="T39" i="73" s="1"/>
  <c r="T31" i="73"/>
  <c r="T33" i="73" s="1"/>
  <c r="D10" i="73" s="1"/>
  <c r="T10" i="73"/>
  <c r="E35" i="73" s="1"/>
  <c r="S10" i="73"/>
  <c r="E36" i="73" s="1"/>
  <c r="M63" i="74"/>
  <c r="M25" i="74"/>
  <c r="M54" i="74"/>
  <c r="M42" i="74"/>
  <c r="M88" i="74"/>
  <c r="M53" i="74"/>
  <c r="M57" i="74"/>
  <c r="E8" i="95"/>
  <c r="M52" i="74"/>
  <c r="M55" i="74"/>
  <c r="M93" i="74"/>
  <c r="M29" i="74"/>
  <c r="M61" i="74"/>
  <c r="M94" i="74"/>
  <c r="C13" i="38"/>
  <c r="D6" i="69"/>
  <c r="C15" i="38"/>
  <c r="M73" i="74"/>
  <c r="M67" i="74"/>
  <c r="C32" i="96"/>
  <c r="M87" i="74"/>
  <c r="M74" i="74"/>
  <c r="M33" i="74"/>
  <c r="M80" i="74"/>
  <c r="M82" i="74"/>
  <c r="M98" i="74"/>
  <c r="D7" i="69"/>
  <c r="M27" i="74"/>
  <c r="M78" i="74"/>
  <c r="M21" i="74"/>
  <c r="J57" i="40"/>
  <c r="M46" i="74"/>
  <c r="C14" i="38"/>
  <c r="D17" i="16"/>
  <c r="L19" i="69"/>
  <c r="M37" i="74"/>
  <c r="M64" i="74"/>
  <c r="M62" i="74"/>
  <c r="M65" i="74"/>
  <c r="M20" i="74"/>
  <c r="M31" i="74"/>
  <c r="M49" i="74"/>
  <c r="M59" i="74"/>
  <c r="D64" i="16"/>
  <c r="M75" i="74"/>
  <c r="M36" i="74"/>
  <c r="M92" i="74"/>
  <c r="M86" i="74"/>
  <c r="I20" i="69"/>
  <c r="M47" i="74"/>
  <c r="M48" i="74"/>
  <c r="M76" i="74"/>
  <c r="L20" i="69"/>
  <c r="B20" i="96"/>
  <c r="J56" i="40"/>
  <c r="M23" i="74"/>
  <c r="M72" i="74"/>
  <c r="B22" i="96"/>
  <c r="M41" i="74"/>
  <c r="D8" i="69"/>
  <c r="M22" i="74"/>
  <c r="M69" i="74"/>
  <c r="B80" i="68"/>
  <c r="E56" i="40"/>
  <c r="E89" i="40"/>
  <c r="I21" i="69"/>
  <c r="M70" i="74"/>
  <c r="M71" i="74"/>
  <c r="B24" i="96"/>
  <c r="M96" i="74"/>
  <c r="M83" i="74"/>
  <c r="M81" i="74"/>
  <c r="M38" i="74"/>
  <c r="M85" i="74"/>
  <c r="M90" i="74"/>
  <c r="M51" i="74"/>
  <c r="M56" i="74"/>
  <c r="M40" i="74"/>
  <c r="M95" i="74"/>
  <c r="M28" i="74"/>
  <c r="M39" i="74"/>
  <c r="F23" i="40" l="1"/>
  <c r="E69" i="69"/>
  <c r="D21" i="97"/>
  <c r="M14" i="61"/>
  <c r="G44" i="36"/>
  <c r="B92" i="96"/>
  <c r="B94" i="96" s="1"/>
  <c r="B57" i="30"/>
  <c r="L79" i="74"/>
  <c r="D42" i="74" s="1"/>
  <c r="E50" i="74" s="1"/>
  <c r="B24" i="74"/>
  <c r="E53" i="74"/>
  <c r="C20" i="94"/>
  <c r="L115" i="74"/>
  <c r="L117" i="74" s="1"/>
  <c r="J13" i="74"/>
  <c r="D21" i="74" s="1"/>
  <c r="B21" i="74" s="1"/>
  <c r="C15" i="94"/>
  <c r="D7" i="74" s="1"/>
  <c r="D20" i="74" s="1"/>
  <c r="L24" i="74"/>
  <c r="L26" i="74" s="1"/>
  <c r="D26" i="74" s="1"/>
  <c r="J15" i="94"/>
  <c r="L44" i="74" s="1"/>
  <c r="L43" i="74"/>
  <c r="H11" i="97"/>
  <c r="D36" i="97" s="1"/>
  <c r="D29" i="97"/>
  <c r="D31" i="97" s="1"/>
  <c r="D45" i="97" s="1"/>
  <c r="D47" i="97" s="1"/>
  <c r="B49" i="97"/>
  <c r="J4" i="97"/>
  <c r="J11" i="97" s="1"/>
  <c r="B101" i="96"/>
  <c r="F78" i="96"/>
  <c r="L79" i="96" s="1"/>
  <c r="F76" i="96"/>
  <c r="F74" i="96"/>
  <c r="F21" i="96"/>
  <c r="L22" i="96" s="1"/>
  <c r="B83" i="96"/>
  <c r="C107" i="96"/>
  <c r="B106" i="96"/>
  <c r="B155" i="96"/>
  <c r="H150" i="96"/>
  <c r="C156" i="96"/>
  <c r="L20" i="96"/>
  <c r="K19" i="96"/>
  <c r="N147" i="96"/>
  <c r="M146" i="96"/>
  <c r="H148" i="96"/>
  <c r="D142" i="96" s="1"/>
  <c r="F23" i="96"/>
  <c r="C130" i="96"/>
  <c r="B125" i="96"/>
  <c r="A132" i="96" s="1"/>
  <c r="B37" i="96"/>
  <c r="B39" i="96" s="1"/>
  <c r="C102" i="96"/>
  <c r="C80" i="80"/>
  <c r="F87" i="95"/>
  <c r="R14" i="95"/>
  <c r="B24" i="95" a="1"/>
  <c r="B24" i="95" s="1"/>
  <c r="K17" i="95"/>
  <c r="F44" i="95"/>
  <c r="F45" i="95" s="1"/>
  <c r="F24" i="95"/>
  <c r="K16" i="95"/>
  <c r="U6" i="95"/>
  <c r="V13" i="95" s="1"/>
  <c r="E19" i="95"/>
  <c r="F84" i="95"/>
  <c r="E44" i="95"/>
  <c r="E46" i="95" s="1"/>
  <c r="F32" i="95"/>
  <c r="D91" i="40"/>
  <c r="F18" i="61"/>
  <c r="B18" i="61"/>
  <c r="G16" i="3"/>
  <c r="C12" i="69"/>
  <c r="I58" i="40"/>
  <c r="D68" i="80"/>
  <c r="D46" i="66"/>
  <c r="D51" i="66" s="1"/>
  <c r="D11" i="66"/>
  <c r="D32" i="66" s="1"/>
  <c r="C163" i="30"/>
  <c r="D43" i="82"/>
  <c r="B89" i="80"/>
  <c r="A89" i="80"/>
  <c r="E125" i="69"/>
  <c r="F126"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L35" i="74"/>
  <c r="D27" i="74" s="1"/>
  <c r="D23" i="74"/>
  <c r="B23" i="74" s="1"/>
  <c r="U12" i="95" l="1"/>
  <c r="D8" i="73"/>
  <c r="B8" i="73" s="1"/>
  <c r="L75" i="96"/>
  <c r="K74" i="96"/>
  <c r="K78" i="96"/>
  <c r="K21" i="96"/>
  <c r="L45" i="74"/>
  <c r="D33" i="74" s="1"/>
  <c r="E39" i="74" s="1"/>
  <c r="D35" i="97"/>
  <c r="D38" i="97" s="1"/>
  <c r="G21" i="97"/>
  <c r="I26" i="97" s="1"/>
  <c r="L77" i="96"/>
  <c r="K76" i="96"/>
  <c r="L24" i="96"/>
  <c r="K23" i="96"/>
  <c r="N151" i="96"/>
  <c r="M150" i="96"/>
  <c r="N149" i="96"/>
  <c r="M148" i="96"/>
  <c r="E68" i="80"/>
  <c r="H74" i="80"/>
  <c r="H65" i="80"/>
  <c r="F46" i="95"/>
  <c r="E45" i="95"/>
  <c r="B50" i="95"/>
  <c r="F63" i="95"/>
  <c r="F64" i="95" s="1"/>
  <c r="F66" i="95" s="1"/>
  <c r="F50" i="95"/>
  <c r="E50" i="95"/>
  <c r="C97" i="40"/>
  <c r="D97" i="40"/>
  <c r="D96" i="40"/>
  <c r="C96" i="40"/>
  <c r="H62" i="40"/>
  <c r="I62" i="40"/>
  <c r="H61" i="40"/>
  <c r="I61" i="40"/>
  <c r="G62" i="40"/>
  <c r="D36" i="66"/>
  <c r="C167" i="30"/>
  <c r="C166" i="30"/>
  <c r="B14" i="82"/>
  <c r="B16" i="82" s="1"/>
  <c r="A14" i="80" a="1"/>
  <c r="A14" i="80" s="1"/>
  <c r="C45" i="80"/>
  <c r="B14" i="80"/>
  <c r="B15" i="80"/>
  <c r="T24" i="73"/>
  <c r="E51" i="95" l="1"/>
  <c r="E63" i="95"/>
  <c r="E64" i="95" s="1"/>
  <c r="E66" i="95" s="1"/>
  <c r="C68" i="95" s="1"/>
  <c r="D9" i="73"/>
  <c r="E12" i="73" s="1"/>
  <c r="E34" i="73" s="1"/>
  <c r="D38" i="73" s="1"/>
  <c r="B28" i="96"/>
  <c r="C52" i="96"/>
  <c r="B46" i="96"/>
  <c r="B51" i="96"/>
  <c r="C47" i="96"/>
  <c r="E75" i="80"/>
  <c r="C82" i="80" s="1"/>
  <c r="C85" i="80" s="1"/>
  <c r="B51" i="95"/>
  <c r="F47" i="95"/>
  <c r="F71" i="95"/>
  <c r="E71" i="95"/>
  <c r="B71" i="95"/>
  <c r="F51" i="95"/>
  <c r="B49" i="95"/>
  <c r="F49" i="95"/>
  <c r="E49" i="95"/>
  <c r="D25" i="74"/>
  <c r="F77" i="95" l="1"/>
  <c r="A88" i="80"/>
  <c r="B88" i="80"/>
  <c r="C88" i="80"/>
  <c r="C90" i="80"/>
  <c r="B77" i="95"/>
  <c r="F72" i="95"/>
  <c r="F70" i="95"/>
  <c r="E70" i="95"/>
  <c r="B70" i="95"/>
  <c r="E72" i="95"/>
  <c r="B72" i="95"/>
  <c r="E28" i="74"/>
  <c r="E52" i="74" s="1"/>
  <c r="D56" i="74" s="1"/>
  <c r="B90" i="80" l="1"/>
  <c r="F81" i="95"/>
  <c r="D22" i="71"/>
  <c r="D32" i="71" s="1"/>
  <c r="D8" i="71"/>
  <c r="D16" i="70"/>
  <c r="D17" i="70" s="1"/>
  <c r="E21" i="70"/>
  <c r="D27" i="71"/>
  <c r="D26" i="71"/>
  <c r="D25" i="71"/>
  <c r="C25" i="70"/>
  <c r="C24" i="70"/>
  <c r="E25" i="70"/>
  <c r="E30" i="70" s="1"/>
  <c r="E43" i="70" s="1"/>
  <c r="E24" i="70"/>
  <c r="E29"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F56" i="70" s="1"/>
  <c r="D19" i="70"/>
  <c r="E54" i="70" s="1"/>
  <c r="D20" i="70"/>
  <c r="E28" i="68"/>
  <c r="D43" i="68"/>
  <c r="C4" i="69"/>
  <c r="B51" i="66"/>
  <c r="B52" i="66" s="1"/>
  <c r="E46" i="66"/>
  <c r="C51" i="66"/>
  <c r="E50" i="66"/>
  <c r="C66" i="16"/>
  <c r="C67" i="40"/>
  <c r="P14" i="64"/>
  <c r="O13" i="64"/>
  <c r="D12" i="64"/>
  <c r="G14" i="64"/>
  <c r="O5" i="64"/>
  <c r="O6" i="64" s="1"/>
  <c r="D4" i="64"/>
  <c r="D5" i="64" s="1"/>
  <c r="E32" i="66" l="1"/>
  <c r="E36" i="66" s="1"/>
  <c r="D23" i="68"/>
  <c r="C36" i="68" s="1"/>
  <c r="C32" i="66"/>
  <c r="D38" i="66"/>
  <c r="D52" i="66" s="1"/>
  <c r="E56" i="70"/>
  <c r="D58" i="70" a="1"/>
  <c r="D58" i="70" s="1"/>
  <c r="E59" i="70" a="1"/>
  <c r="E59" i="70" s="1"/>
  <c r="D48" i="70"/>
  <c r="D28" i="70"/>
  <c r="E49" i="70"/>
  <c r="C42" i="68"/>
  <c r="E71" i="69"/>
  <c r="E51" i="66"/>
  <c r="J13" i="64"/>
  <c r="G13" i="64"/>
  <c r="K14" i="64"/>
  <c r="E13" i="64"/>
  <c r="E72" i="69" l="1"/>
  <c r="D33" i="69"/>
  <c r="E33" i="69" s="1"/>
  <c r="J33" i="69" s="1"/>
  <c r="K33" i="69" s="1"/>
  <c r="C36" i="66"/>
  <c r="C40" i="68"/>
  <c r="F23" i="68"/>
  <c r="C24" i="68" s="1"/>
  <c r="D24" i="68" s="1"/>
  <c r="F24" i="68" s="1"/>
  <c r="C25" i="68" s="1"/>
  <c r="D39" i="68"/>
  <c r="E32" i="69"/>
  <c r="C38" i="66" l="1"/>
  <c r="C52" i="66" s="1"/>
  <c r="E37" i="66"/>
  <c r="E38" i="66" s="1"/>
  <c r="E52" i="66" s="1"/>
  <c r="C33" i="68"/>
  <c r="E38" i="69"/>
  <c r="D25" i="68"/>
  <c r="F25" i="68" s="1"/>
  <c r="C26" i="68" s="1"/>
  <c r="D26" i="68" l="1"/>
  <c r="F26" i="68" s="1"/>
  <c r="C27"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5"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5" i="41"/>
  <c r="H15"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6" i="41"/>
  <c r="E19" i="41" s="1"/>
  <c r="Y31" i="46" l="1"/>
  <c r="AA31" i="46" s="1"/>
  <c r="AN2" i="46"/>
  <c r="AP2" i="46" s="1"/>
  <c r="E20" i="41"/>
  <c r="D24" i="40"/>
  <c r="F24" i="40" s="1"/>
  <c r="E22" i="41" l="1"/>
  <c r="F23" i="41"/>
  <c r="B22" i="41"/>
  <c r="E23" i="41"/>
  <c r="F22"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BC36" i="49"/>
  <c r="AV13" i="49"/>
  <c r="AU33" i="49"/>
  <c r="L35" i="49" s="1"/>
  <c r="AU13" i="49"/>
  <c r="BC103" i="49"/>
  <c r="BC107" i="49" s="1"/>
  <c r="S130" i="49"/>
  <c r="AH80" i="49"/>
  <c r="AH94" i="49" s="1"/>
  <c r="AH98" i="49" s="1"/>
  <c r="AH100" i="49" s="1"/>
  <c r="AH114" i="49" s="1"/>
  <c r="I34" i="49"/>
  <c r="H34" i="49"/>
  <c r="H17" i="49"/>
  <c r="I17" i="49"/>
  <c r="I14" i="49"/>
  <c r="H14" i="49"/>
  <c r="I40" i="49"/>
  <c r="H40" i="49"/>
  <c r="I33" i="49"/>
  <c r="H33" i="49"/>
  <c r="H31" i="49"/>
  <c r="I31" i="49"/>
  <c r="I35" i="49"/>
  <c r="AV35" i="49" l="1"/>
  <c r="M14" i="49" s="1"/>
  <c r="M130" i="49" s="1"/>
  <c r="AV102" i="49"/>
  <c r="AH119" i="49"/>
  <c r="AH117" i="49" s="1"/>
  <c r="AH123" i="49"/>
  <c r="AH121" i="49" s="1"/>
  <c r="AH34" i="49"/>
  <c r="I130" i="49"/>
  <c r="AH17" i="49"/>
  <c r="AH31" i="49"/>
  <c r="AH33" i="49"/>
  <c r="AV104" i="49" l="1"/>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<sst xmlns="http://schemas.openxmlformats.org/spreadsheetml/2006/main" count="3673" uniqueCount="2006">
  <si>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</si>
  <si>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</si>
  <si>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</si>
  <si>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</si>
  <si>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</si>
  <si>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</si>
  <si>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</si>
  <si>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</si>
  <si>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</si>
  <si>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</si>
  <si>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</si>
  <si>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</si>
  <si>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</si>
  <si>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</si>
  <si>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</si>
  <si>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</si>
  <si>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</si>
  <si>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</si>
  <si>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</si>
  <si>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</si>
  <si>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</si>
  <si>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</si>
  <si>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</si>
  <si>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</si>
  <si>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</si>
  <si>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</si>
  <si>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</si>
  <si>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</si>
  <si>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</si>
  <si>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</si>
  <si>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</si>
  <si>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</si>
  <si>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</si>
  <si>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</si>
  <si>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</si>
  <si>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</si>
  <si>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</si>
  <si>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</si>
  <si>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</si>
  <si>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</si>
  <si>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</si>
  <si>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</si>
  <si>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</si>
  <si>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</si>
  <si>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</si>
  <si>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</si>
  <si>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</si>
  <si>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</si>
  <si>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</si>
  <si>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</si>
  <si>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</si>
  <si>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</si>
  <si>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</si>
  <si>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</si>
  <si>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</si>
  <si>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</si>
  <si>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</si>
  <si>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</si>
  <si>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</si>
  <si>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</si>
  <si>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</si>
  <si>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</si>
  <si>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</si>
  <si>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</si>
  <si>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</si>
  <si>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</si>
  <si>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</si>
  <si>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</si>
  <si>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</si>
  <si>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</si>
  <si>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</si>
  <si>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</si>
  <si>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</si>
  <si>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</si>
  <si>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</si>
  <si>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</si>
  <si>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</si>
  <si>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</si>
  <si>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</si>
  <si>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</si>
  <si>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</si>
  <si>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</si>
  <si>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</si>
  <si>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</si>
  <si>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</si>
  <si>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</si>
  <si>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</si>
  <si>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</si>
  <si>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</si>
  <si>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</si>
  <si>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</si>
  <si>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</si>
  <si>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</si>
  <si>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</si>
  <si>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</si>
  <si>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</si>
  <si>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</si>
  <si>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</si>
  <si>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</si>
  <si>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</si>
  <si>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</si>
  <si>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</si>
  <si>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</si>
  <si>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</si>
  <si>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</si>
  <si>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</si>
  <si>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</si>
  <si>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</si>
  <si>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</si>
  <si>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</si>
  <si>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</si>
  <si>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</si>
  <si>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</si>
  <si>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</si>
  <si>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</si>
  <si>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</si>
  <si>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</si>
  <si>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</si>
  <si>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</si>
  <si>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</si>
  <si>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</si>
  <si>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</si>
  <si>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</si>
  <si>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</si>
  <si>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</si>
  <si>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</si>
  <si>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</si>
  <si>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</si>
  <si>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</si>
  <si>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</si>
  <si>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</si>
  <si>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</si>
  <si>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</si>
  <si>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</si>
  <si>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</si>
  <si>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</si>
  <si>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</si>
  <si>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</si>
  <si>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</si>
  <si>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</si>
  <si>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</si>
  <si>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</si>
  <si>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</si>
  <si>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</si>
  <si>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</si>
  <si>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</si>
  <si>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</si>
  <si>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</si>
  <si>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</si>
  <si>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</si>
  <si>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</si>
  <si>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</si>
  <si>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</si>
  <si>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</si>
  <si>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</si>
  <si>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</si>
  <si>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</si>
  <si>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</si>
  <si>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</si>
  <si>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</si>
  <si>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</si>
  <si>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</si>
  <si>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</si>
  <si>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</si>
  <si>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</si>
  <si>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</si>
  <si>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</si>
  <si>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</si>
  <si>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</si>
  <si>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</si>
  <si>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</si>
  <si>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</si>
  <si>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</si>
  <si>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</si>
  <si>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</si>
  <si>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</si>
  <si>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</si>
  <si>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</si>
  <si>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</si>
  <si>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</si>
  <si>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</si>
  <si>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</si>
  <si>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</si>
  <si>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</si>
  <si>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</si>
  <si>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</si>
  <si>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</si>
  <si>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</si>
  <si>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</si>
  <si>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</si>
  <si>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</si>
  <si>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</si>
  <si>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</si>
  <si>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</si>
  <si>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</si>
  <si>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</si>
  <si>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</si>
  <si>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</si>
  <si>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</si>
  <si>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</si>
  <si>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</si>
  <si>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</si>
  <si>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</si>
  <si>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</si>
  <si>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</si>
  <si>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</si>
  <si>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</si>
  <si>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</si>
  <si>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</si>
  <si>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</si>
  <si>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</si>
  <si>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</si>
  <si>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</si>
  <si>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</si>
  <si>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</si>
  <si>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</si>
  <si>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</si>
  <si>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</si>
  <si>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</si>
  <si>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</si>
  <si>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</si>
  <si>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</si>
  <si>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</si>
  <si>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</si>
  <si>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</si>
  <si>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</si>
  <si>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</si>
  <si>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</si>
  <si>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</si>
  <si>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</si>
  <si>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</si>
  <si>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</si>
  <si>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</si>
  <si>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</si>
  <si>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</si>
  <si>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</si>
  <si>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</si>
  <si>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</si>
  <si>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</si>
  <si>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</si>
  <si>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</si>
  <si>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</si>
  <si>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</si>
  <si>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</si>
  <si>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</si>
  <si>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</si>
  <si>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</si>
  <si>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</si>
  <si>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</si>
  <si>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</si>
  <si>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</si>
  <si>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</si>
  <si>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</si>
  <si>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</si>
  <si>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</si>
  <si>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</si>
  <si>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</si>
  <si>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</si>
  <si>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</si>
  <si>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</si>
  <si>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</si>
  <si>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</si>
  <si>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</si>
  <si>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</si>
  <si>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</si>
  <si>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</si>
  <si>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</si>
  <si>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</si>
  <si>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</si>
  <si>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</si>
  <si>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</si>
  <si>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</si>
  <si>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</si>
  <si>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</si>
  <si>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</si>
  <si>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</si>
  <si>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</si>
  <si>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</si>
  <si>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</si>
  <si>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</si>
  <si>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</si>
  <si>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</si>
  <si>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</si>
  <si>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</si>
  <si>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</si>
  <si>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</si>
  <si>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</si>
  <si>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</si>
  <si>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</si>
  <si>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</si>
  <si>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</si>
  <si>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</si>
  <si>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</si>
  <si>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</si>
  <si>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</si>
  <si>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</si>
  <si>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</si>
  <si>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</si>
  <si>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</si>
  <si>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</si>
  <si>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</si>
  <si>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</si>
  <si>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</si>
  <si>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</si>
  <si>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</si>
  <si>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</si>
  <si>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</si>
  <si>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</si>
  <si>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</si>
  <si>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</si>
  <si>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</si>
  <si>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</si>
  <si>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</si>
  <si>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</si>
  <si>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</si>
  <si>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</si>
  <si>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</si>
  <si>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</si>
  <si>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</si>
  <si>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</si>
  <si>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</si>
  <si>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</si>
  <si>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</si>
  <si>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</si>
  <si>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</si>
  <si>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</si>
  <si>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</si>
  <si>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</si>
  <si>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</si>
  <si>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</si>
  <si>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</si>
  <si>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</si>
  <si>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</si>
  <si>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</si>
  <si>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</si>
  <si>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</si>
  <si>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</si>
  <si>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</si>
  <si>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</si>
  <si>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</si>
  <si>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</si>
  <si>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</si>
  <si>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</si>
  <si>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</si>
  <si>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</si>
  <si>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</si>
  <si>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</si>
  <si>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</si>
  <si>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</si>
  <si>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</si>
  <si>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</si>
  <si>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</si>
  <si>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</si>
  <si>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</si>
  <si>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</si>
  <si>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</si>
  <si>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</si>
  <si>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</si>
  <si>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</si>
  <si>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</si>
  <si>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</si>
  <si>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</si>
  <si>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</si>
  <si>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</si>
  <si>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</si>
  <si>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</si>
  <si>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</si>
  <si>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</si>
  <si>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</si>
  <si>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</si>
  <si>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</si>
  <si>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</si>
  <si>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</si>
  <si>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</si>
  <si>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</si>
  <si>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</si>
  <si>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</si>
  <si>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</si>
  <si>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</si>
  <si>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</si>
  <si>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</si>
  <si>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</si>
  <si>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</si>
  <si>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</si>
  <si>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</si>
  <si>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</si>
  <si>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</si>
  <si>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</si>
  <si>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</si>
  <si>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</si>
  <si>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</si>
  <si>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</si>
  <si>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</si>
  <si>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</si>
  <si>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</si>
  <si>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</si>
  <si>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</si>
  <si>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</si>
  <si>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</si>
  <si>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</si>
  <si>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</si>
  <si>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</si>
  <si>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</si>
  <si>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</si>
  <si>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</si>
  <si>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</si>
  <si>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</si>
  <si>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</si>
  <si>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</si>
  <si>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</si>
  <si>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</si>
  <si>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</si>
  <si>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</si>
  <si>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</si>
  <si>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</si>
  <si>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</si>
  <si>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</si>
  <si>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</si>
  <si>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</si>
  <si>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</si>
  <si>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</si>
  <si>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</si>
  <si>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</si>
  <si>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</si>
  <si>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</si>
  <si>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</si>
  <si>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</si>
  <si>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</si>
  <si>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</si>
  <si>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</si>
  <si>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</si>
  <si>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</si>
  <si>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</si>
  <si>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</si>
  <si>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</si>
  <si>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</si>
  <si>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</si>
  <si>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</si>
  <si>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</si>
  <si>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</si>
  <si>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</si>
  <si>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</si>
  <si>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</si>
  <si>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</si>
  <si>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</si>
  <si>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</si>
  <si>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</si>
  <si>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</si>
  <si>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</si>
  <si>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</si>
  <si>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</si>
  <si>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</si>
  <si>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</si>
  <si>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</si>
  <si>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</si>
  <si>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</si>
  <si>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</si>
  <si>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</si>
  <si>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</si>
  <si>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</si>
  <si>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</si>
  <si>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</si>
  <si>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</si>
  <si>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</si>
  <si>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</si>
  <si>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</si>
  <si>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</si>
  <si>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</si>
  <si>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</si>
  <si>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</si>
  <si>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</si>
  <si>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</si>
  <si>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</si>
  <si>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</si>
  <si>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</si>
  <si>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</si>
  <si>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</si>
  <si>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</si>
  <si>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</si>
  <si>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</si>
  <si>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</si>
  <si>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</si>
  <si>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</si>
  <si>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</si>
  <si>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</si>
  <si>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</si>
  <si>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</si>
  <si>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</si>
  <si>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</si>
  <si>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</si>
  <si>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</si>
  <si>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</si>
  <si>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</si>
  <si>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</si>
  <si>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</si>
  <si>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</si>
  <si>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</si>
  <si>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</si>
  <si>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</si>
  <si>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</si>
  <si>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</si>
  <si>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</si>
  <si>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</si>
  <si>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</si>
  <si>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</si>
  <si>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</si>
  <si>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</si>
  <si>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</si>
  <si>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</si>
  <si>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</si>
  <si>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</si>
  <si>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</si>
  <si>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</si>
  <si>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</si>
  <si>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</si>
  <si>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</si>
  <si>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</si>
  <si>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</si>
  <si>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</si>
  <si>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</si>
  <si>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</si>
  <si>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</si>
  <si>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</si>
  <si>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</si>
  <si>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</si>
  <si>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</si>
  <si>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</si>
  <si>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</si>
  <si>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</si>
  <si>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</si>
  <si>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</si>
  <si>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</si>
  <si>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</si>
  <si>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</si>
  <si>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</si>
  <si>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</si>
  <si>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</si>
  <si>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</si>
  <si>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</si>
  <si>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</si>
  <si>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</si>
  <si>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</si>
  <si>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</si>
  <si>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</si>
  <si>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</si>
  <si>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</si>
  <si>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</si>
  <si>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</si>
  <si>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</si>
  <si>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</si>
  <si>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</si>
  <si>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</si>
  <si>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</si>
  <si>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</si>
  <si>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</si>
  <si>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</si>
  <si>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</si>
  <si>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</si>
  <si>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</si>
  <si>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</si>
  <si>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</si>
  <si>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</si>
  <si>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</si>
  <si>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</si>
  <si>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</si>
  <si>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</si>
  <si>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</si>
  <si>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</si>
  <si>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</si>
  <si>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</si>
  <si>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</si>
  <si>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</si>
  <si>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</si>
  <si>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</si>
  <si>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</si>
  <si>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</si>
  <si>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</si>
  <si>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</si>
  <si>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</si>
  <si>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</si>
  <si>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</si>
  <si>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</si>
  <si>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</si>
  <si>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</si>
  <si>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</si>
  <si>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</si>
  <si>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</si>
  <si>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</si>
  <si>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</si>
  <si>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</si>
  <si>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</si>
  <si>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</si>
  <si>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</si>
  <si>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</si>
  <si>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</si>
  <si>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</si>
  <si>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</si>
  <si>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</si>
  <si>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</si>
  <si>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</si>
  <si>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</si>
  <si>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</si>
  <si>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</si>
  <si>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</si>
  <si>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</si>
  <si>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</si>
  <si>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</si>
  <si>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</si>
  <si>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</si>
  <si>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</si>
  <si>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</si>
  <si>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</si>
  <si>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</si>
  <si>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</si>
  <si>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</si>
  <si>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</si>
  <si>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</si>
  <si>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</si>
  <si>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</si>
  <si>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</si>
  <si>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</si>
  <si>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</si>
  <si>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</si>
  <si>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</si>
  <si>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</si>
  <si>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</si>
  <si>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</si>
  <si>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</si>
  <si>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</si>
  <si>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</si>
  <si>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</si>
  <si>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</si>
  <si>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</si>
  <si>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</si>
  <si>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</si>
  <si>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</si>
  <si>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</si>
  <si>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</si>
  <si>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</si>
  <si>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</si>
  <si>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</si>
  <si>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</si>
  <si>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</si>
  <si>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</si>
  <si>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</si>
  <si>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</si>
  <si>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</si>
  <si>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</si>
  <si>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</si>
  <si>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</si>
  <si>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</si>
  <si>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</si>
  <si>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</si>
  <si>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</si>
  <si>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</si>
  <si>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</si>
  <si>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</si>
  <si>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</si>
  <si>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</si>
  <si>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</si>
  <si>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</si>
  <si>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</si>
  <si>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</si>
  <si>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</si>
  <si>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</si>
  <si>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</si>
  <si>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</si>
  <si>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</si>
  <si>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</si>
  <si>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</si>
  <si>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</si>
  <si>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</si>
  <si>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</si>
  <si>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</si>
  <si>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</si>
  <si>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</si>
  <si>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</si>
  <si>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</si>
  <si>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</si>
  <si>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</si>
  <si>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</si>
  <si>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</si>
  <si>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</si>
  <si>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</si>
  <si>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</si>
  <si>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</si>
  <si>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</si>
  <si>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</si>
  <si>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</si>
  <si>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</si>
  <si>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</si>
  <si>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</si>
  <si>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</si>
  <si>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</si>
  <si>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</si>
  <si>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</si>
  <si>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</si>
  <si>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</si>
  <si>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</si>
  <si>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</si>
  <si>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</si>
  <si>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</si>
  <si>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</si>
  <si>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</si>
  <si>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</si>
  <si>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</si>
  <si>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</si>
  <si>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</si>
  <si>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</si>
  <si>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</si>
  <si>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</si>
  <si>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</si>
  <si>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</si>
  <si>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</si>
  <si>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</si>
  <si>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</si>
  <si>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</si>
  <si>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</si>
  <si>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</si>
  <si>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</si>
  <si>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</si>
  <si>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</si>
  <si>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</si>
  <si>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</si>
  <si>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</si>
  <si>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</si>
  <si>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</si>
  <si>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</si>
  <si>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</si>
  <si>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</si>
  <si>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</si>
  <si>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</si>
  <si>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</si>
  <si>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</si>
  <si>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</si>
  <si>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</si>
  <si>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</si>
  <si>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</si>
  <si>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</si>
  <si>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</si>
  <si>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</si>
  <si>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</si>
  <si>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</si>
  <si>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</si>
  <si>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</si>
  <si>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</si>
  <si>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</si>
  <si>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</si>
  <si>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</si>
  <si>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</si>
  <si>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</si>
  <si>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</si>
  <si>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</si>
  <si>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</si>
  <si>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</si>
  <si>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</si>
  <si>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</si>
  <si>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</si>
  <si>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</si>
  <si>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</si>
  <si>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</si>
  <si>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</si>
  <si>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</si>
  <si>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</si>
  <si>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</si>
  <si>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</si>
  <si>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</si>
  <si>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</si>
  <si>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</si>
  <si>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</si>
  <si>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</si>
  <si>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</si>
  <si>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</si>
  <si>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</si>
  <si>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</si>
  <si>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</si>
  <si>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</si>
  <si>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</si>
  <si>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</si>
  <si>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</si>
  <si>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</si>
  <si>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</si>
  <si>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</si>
  <si>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</si>
  <si>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</si>
  <si>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</si>
  <si>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</si>
  <si>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</si>
  <si>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</si>
  <si>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</si>
  <si>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</si>
  <si>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</si>
  <si>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</si>
  <si>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</si>
  <si>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</si>
  <si>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</si>
  <si>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</si>
  <si>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</si>
  <si>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</si>
  <si>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</si>
  <si>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</si>
  <si>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</si>
  <si>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</si>
  <si>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</si>
  <si>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</si>
  <si>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</si>
  <si>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</si>
  <si>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</si>
  <si>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</si>
  <si>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</si>
  <si>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</si>
  <si>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</si>
  <si>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</si>
  <si>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</si>
  <si>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</si>
  <si>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</si>
  <si>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</si>
  <si>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</si>
  <si>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</si>
  <si>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</si>
  <si>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</si>
  <si>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</si>
  <si>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</si>
  <si>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</si>
  <si>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</si>
  <si>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</si>
  <si>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</si>
  <si>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</si>
  <si>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</si>
  <si>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</si>
  <si>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</si>
  <si>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</si>
  <si>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</si>
  <si>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</si>
  <si>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</si>
  <si>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</si>
  <si>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</si>
  <si>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</si>
  <si>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</si>
  <si>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</si>
  <si>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</si>
  <si>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</si>
  <si>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</si>
  <si>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</si>
  <si>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</si>
  <si>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</si>
  <si>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</si>
  <si>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</si>
  <si>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</si>
  <si>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</si>
  <si>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</si>
  <si>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</si>
  <si>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</si>
  <si>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</si>
  <si>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</si>
  <si>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</si>
  <si>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</si>
  <si>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</si>
  <si>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</si>
  <si>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</si>
  <si>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</si>
  <si>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</si>
  <si>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</si>
  <si>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</si>
  <si>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</si>
  <si>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</si>
  <si>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</si>
  <si>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</si>
  <si>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</si>
  <si>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</si>
  <si>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</si>
  <si>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</si>
  <si>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</si>
  <si>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</si>
  <si>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</si>
  <si>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</si>
  <si>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</si>
  <si>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</si>
  <si>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</si>
  <si>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</si>
  <si>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</si>
  <si>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</si>
  <si>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</si>
  <si>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</si>
  <si>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</si>
  <si>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</si>
  <si>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</si>
  <si>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</si>
  <si>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</si>
  <si>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</si>
  <si>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</si>
  <si>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</si>
  <si>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</si>
  <si>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</si>
  <si>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</si>
  <si>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</si>
  <si>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</si>
  <si>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</si>
  <si>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</si>
  <si>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</si>
  <si>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</si>
  <si>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</si>
  <si>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</si>
  <si>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</si>
  <si>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</si>
  <si>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</si>
  <si>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</si>
  <si>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</si>
  <si>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</si>
  <si>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</si>
  <si>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</si>
  <si>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</si>
  <si>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</si>
  <si>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</si>
  <si>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</si>
  <si>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</si>
  <si>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</si>
  <si>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</si>
  <si>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</si>
  <si>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</si>
  <si>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</si>
  <si>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</si>
  <si>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</si>
  <si>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</si>
  <si>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</si>
  <si>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</si>
  <si>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</si>
  <si>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</si>
  <si>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</si>
  <si>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</si>
  <si>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</si>
  <si>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</si>
  <si>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</si>
  <si>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</si>
  <si>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</si>
  <si>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</si>
  <si>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</si>
  <si>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</si>
  <si>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</si>
  <si>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</si>
  <si>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</si>
  <si>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</si>
  <si>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</si>
  <si>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</si>
  <si>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</si>
  <si>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</si>
  <si>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</si>
  <si>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</si>
  <si>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</si>
  <si>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</si>
  <si>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</si>
  <si>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</si>
  <si>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</si>
  <si>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</si>
  <si>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</si>
  <si>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</si>
  <si>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</si>
  <si>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</si>
  <si>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</si>
  <si>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</si>
  <si>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</si>
  <si>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</si>
  <si>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</si>
  <si>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</si>
  <si>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</si>
  <si>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</si>
  <si>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</si>
  <si>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</si>
  <si>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</si>
  <si>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</si>
  <si>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</si>
  <si>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</si>
  <si>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</si>
  <si>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</si>
  <si>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</si>
  <si>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</si>
  <si>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</si>
  <si>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</si>
  <si>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</si>
  <si>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</si>
  <si>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</si>
  <si>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</si>
  <si>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</si>
  <si>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</si>
  <si>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</si>
  <si>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</si>
  <si>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</si>
  <si>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</si>
  <si>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</si>
  <si>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</si>
  <si>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</si>
  <si>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</si>
  <si>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</si>
  <si>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</si>
  <si>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</si>
  <si>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</si>
  <si>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</si>
  <si>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</si>
  <si>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</si>
  <si>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</si>
  <si>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</si>
  <si>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</si>
  <si>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</si>
  <si>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</si>
  <si>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</si>
  <si>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</si>
  <si>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</si>
  <si>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</si>
  <si>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</si>
  <si>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</si>
  <si>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</si>
  <si>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</si>
  <si>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</si>
  <si>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</si>
  <si>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</si>
  <si>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</si>
  <si>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</si>
  <si>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</si>
  <si>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</si>
  <si>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</si>
  <si>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</si>
  <si>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</si>
  <si>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</si>
  <si>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</si>
  <si>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</si>
  <si>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</si>
  <si>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</si>
  <si>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</si>
  <si>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</si>
  <si>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</si>
  <si>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</si>
  <si>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</si>
  <si>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</si>
  <si>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</si>
  <si>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</si>
  <si>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</si>
  <si>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</si>
  <si>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</si>
  <si>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</si>
  <si>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</si>
  <si>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</si>
  <si>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</si>
  <si>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</si>
  <si>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</si>
  <si>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</si>
  <si>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</si>
  <si>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</si>
  <si>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</si>
  <si>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</si>
  <si>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</si>
  <si>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</si>
  <si>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</si>
  <si>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</si>
  <si>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</si>
  <si>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</si>
  <si>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</si>
  <si>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</si>
  <si>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</si>
  <si>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</si>
  <si>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</si>
  <si>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</si>
  <si>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</si>
  <si>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</si>
  <si>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</si>
  <si>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</si>
  <si>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</si>
  <si>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</si>
  <si>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</si>
  <si>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</si>
  <si>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</si>
  <si>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</si>
  <si>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</si>
  <si>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</si>
  <si>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</si>
  <si>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</si>
  <si>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</si>
  <si>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</si>
  <si>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</si>
  <si>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</si>
  <si>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</si>
  <si>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</si>
  <si>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</si>
  <si>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</si>
  <si>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</si>
  <si>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</si>
  <si>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</si>
  <si>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</si>
  <si>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</si>
  <si>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</si>
  <si>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</si>
  <si>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</si>
  <si>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</si>
  <si>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</si>
  <si>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</si>
  <si>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</si>
  <si>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</si>
  <si>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</si>
  <si>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</si>
  <si>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</si>
  <si>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</si>
  <si>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</si>
  <si>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</si>
  <si>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</si>
  <si>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</si>
  <si>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</si>
  <si>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</si>
  <si>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</si>
  <si>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</si>
  <si>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</si>
  <si>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</si>
  <si>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</si>
  <si>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</si>
  <si>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</si>
  <si>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</si>
  <si>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</si>
  <si>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</si>
  <si>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</si>
  <si>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</si>
  <si>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</si>
  <si>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</si>
  <si>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</si>
  <si>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</si>
  <si>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</si>
  <si>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</si>
  <si>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</si>
  <si>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</si>
  <si>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</si>
  <si>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</si>
  <si>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</si>
  <si>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</si>
  <si>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</si>
  <si>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</si>
  <si>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</si>
  <si>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</si>
  <si>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</si>
  <si>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</si>
  <si>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</si>
  <si>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</si>
  <si>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</si>
  <si>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</si>
  <si>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</si>
  <si>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</si>
  <si>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</si>
  <si>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</si>
  <si>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</si>
  <si>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</si>
  <si>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</si>
  <si>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</si>
  <si>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</si>
  <si>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</si>
  <si>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</si>
  <si>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</si>
  <si>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</si>
  <si>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</si>
  <si>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</si>
  <si>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</si>
  <si>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</si>
  <si>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</si>
  <si>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</si>
  <si>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</si>
  <si>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</si>
  <si>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</si>
  <si>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</si>
  <si>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</si>
  <si>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</si>
  <si>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</si>
  <si>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</si>
  <si>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</si>
  <si>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</si>
  <si>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</si>
  <si>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</si>
  <si>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</si>
  <si>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</si>
  <si>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</si>
  <si>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</si>
  <si>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</si>
  <si>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</si>
  <si>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</si>
  <si>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</si>
  <si>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</si>
  <si>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</si>
  <si>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</si>
  <si>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</si>
  <si>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</si>
  <si>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</si>
  <si>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</si>
  <si>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</si>
  <si>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</si>
  <si>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</si>
  <si>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</si>
  <si>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</si>
  <si>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</si>
  <si>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</si>
  <si>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</si>
  <si>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</si>
  <si>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</si>
  <si>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</si>
  <si>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</si>
  <si>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</si>
  <si>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</si>
  <si>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</si>
  <si>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</si>
  <si>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</si>
  <si>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</si>
  <si>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</si>
  <si>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</si>
  <si>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</si>
  <si>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</si>
  <si>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</si>
  <si>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</si>
  <si>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</si>
  <si>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</si>
  <si>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</si>
  <si>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</si>
  <si>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</si>
  <si>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</si>
  <si>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</si>
  <si>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</si>
  <si>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</si>
  <si>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</si>
  <si>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</si>
  <si>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</si>
  <si>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</si>
  <si>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</si>
  <si>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</si>
  <si>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</si>
  <si>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</si>
  <si>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</si>
  <si>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</si>
  <si>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</si>
  <si>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</si>
  <si>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</si>
  <si>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</si>
  <si>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</si>
  <si>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</si>
  <si>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</si>
  <si>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</si>
  <si>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</si>
  <si>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</si>
  <si>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</si>
  <si>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</si>
  <si>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</si>
  <si>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</si>
  <si>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</si>
  <si>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</si>
  <si>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</si>
  <si>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</si>
  <si>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</si>
  <si>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</si>
  <si>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</si>
  <si>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</si>
  <si>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</si>
  <si>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</si>
  <si>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</si>
  <si>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</si>
  <si>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</si>
  <si>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</si>
  <si>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</si>
  <si>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</si>
  <si>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</si>
  <si>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</si>
  <si>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</si>
  <si>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</si>
  <si>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</si>
  <si>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</si>
  <si>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</si>
  <si>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</si>
  <si>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</si>
  <si>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</si>
  <si>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</si>
  <si>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</si>
  <si>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</si>
  <si>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</si>
  <si>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</si>
  <si>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</si>
  <si>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</si>
  <si>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</si>
  <si>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</si>
  <si>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</si>
  <si>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</si>
  <si>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</si>
  <si>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</si>
  <si>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</si>
  <si>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</si>
  <si>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</si>
  <si>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</si>
  <si>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</si>
  <si>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</si>
  <si>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</si>
  <si>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</si>
  <si>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</si>
  <si>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</si>
  <si>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</si>
  <si>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</si>
  <si>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</si>
  <si>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</si>
  <si>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</si>
  <si>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</si>
  <si>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</si>
  <si>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</si>
  <si>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</si>
  <si>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</si>
  <si>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</si>
  <si>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</si>
  <si>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</si>
  <si>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</si>
  <si>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</si>
  <si>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</si>
  <si>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</si>
  <si>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</si>
  <si>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</si>
  <si>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</si>
  <si>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</si>
  <si>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</si>
  <si>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</si>
  <si>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</si>
  <si>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</si>
  <si>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</si>
  <si>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</si>
  <si>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</si>
  <si>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</si>
  <si>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</si>
  <si>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</si>
  <si>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</si>
  <si>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</si>
  <si>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</si>
  <si>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</si>
  <si>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</si>
  <si>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</si>
  <si>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</si>
  <si>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</si>
  <si>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</si>
  <si>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</si>
  <si>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</si>
  <si>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</si>
  <si>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</si>
  <si>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</si>
  <si>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</si>
  <si>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</si>
  <si>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</si>
  <si>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</si>
  <si>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</si>
  <si>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</si>
  <si>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</si>
  <si>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</si>
  <si>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</si>
  <si>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</si>
  <si>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</si>
  <si>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</si>
  <si>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</si>
  <si>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</si>
  <si>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</si>
  <si>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</si>
  <si>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</si>
  <si>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</si>
  <si>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</si>
  <si>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</si>
  <si>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</si>
  <si>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</si>
  <si>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</si>
  <si>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</si>
  <si>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</si>
  <si>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</si>
  <si>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</si>
  <si>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</si>
  <si>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</si>
  <si>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</si>
  <si>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</si>
  <si>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</si>
  <si>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</si>
  <si>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</si>
  <si>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</si>
  <si>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</si>
  <si>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</si>
  <si>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</si>
  <si>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</si>
  <si>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</si>
  <si>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</si>
  <si>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</si>
  <si>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</si>
  <si>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</si>
  <si>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</si>
  <si>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</si>
  <si>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</si>
  <si>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</si>
  <si>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</si>
  <si>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</si>
  <si>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</si>
  <si>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</si>
  <si>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</si>
  <si>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</si>
  <si>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</si>
  <si>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</si>
  <si>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</si>
  <si>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</si>
  <si>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</si>
  <si>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</si>
  <si>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</si>
  <si>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</si>
  <si>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</si>
  <si>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</si>
  <si>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</si>
  <si>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</si>
  <si>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</si>
  <si>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</si>
  <si>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</si>
  <si>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</si>
  <si>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</si>
  <si>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</si>
  <si>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</si>
  <si>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</si>
  <si>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</si>
  <si>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</si>
  <si>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</si>
  <si>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</si>
  <si>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</si>
  <si>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</si>
  <si>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</si>
  <si>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</si>
  <si>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</si>
  <si>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</si>
  <si>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</si>
  <si>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</si>
  <si>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</si>
  <si>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</si>
  <si>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</si>
  <si>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</si>
  <si>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</si>
  <si>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</si>
  <si>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</si>
  <si>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</si>
  <si>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</si>
  <si>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</si>
  <si>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</si>
  <si>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</si>
  <si>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</si>
  <si>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</si>
  <si>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</si>
  <si>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</si>
  <si>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</si>
  <si>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</si>
  <si>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</si>
  <si>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</si>
  <si>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</si>
  <si>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</si>
  <si>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</si>
  <si>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</si>
  <si>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</si>
  <si>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</si>
  <si>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</si>
  <si>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</si>
  <si>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</si>
  <si>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</si>
  <si>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</si>
  <si>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</si>
  <si>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</si>
  <si>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</si>
  <si>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</si>
  <si>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</si>
  <si>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</si>
  <si>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</si>
  <si>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</si>
  <si>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</si>
  <si>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</si>
  <si>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</si>
  <si>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</si>
  <si>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</si>
  <si>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</si>
  <si>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</si>
  <si>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</si>
  <si>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</si>
  <si>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</si>
  <si>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</si>
  <si>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</si>
  <si>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</si>
  <si>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</si>
  <si>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</si>
  <si>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</si>
  <si>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</si>
  <si>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</si>
  <si>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</si>
  <si>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</si>
  <si>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</si>
  <si>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</si>
  <si>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</si>
  <si>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</si>
  <si>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</si>
  <si>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</si>
  <si>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</si>
  <si>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</si>
  <si>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</si>
  <si>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</si>
  <si>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</si>
  <si>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</si>
  <si>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</si>
  <si>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</si>
  <si>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</si>
  <si>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</si>
  <si>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</si>
  <si>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</si>
  <si>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</si>
  <si>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</si>
  <si>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</si>
  <si>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</si>
  <si>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</si>
  <si>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</si>
  <si>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</si>
  <si>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</si>
  <si>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</si>
  <si>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</si>
  <si>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</si>
  <si>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</si>
  <si>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</si>
  <si>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</si>
  <si>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</si>
  <si>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</si>
  <si>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</si>
  <si>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</si>
  <si>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</si>
  <si>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</si>
  <si>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</si>
  <si>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</si>
  <si>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</si>
  <si>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</si>
  <si>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</si>
  <si>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</si>
  <si>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</si>
  <si>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</si>
  <si>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</si>
  <si>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</si>
  <si>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</si>
  <si>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</si>
  <si>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</si>
  <si>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</si>
  <si>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</si>
  <si>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</si>
  <si>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</si>
  <si>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</si>
  <si>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</si>
  <si>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</si>
  <si>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</si>
  <si>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</si>
  <si>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</si>
  <si>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</si>
  <si>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</si>
  <si>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</si>
  <si>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</si>
  <si>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</si>
  <si>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</si>
  <si>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</si>
  <si>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</si>
  <si>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</si>
  <si>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</si>
  <si>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</si>
  <si>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</si>
  <si>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</si>
  <si>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</si>
  <si>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</si>
  <si>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</si>
  <si>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</si>
  <si>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</si>
  <si>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</si>
  <si>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</si>
  <si>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</si>
  <si>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</si>
  <si>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</si>
  <si>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</si>
  <si>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</si>
  <si>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</si>
  <si>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</si>
  <si>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</si>
  <si>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</si>
  <si>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</si>
  <si>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</si>
  <si>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</si>
  <si>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</si>
  <si>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</si>
  <si>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</si>
  <si>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</si>
  <si>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</si>
  <si>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</si>
  <si>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</si>
  <si>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</si>
  <si>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</si>
  <si>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</si>
  <si>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</si>
  <si>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</si>
  <si>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</si>
  <si>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</si>
  <si>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</si>
  <si>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</si>
  <si>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</si>
  <si>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</si>
  <si>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</si>
  <si>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</si>
  <si>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</si>
  <si>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</si>
  <si>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</si>
  <si>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</si>
  <si>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</si>
  <si>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</si>
  <si>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</si>
  <si>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</si>
  <si>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</si>
  <si>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</si>
  <si>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</si>
  <si>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</si>
  <si>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</si>
  <si>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</si>
  <si>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</si>
  <si>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</si>
  <si>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</si>
  <si>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</si>
  <si>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</si>
  <si>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</si>
  <si>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</si>
  <si>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</si>
  <si>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</si>
  <si>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</si>
  <si>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</si>
  <si>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</si>
  <si>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</si>
  <si>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</si>
  <si>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</si>
  <si>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</si>
  <si>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</si>
  <si>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</si>
  <si>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</si>
  <si>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</si>
  <si>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</si>
  <si>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</si>
  <si>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</si>
  <si>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</si>
  <si>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</si>
  <si>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</si>
  <si>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</si>
  <si>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</si>
  <si>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</si>
  <si>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</si>
  <si>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</si>
  <si>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</si>
  <si>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</si>
  <si>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</si>
  <si>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</si>
  <si>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</si>
  <si>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</si>
  <si>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</si>
  <si>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</si>
  <si>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</si>
  <si>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</si>
  <si>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</si>
  <si>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</si>
  <si>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</si>
  <si>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</si>
  <si>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</si>
  <si>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</si>
  <si>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</si>
  <si>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</si>
  <si>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</si>
  <si>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</si>
  <si>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</si>
  <si>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</si>
  <si>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</si>
  <si>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</si>
  <si>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</si>
  <si>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</si>
  <si>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</si>
  <si>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</si>
  <si>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</si>
  <si>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</si>
  <si>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</si>
  <si>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</si>
  <si>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</si>
  <si>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</si>
  <si>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</si>
  <si>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</si>
  <si>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</si>
  <si>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</si>
  <si>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</si>
  <si>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</si>
  <si>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</si>
  <si>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</si>
  <si>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</si>
  <si>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</si>
  <si>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</si>
  <si>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</si>
  <si>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</si>
  <si>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</si>
  <si>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</si>
  <si>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</si>
  <si>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</si>
  <si>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</si>
  <si>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</si>
  <si>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</si>
  <si>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</si>
  <si>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</si>
  <si>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</si>
  <si>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</si>
  <si>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</si>
  <si>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</si>
  <si>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</si>
  <si>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</si>
  <si>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</si>
  <si>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</si>
  <si>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</si>
  <si>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</si>
  <si>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</si>
  <si>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</si>
  <si>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</si>
  <si>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</si>
  <si>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</si>
  <si>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</si>
  <si>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</si>
  <si>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</si>
  <si>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</si>
  <si>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</si>
  <si>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</si>
  <si>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</si>
  <si>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</si>
  <si>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</si>
  <si>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</si>
  <si>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</si>
  <si>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</si>
  <si>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</si>
  <si>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</si>
  <si>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</si>
  <si>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</si>
  <si>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</si>
  <si>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</si>
  <si>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</si>
  <si>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</si>
  <si>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</si>
  <si>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</si>
  <si>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</si>
  <si>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</si>
  <si>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</si>
  <si>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Positve is negative movement</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</si>
  <si>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</si>
  <si>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</si>
  <si>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</si>
  <si>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</si>
  <si>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</si>
  <si>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</si>
  <si>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</si>
  <si>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</si>
  <si>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</si>
  <si>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</si>
  <si>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</si>
  <si>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</si>
  <si>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</si>
  <si>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</si>
  <si>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</si>
  <si>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</si>
  <si>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</si>
  <si>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</si>
  <si>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</si>
  <si>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</si>
  <si>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</si>
  <si>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</si>
  <si>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</si>
  <si>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</si>
  <si>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</si>
  <si>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</si>
  <si>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</si>
  <si>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</si>
  <si>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</si>
  <si>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</si>
  <si>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</si>
  <si>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</si>
  <si>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</si>
  <si>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</si>
  <si>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</si>
  <si>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</si>
  <si>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</si>
  <si>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</si>
  <si>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</si>
  <si>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</si>
  <si>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</si>
  <si>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</si>
  <si>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</si>
  <si>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</si>
  <si>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</si>
  <si>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</si>
  <si>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</si>
  <si>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</si>
  <si>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</si>
  <si>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</si>
  <si>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</si>
  <si>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</si>
  <si>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</si>
  <si>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</si>
  <si>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</si>
  <si>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</si>
  <si>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</si>
  <si>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</si>
  <si>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</si>
  <si>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</si>
  <si>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</si>
  <si>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</si>
  <si>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</si>
  <si>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</si>
  <si>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</si>
  <si>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</si>
  <si>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</si>
  <si>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</si>
  <si>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</si>
  <si>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</si>
  <si>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</si>
  <si>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</si>
  <si>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</si>
  <si>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</si>
  <si>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</si>
  <si>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</si>
  <si>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</si>
  <si>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</si>
  <si>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</si>
  <si>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</si>
  <si>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</si>
  <si>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</si>
  <si>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</si>
  <si>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</si>
  <si>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</si>
  <si>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</si>
  <si>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</si>
  <si>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</si>
  <si>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</si>
  <si>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</si>
  <si>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</si>
  <si>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</si>
  <si>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</si>
  <si>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</si>
  <si>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</si>
  <si>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</si>
  <si>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</si>
  <si>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</si>
  <si>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</si>
  <si>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</si>
  <si>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</si>
  <si>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</si>
  <si>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</si>
  <si>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</si>
  <si>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</si>
  <si>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</si>
  <si>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</si>
  <si>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</si>
  <si>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</si>
  <si>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</si>
  <si>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</si>
  <si>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</si>
  <si>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</si>
  <si>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</si>
  <si>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</si>
  <si>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</si>
  <si>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</si>
  <si>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</si>
  <si>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</si>
  <si>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</si>
  <si>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</si>
  <si>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</si>
  <si>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</si>
  <si>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</si>
  <si>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</si>
  <si>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</si>
  <si>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</si>
  <si>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</si>
  <si>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</si>
  <si>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</si>
  <si>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</si>
  <si>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</si>
  <si>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</si>
  <si>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</si>
  <si>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</si>
  <si>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</si>
  <si>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</si>
  <si>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</si>
  <si>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</si>
  <si>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</si>
  <si>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</si>
  <si>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</si>
  <si>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</si>
  <si>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</si>
  <si>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</si>
  <si>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</si>
  <si>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</si>
  <si>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</si>
  <si>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</si>
  <si>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</si>
  <si>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</si>
  <si>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</si>
  <si>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</si>
  <si>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</si>
  <si>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</si>
  <si>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</si>
  <si>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</si>
  <si>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</si>
  <si>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</si>
  <si>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</si>
  <si>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</si>
  <si>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</si>
  <si>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</si>
  <si>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</si>
  <si>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</si>
  <si>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</si>
  <si>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</si>
  <si>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</si>
  <si>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</si>
  <si>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</si>
  <si>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</si>
  <si>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</si>
  <si>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</si>
  <si>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</si>
  <si>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</si>
  <si>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</si>
  <si>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</si>
  <si>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</si>
  <si>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</si>
  <si>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</si>
  <si>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</si>
  <si>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</si>
  <si>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</si>
  <si>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</si>
  <si>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</si>
  <si>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</si>
  <si>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</si>
  <si>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</si>
  <si>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</si>
  <si>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</si>
  <si>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</si>
  <si>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</si>
  <si>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</si>
  <si>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</si>
  <si>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</si>
  <si>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</si>
  <si>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</si>
  <si>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</si>
  <si>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</si>
  <si>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</si>
  <si>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</si>
  <si>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</si>
  <si>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</si>
  <si>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</si>
  <si>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</si>
  <si>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</si>
  <si>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</si>
  <si>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</si>
  <si>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</si>
  <si>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</si>
  <si>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</si>
  <si>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</si>
  <si>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</si>
  <si>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</si>
  <si>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</si>
  <si>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</si>
  <si>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</si>
  <si>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</si>
  <si>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</si>
  <si>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</si>
  <si>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</si>
  <si>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</si>
  <si>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</si>
  <si>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</si>
  <si>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</si>
  <si>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</si>
  <si>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</si>
  <si>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</si>
  <si>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</si>
  <si>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</si>
  <si>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</si>
  <si>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</si>
  <si>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</si>
  <si>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</si>
  <si>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</si>
  <si>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</si>
  <si>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</si>
  <si>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</si>
  <si>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</si>
  <si>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</si>
  <si>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</si>
  <si>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</si>
  <si>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Dustin Mullens</t>
  </si>
  <si>
    <t>Sarah Sands</t>
  </si>
  <si>
    <t>Emily Budd</t>
  </si>
  <si>
    <t>Matt Rozon</t>
  </si>
  <si>
    <t>Alexis Murphy</t>
  </si>
  <si>
    <t>Roland Elliott</t>
  </si>
  <si>
    <t>Moira O’Hara</t>
  </si>
  <si>
    <t>D. mat F</t>
  </si>
  <si>
    <t>D. lab - U</t>
  </si>
  <si>
    <t>P o/h - U</t>
  </si>
  <si>
    <t>Dsitribution costs - U</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</si>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</sst>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03">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43" fontId="0" fillId="7" borderId="32" xfId="1" applyFont="1" applyFill="1" applyBorder="1"/>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41" fontId="9" fillId="9" borderId="24" xfId="4" applyNumberFormat="1" applyFont="1" applyFill="1" applyBorder="1" applyAlignment="1">
      <alignment horizontal="right" vertical="center" wrapText="1"/>
    </xf>
    <xf numFmtId="41" fontId="9" fillId="9" borderId="33" xfId="4" applyNumberFormat="1" applyFont="1" applyFill="1" applyBorder="1" applyAlignment="1">
      <alignment horizontal="right" vertical="center" wrapText="1"/>
    </xf>
    <xf numFmtId="41" fontId="9" fillId="10" borderId="28" xfId="4" applyNumberFormat="1" applyFont="1" applyFill="1" applyBorder="1" applyAlignment="1">
      <alignment horizontal="right" vertical="center" wrapText="1"/>
    </xf>
    <xf numFmtId="0" fontId="20" fillId="7" borderId="24" xfId="4" applyFont="1" applyFill="1" applyBorder="1" applyAlignment="1">
      <alignment vertical="center" wrapText="1"/>
    </xf>
    <xf numFmtId="41" fontId="9" fillId="7" borderId="28" xfId="4" applyNumberFormat="1" applyFont="1" applyFill="1" applyBorder="1" applyAlignment="1">
      <alignment horizontal="right" vertical="center" wrapText="1"/>
    </xf>
    <xf numFmtId="41" fontId="9" fillId="10" borderId="24" xfId="4" applyNumberFormat="1" applyFont="1" applyFill="1" applyBorder="1" applyAlignment="1">
      <alignment horizontal="right" vertical="center" wrapText="1"/>
    </xf>
    <xf numFmtId="41" fontId="9" fillId="10" borderId="33" xfId="4" applyNumberFormat="1" applyFont="1" applyFill="1" applyBorder="1" applyAlignment="1">
      <alignment horizontal="right" vertical="center" wrapText="1"/>
    </xf>
    <xf numFmtId="0" fontId="10" fillId="7" borderId="25" xfId="4" applyFont="1" applyFill="1" applyBorder="1" applyAlignment="1">
      <alignment vertical="center" wrapText="1"/>
    </xf>
    <xf numFmtId="41" fontId="9" fillId="9" borderId="30" xfId="4" applyNumberFormat="1" applyFont="1" applyFill="1" applyBorder="1" applyAlignment="1">
      <alignment horizontal="righ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41" fontId="9" fillId="7" borderId="25" xfId="4" applyNumberFormat="1" applyFont="1" applyFill="1" applyBorder="1" applyAlignment="1">
      <alignment horizontal="right" vertical="center" wrapText="1"/>
    </xf>
    <xf numFmtId="0" fontId="9" fillId="7" borderId="24" xfId="4" applyFont="1" applyFill="1" applyBorder="1" applyAlignment="1">
      <alignment horizontal="left" vertical="center" wrapText="1"/>
    </xf>
    <xf numFmtId="41" fontId="9" fillId="9" borderId="25" xfId="4" applyNumberFormat="1" applyFont="1" applyFill="1" applyBorder="1" applyAlignment="1">
      <alignment horizontal="right" vertical="center" wrapText="1"/>
    </xf>
    <xf numFmtId="41" fontId="9" fillId="10" borderId="26" xfId="4" applyNumberFormat="1" applyFont="1" applyFill="1" applyBorder="1" applyAlignment="1">
      <alignment horizontal="righ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9" fillId="0" borderId="32" xfId="4" applyFont="1" applyFill="1" applyBorder="1" applyAlignment="1">
      <alignment vertical="center" wrapText="1"/>
    </xf>
    <xf numFmtId="0" fontId="9" fillId="0" borderId="1" xfId="4" applyFont="1" applyFill="1" applyBorder="1" applyAlignment="1">
      <alignment vertical="center" wrapText="1"/>
    </xf>
    <xf numFmtId="0" fontId="10" fillId="0" borderId="0" xfId="4" applyFont="1" applyFill="1" applyAlignment="1">
      <alignment vertical="center" wrapText="1"/>
    </xf>
    <xf numFmtId="41" fontId="9" fillId="2" borderId="24" xfId="4" applyNumberFormat="1" applyFont="1" applyFill="1" applyBorder="1" applyAlignment="1">
      <alignment horizontal="righ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9" fillId="0" borderId="4" xfId="4" applyFont="1" applyFill="1" applyBorder="1" applyAlignment="1">
      <alignment vertical="center" wrapText="1"/>
    </xf>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9" fillId="0" borderId="4" xfId="1" applyFont="1" applyFill="1" applyBorder="1" applyAlignment="1">
      <alignment vertical="center" wrapText="1"/>
    </xf>
    <xf numFmtId="43" fontId="9" fillId="0" borderId="1" xfId="1" applyFont="1" applyFill="1" applyBorder="1" applyAlignment="1">
      <alignment vertical="center" wrapText="1"/>
    </xf>
    <xf numFmtId="43" fontId="16" fillId="0" borderId="0" xfId="1" applyFont="1"/>
    <xf numFmtId="0" fontId="18" fillId="0" borderId="0" xfId="0" applyFont="1" applyAlignment="1">
      <alignment horizontal="left"/>
    </xf>
    <xf numFmtId="43" fontId="0" fillId="0" borderId="0" xfId="0" applyNumberFormat="1" applyFont="1" applyBorder="1"/>
    <xf numFmtId="43" fontId="1" fillId="0" borderId="0" xfId="1" applyFont="1" applyBorder="1"/>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43" fontId="1" fillId="0" borderId="0" xfId="0" applyNumberFormat="1" applyFont="1" applyBorder="1"/>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0" fillId="7" borderId="1" xfId="0" applyFill="1" applyBorder="1"/>
    <xf numFmtId="43" fontId="0" fillId="7" borderId="1" xfId="1" applyFont="1" applyFill="1" applyBorder="1"/>
    <xf numFmtId="43" fontId="23" fillId="0" borderId="0" xfId="0" applyNumberFormat="1" applyFont="1" applyFill="1"/>
    <xf numFmtId="41" fontId="9" fillId="2" borderId="25" xfId="4" applyNumberFormat="1" applyFont="1" applyFill="1" applyBorder="1" applyAlignment="1">
      <alignment horizontal="right" vertical="center" wrapText="1"/>
    </xf>
    <xf numFmtId="41" fontId="9" fillId="2" borderId="33" xfId="4" applyNumberFormat="1" applyFont="1" applyFill="1" applyBorder="1" applyAlignment="1">
      <alignment horizontal="right" vertical="center" wrapText="1"/>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8" xfId="0" applyFont="1" applyFill="1" applyBorder="1" applyAlignment="1">
      <alignment wrapText="1"/>
    </xf>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1" xfId="0" applyNumberFormat="1" applyFill="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3" sqref="B3"/>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1889</v>
      </c>
    </row>
    <row r="8" spans="2:12" x14ac:dyDescent="0.25">
      <c r="B8" s="163" t="s">
        <v>1378</v>
      </c>
    </row>
    <row r="9" spans="2:12" x14ac:dyDescent="0.25">
      <c r="B9" s="163" t="s">
        <v>1885</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1887</v>
      </c>
    </row>
    <row r="28" spans="2:13" x14ac:dyDescent="0.25">
      <c r="B28" s="163" t="s">
        <v>1231</v>
      </c>
    </row>
    <row r="29" spans="2:13" x14ac:dyDescent="0.25">
      <c r="B29" s="163" t="s">
        <v>1888</v>
      </c>
    </row>
    <row r="30" spans="2:13" x14ac:dyDescent="0.25">
      <c r="B30" s="163" t="s">
        <v>21</v>
      </c>
    </row>
    <row r="31" spans="2:13" x14ac:dyDescent="0.25">
      <c r="B31" s="163" t="s">
        <v>1890</v>
      </c>
    </row>
    <row r="32" spans="2:13" x14ac:dyDescent="0.25">
      <c r="B32" s="163" t="s">
        <v>1972</v>
      </c>
    </row>
    <row r="33" spans="2:2" x14ac:dyDescent="0.25">
      <c r="B33" s="163" t="s">
        <v>1973</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05" t="s">
        <v>126</v>
      </c>
      <c r="C37" s="805"/>
      <c r="D37" s="805"/>
      <c r="E37" s="805"/>
      <c r="F37" s="805"/>
      <c r="G37" s="805"/>
      <c r="H37" s="805"/>
    </row>
    <row r="38" spans="2:8" x14ac:dyDescent="0.25">
      <c r="B38" s="805"/>
      <c r="C38" s="805"/>
      <c r="D38" s="805"/>
      <c r="E38" s="805"/>
      <c r="F38" s="805"/>
      <c r="G38" s="805"/>
      <c r="H38" s="805"/>
    </row>
    <row r="39" spans="2:8" x14ac:dyDescent="0.25">
      <c r="B39" s="805"/>
      <c r="C39" s="805"/>
      <c r="D39" s="805"/>
      <c r="E39" s="805"/>
      <c r="F39" s="805"/>
      <c r="G39" s="805"/>
      <c r="H39" s="805"/>
    </row>
    <row r="40" spans="2:8" x14ac:dyDescent="0.25">
      <c r="B40" s="805"/>
      <c r="C40" s="805"/>
      <c r="D40" s="805"/>
      <c r="E40" s="805"/>
      <c r="F40" s="805"/>
      <c r="G40" s="805"/>
      <c r="H40" s="805"/>
    </row>
    <row r="41" spans="2:8" x14ac:dyDescent="0.25">
      <c r="B41" s="805"/>
      <c r="C41" s="805"/>
      <c r="D41" s="805"/>
      <c r="E41" s="805"/>
      <c r="F41" s="805"/>
      <c r="G41" s="805"/>
      <c r="H41" s="805"/>
    </row>
    <row r="42" spans="2:8" x14ac:dyDescent="0.25">
      <c r="B42" s="805"/>
      <c r="C42" s="805"/>
      <c r="D42" s="805"/>
      <c r="E42" s="805"/>
      <c r="F42" s="805"/>
      <c r="G42" s="805"/>
      <c r="H42" s="805"/>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8"/>
    <col min="2" max="2" width="73.5703125" style="228" customWidth="1"/>
    <col min="3" max="3" width="93.140625" style="228" hidden="1" customWidth="1"/>
    <col min="4" max="6" width="17.28515625" style="245" customWidth="1"/>
    <col min="7" max="7" width="14.42578125" style="245" customWidth="1"/>
    <col min="8" max="8" width="13.42578125" style="245" customWidth="1"/>
    <col min="9" max="9" width="12.140625" style="245" customWidth="1"/>
    <col min="10" max="10" width="13.42578125" style="245" customWidth="1"/>
    <col min="11" max="11" width="10.42578125" style="245" customWidth="1"/>
    <col min="12" max="12" width="11.5703125" style="245" customWidth="1"/>
    <col min="13" max="13" width="10.42578125" style="245" customWidth="1"/>
    <col min="14" max="14" width="10.85546875" style="245" customWidth="1"/>
    <col min="15" max="15" width="15" style="245" customWidth="1"/>
    <col min="16" max="16" width="11.5703125" style="245" customWidth="1"/>
    <col min="17" max="17" width="15" style="245" customWidth="1"/>
    <col min="18" max="24" width="11.5703125" style="245" customWidth="1"/>
    <col min="25" max="25" width="10.42578125" style="245" customWidth="1"/>
    <col min="26" max="26" width="10" style="245" customWidth="1"/>
    <col min="27" max="27" width="17.28515625" style="245" customWidth="1"/>
    <col min="28" max="28" width="3.5703125" style="228"/>
    <col min="29" max="38" width="3.5703125" style="267"/>
    <col min="39" max="39" width="40.5703125" style="267" customWidth="1"/>
    <col min="40" max="40" width="25.42578125" style="267" customWidth="1"/>
    <col min="41" max="41" width="29.5703125" style="267" customWidth="1"/>
    <col min="42" max="42" width="6.5703125" style="267" customWidth="1"/>
    <col min="43" max="44" width="3.5703125" style="267"/>
    <col min="45" max="45" width="60.140625" style="267" customWidth="1"/>
    <col min="46" max="46" width="3.5703125" style="267" customWidth="1"/>
    <col min="47" max="47" width="20.85546875" style="267" customWidth="1"/>
    <col min="48" max="48" width="20.5703125" style="267" customWidth="1"/>
    <col min="49" max="53" width="3.5703125" style="267"/>
    <col min="54" max="54" width="6.28515625" style="267" bestFit="1" customWidth="1"/>
    <col min="55" max="55" width="3.5703125" style="267"/>
    <col min="56" max="56" width="17.28515625" style="267" customWidth="1"/>
    <col min="57" max="57" width="6.85546875" style="267" bestFit="1" customWidth="1"/>
    <col min="58" max="59" width="3.5703125" style="267"/>
    <col min="60" max="61" width="13.85546875" style="267" bestFit="1" customWidth="1"/>
    <col min="62" max="63" width="3.5703125" style="267"/>
    <col min="64" max="72" width="3.5703125" style="400"/>
    <col min="73" max="16384" width="3.5703125" style="228"/>
  </cols>
  <sheetData>
    <row r="2" spans="2:72" ht="18.75" customHeight="1" x14ac:dyDescent="0.25">
      <c r="B2" s="226" t="s">
        <v>654</v>
      </c>
      <c r="C2" s="808" t="s">
        <v>655</v>
      </c>
      <c r="D2" s="227"/>
      <c r="E2" s="227"/>
      <c r="F2" s="227"/>
      <c r="G2" s="299"/>
      <c r="H2" s="299"/>
      <c r="I2" s="299"/>
      <c r="J2" s="299"/>
      <c r="K2" s="299"/>
      <c r="L2" s="299"/>
      <c r="M2" s="299"/>
      <c r="N2" s="299"/>
      <c r="O2" s="299"/>
      <c r="P2" s="299"/>
      <c r="Q2" s="299"/>
      <c r="R2" s="299"/>
      <c r="S2" s="299"/>
      <c r="T2" s="299"/>
      <c r="U2" s="299"/>
      <c r="V2" s="299"/>
      <c r="W2" s="299"/>
      <c r="X2" s="299"/>
      <c r="Y2" s="299"/>
      <c r="Z2" s="299"/>
      <c r="AA2" s="227"/>
      <c r="AM2" s="268" t="s">
        <v>771</v>
      </c>
      <c r="AN2" s="365">
        <f>SUM(AN6:AN1048576)</f>
        <v>10658.599999999999</v>
      </c>
      <c r="AO2" s="365">
        <f>SUM(AO6:AO1048576)</f>
        <v>10658.6</v>
      </c>
      <c r="AP2" s="365">
        <f>AO2-AN2</f>
        <v>0</v>
      </c>
    </row>
    <row r="3" spans="2:72" ht="18.75" customHeight="1" x14ac:dyDescent="0.25">
      <c r="B3" s="229" t="s">
        <v>656</v>
      </c>
      <c r="C3" s="809"/>
      <c r="D3" s="227"/>
      <c r="E3" s="227"/>
      <c r="F3" s="282"/>
      <c r="G3" s="806">
        <v>1</v>
      </c>
      <c r="H3" s="811"/>
      <c r="I3" s="806">
        <v>2</v>
      </c>
      <c r="J3" s="811"/>
      <c r="K3" s="806">
        <v>3</v>
      </c>
      <c r="L3" s="807"/>
      <c r="M3" s="811">
        <v>4</v>
      </c>
      <c r="N3" s="807"/>
      <c r="O3" s="806">
        <v>5</v>
      </c>
      <c r="P3" s="807"/>
      <c r="Q3" s="806">
        <v>6</v>
      </c>
      <c r="R3" s="807"/>
      <c r="S3" s="806">
        <v>7</v>
      </c>
      <c r="T3" s="807"/>
      <c r="U3" s="806">
        <v>8</v>
      </c>
      <c r="V3" s="807"/>
      <c r="W3" s="806">
        <v>9</v>
      </c>
      <c r="X3" s="807"/>
      <c r="Y3" s="806">
        <v>10</v>
      </c>
      <c r="Z3" s="807"/>
      <c r="AA3" s="310"/>
    </row>
    <row r="4" spans="2:72" ht="18.75" customHeight="1" thickBot="1" x14ac:dyDescent="0.3">
      <c r="B4" s="230" t="s">
        <v>870</v>
      </c>
      <c r="C4" s="810"/>
      <c r="D4" s="231" t="s">
        <v>657</v>
      </c>
      <c r="E4" s="231" t="s">
        <v>658</v>
      </c>
      <c r="F4" s="283" t="s">
        <v>659</v>
      </c>
      <c r="G4" s="300" t="s">
        <v>660</v>
      </c>
      <c r="H4" s="283" t="s">
        <v>661</v>
      </c>
      <c r="I4" s="300" t="s">
        <v>660</v>
      </c>
      <c r="J4" s="283" t="s">
        <v>661</v>
      </c>
      <c r="K4" s="300" t="s">
        <v>660</v>
      </c>
      <c r="L4" s="301" t="s">
        <v>661</v>
      </c>
      <c r="M4" s="293" t="s">
        <v>660</v>
      </c>
      <c r="N4" s="301" t="s">
        <v>661</v>
      </c>
      <c r="O4" s="300" t="s">
        <v>660</v>
      </c>
      <c r="P4" s="301" t="s">
        <v>661</v>
      </c>
      <c r="Q4" s="300" t="s">
        <v>660</v>
      </c>
      <c r="R4" s="301" t="s">
        <v>661</v>
      </c>
      <c r="S4" s="300" t="s">
        <v>660</v>
      </c>
      <c r="T4" s="301" t="s">
        <v>661</v>
      </c>
      <c r="U4" s="300" t="s">
        <v>660</v>
      </c>
      <c r="V4" s="301" t="s">
        <v>661</v>
      </c>
      <c r="W4" s="300" t="s">
        <v>660</v>
      </c>
      <c r="X4" s="301" t="s">
        <v>661</v>
      </c>
      <c r="Y4" s="300" t="s">
        <v>660</v>
      </c>
      <c r="Z4" s="301" t="s">
        <v>661</v>
      </c>
      <c r="AA4" s="293" t="s">
        <v>662</v>
      </c>
      <c r="AM4" s="268" t="s">
        <v>259</v>
      </c>
      <c r="AN4" s="269" t="s">
        <v>141</v>
      </c>
      <c r="AO4" s="269" t="s">
        <v>141</v>
      </c>
      <c r="BC4" s="373" t="s">
        <v>747</v>
      </c>
      <c r="BH4" s="263"/>
    </row>
    <row r="5" spans="2:72" ht="18.75" customHeight="1" thickBot="1" x14ac:dyDescent="0.3">
      <c r="B5" s="232"/>
      <c r="C5" s="233" t="s">
        <v>663</v>
      </c>
      <c r="D5" s="231" t="s">
        <v>141</v>
      </c>
      <c r="E5" s="231" t="s">
        <v>141</v>
      </c>
      <c r="F5" s="283" t="s">
        <v>141</v>
      </c>
      <c r="G5" s="300" t="s">
        <v>141</v>
      </c>
      <c r="H5" s="283" t="s">
        <v>141</v>
      </c>
      <c r="I5" s="300" t="s">
        <v>141</v>
      </c>
      <c r="J5" s="283" t="s">
        <v>141</v>
      </c>
      <c r="K5" s="300" t="s">
        <v>141</v>
      </c>
      <c r="L5" s="301" t="s">
        <v>141</v>
      </c>
      <c r="M5" s="293" t="s">
        <v>141</v>
      </c>
      <c r="N5" s="231" t="s">
        <v>141</v>
      </c>
      <c r="O5" s="231" t="s">
        <v>141</v>
      </c>
      <c r="P5" s="231" t="s">
        <v>141</v>
      </c>
      <c r="Q5" s="231" t="s">
        <v>141</v>
      </c>
      <c r="R5" s="231" t="s">
        <v>141</v>
      </c>
      <c r="S5" s="231" t="s">
        <v>141</v>
      </c>
      <c r="T5" s="231" t="s">
        <v>141</v>
      </c>
      <c r="U5" s="231" t="s">
        <v>141</v>
      </c>
      <c r="V5" s="231" t="s">
        <v>141</v>
      </c>
      <c r="W5" s="231" t="s">
        <v>141</v>
      </c>
      <c r="X5" s="231" t="s">
        <v>141</v>
      </c>
      <c r="Y5" s="231" t="s">
        <v>141</v>
      </c>
      <c r="Z5" s="231" t="s">
        <v>141</v>
      </c>
      <c r="AA5" s="293" t="s">
        <v>10</v>
      </c>
    </row>
    <row r="6" spans="2:72" ht="18.75" customHeight="1" thickBot="1" x14ac:dyDescent="0.3">
      <c r="B6" s="229" t="s">
        <v>664</v>
      </c>
      <c r="C6" s="234"/>
      <c r="D6" s="235"/>
      <c r="E6" s="235"/>
      <c r="F6" s="284"/>
      <c r="G6" s="302"/>
      <c r="H6" s="284"/>
      <c r="I6" s="302"/>
      <c r="J6" s="284"/>
      <c r="K6" s="302"/>
      <c r="L6" s="303"/>
      <c r="M6" s="294"/>
      <c r="N6" s="303"/>
      <c r="O6" s="302"/>
      <c r="P6" s="303"/>
      <c r="Q6" s="302"/>
      <c r="R6" s="303"/>
      <c r="S6" s="382"/>
      <c r="T6" s="383"/>
      <c r="U6" s="382"/>
      <c r="V6" s="383"/>
      <c r="W6" s="320"/>
      <c r="X6" s="320"/>
      <c r="Y6" s="302"/>
      <c r="Z6" s="303"/>
      <c r="AA6" s="294"/>
      <c r="AL6" s="270">
        <v>1</v>
      </c>
      <c r="AM6" s="267" t="s">
        <v>698</v>
      </c>
      <c r="AN6" s="271">
        <f>AU12</f>
        <v>1000</v>
      </c>
      <c r="AS6" s="272" t="s">
        <v>705</v>
      </c>
      <c r="AT6" s="273"/>
      <c r="AU6" s="277" t="s">
        <v>531</v>
      </c>
      <c r="AV6" s="189">
        <v>0.2</v>
      </c>
    </row>
    <row r="7" spans="2:72" ht="18.75" customHeight="1" x14ac:dyDescent="0.25">
      <c r="B7" s="229" t="s">
        <v>73</v>
      </c>
      <c r="C7" s="234"/>
      <c r="D7" s="235"/>
      <c r="E7" s="235"/>
      <c r="F7" s="284"/>
      <c r="G7" s="302"/>
      <c r="H7" s="284"/>
      <c r="I7" s="302"/>
      <c r="J7" s="284"/>
      <c r="K7" s="302"/>
      <c r="L7" s="303"/>
      <c r="M7" s="294"/>
      <c r="N7" s="303"/>
      <c r="O7" s="302"/>
      <c r="P7" s="303"/>
      <c r="Q7" s="302"/>
      <c r="R7" s="303"/>
      <c r="S7" s="382"/>
      <c r="T7" s="383"/>
      <c r="U7" s="382"/>
      <c r="V7" s="383"/>
      <c r="W7" s="320"/>
      <c r="X7" s="320"/>
      <c r="Y7" s="302"/>
      <c r="Z7" s="303"/>
      <c r="AA7" s="294"/>
      <c r="AM7" s="267" t="s">
        <v>699</v>
      </c>
      <c r="AN7" s="271">
        <f>AU14</f>
        <v>3260</v>
      </c>
      <c r="AS7" s="273"/>
      <c r="AT7" s="273"/>
      <c r="AU7" s="273"/>
      <c r="AV7"/>
      <c r="BC7" s="279" t="s">
        <v>762</v>
      </c>
      <c r="BH7" s="266"/>
    </row>
    <row r="8" spans="2:72" ht="18.75" customHeight="1" x14ac:dyDescent="0.25">
      <c r="B8" s="232" t="s">
        <v>665</v>
      </c>
      <c r="C8" s="234"/>
      <c r="D8" s="236">
        <v>147000</v>
      </c>
      <c r="E8" s="236">
        <v>82000</v>
      </c>
      <c r="F8" s="285">
        <f>SUM(D8:E8)</f>
        <v>229000</v>
      </c>
      <c r="G8" s="304"/>
      <c r="H8" s="325"/>
      <c r="I8" s="304"/>
      <c r="J8" s="325"/>
      <c r="K8" s="304"/>
      <c r="L8" s="305"/>
      <c r="M8" s="295"/>
      <c r="N8" s="305"/>
      <c r="O8" s="304"/>
      <c r="P8" s="305"/>
      <c r="Q8" s="304"/>
      <c r="R8" s="305"/>
      <c r="S8" s="384"/>
      <c r="T8" s="379"/>
      <c r="U8" s="384"/>
      <c r="V8" s="379"/>
      <c r="W8" s="321">
        <f>SUMIF($AM$71:$AM$82,"DR PPE - Cost",AN$71:AN$82)+SUMIF($AM$71:$AM$82,"DR PPE - Accumulated depreciation",AN$71:AN$82)</f>
        <v>0</v>
      </c>
      <c r="X8" s="321">
        <f>SUMIF($AM$71:$AM$82,"CR PPE - Cost",AO$71:AO$82)+SUMIF($AM$71:$AM$82,"CR PPE - Accumulated depreciation",AO$71:AO$82)</f>
        <v>0</v>
      </c>
      <c r="Y8" s="304"/>
      <c r="Z8" s="305"/>
      <c r="AA8" s="311">
        <f>SUM(F8:Z8)</f>
        <v>229000</v>
      </c>
      <c r="AM8" s="267" t="s">
        <v>750</v>
      </c>
      <c r="AN8" s="274">
        <f>AU15</f>
        <v>0</v>
      </c>
      <c r="AS8" s="273" t="s">
        <v>530</v>
      </c>
      <c r="AT8" s="273"/>
      <c r="AU8" s="273"/>
      <c r="AV8" s="246">
        <v>4500</v>
      </c>
      <c r="BC8" s="279" t="s">
        <v>764</v>
      </c>
      <c r="BG8" s="266"/>
    </row>
    <row r="9" spans="2:72" ht="18.75" customHeight="1" x14ac:dyDescent="0.25">
      <c r="B9" s="232"/>
      <c r="C9" s="234"/>
      <c r="D9" s="235"/>
      <c r="E9" s="235"/>
      <c r="F9" s="284"/>
      <c r="G9" s="304"/>
      <c r="H9" s="325"/>
      <c r="I9" s="304"/>
      <c r="J9" s="325"/>
      <c r="K9" s="304"/>
      <c r="L9" s="305"/>
      <c r="M9" s="295"/>
      <c r="N9" s="305"/>
      <c r="O9" s="304"/>
      <c r="P9" s="305"/>
      <c r="Q9" s="304"/>
      <c r="R9" s="305"/>
      <c r="S9" s="384"/>
      <c r="T9" s="379"/>
      <c r="U9" s="384"/>
      <c r="V9" s="379"/>
      <c r="W9" s="321"/>
      <c r="X9" s="321"/>
      <c r="Y9" s="304"/>
      <c r="Z9" s="305"/>
      <c r="AA9" s="294"/>
      <c r="AM9" s="267" t="str" cm="1">
        <f t="array" ref="AM9">_xlfn.IFS(AV16&gt;0,"DR Goodwill",AV16&lt;0,"CR Gain on Bargain Purchase",AV16=0," ")</f>
        <v>DR Goodwill</v>
      </c>
      <c r="AN9" s="275">
        <f>AV16</f>
        <v>932</v>
      </c>
      <c r="AS9" s="273" t="s">
        <v>528</v>
      </c>
      <c r="AT9" s="273"/>
      <c r="AU9" s="278"/>
      <c r="AV9" s="278">
        <f>AV15*AV6</f>
        <v>892</v>
      </c>
      <c r="BC9" s="279" t="s">
        <v>763</v>
      </c>
      <c r="BH9" s="275">
        <f>BG8*BH4</f>
        <v>0</v>
      </c>
    </row>
    <row r="10" spans="2:72" ht="18.75" customHeight="1" x14ac:dyDescent="0.25">
      <c r="B10" s="232" t="s">
        <v>236</v>
      </c>
      <c r="C10" s="234"/>
      <c r="D10" s="236"/>
      <c r="E10" s="236"/>
      <c r="F10" s="285">
        <f>SUM(D10:E10)</f>
        <v>0</v>
      </c>
      <c r="G10" s="304">
        <f>SUMIF(AM6:AM12,"DR Goodwill",AN6:AN12)</f>
        <v>932</v>
      </c>
      <c r="H10" s="325">
        <f>-SUMIF(AM6:AM12,"CR Goodwill",AO6:AO12)</f>
        <v>0</v>
      </c>
      <c r="I10" s="304">
        <f>SUMIF(AM18:AM20,"DR Goodwill",AN18:AN20)</f>
        <v>0</v>
      </c>
      <c r="J10" s="325">
        <f>-SUMIF(AM18:AM20,"CR Goodwill",AO18:AO20)</f>
        <v>-652.4</v>
      </c>
      <c r="K10" s="304">
        <f>SUMIF($AM$23:$AM$27,"DR Goodwill",$AN$23:$AN$27)</f>
        <v>0</v>
      </c>
      <c r="L10" s="305">
        <f>-SUMIF($AM$23:$AM$27,"CR Goodwill",$AO$23:$AO$27)</f>
        <v>0</v>
      </c>
      <c r="M10" s="295"/>
      <c r="N10" s="305"/>
      <c r="O10" s="304"/>
      <c r="P10" s="305"/>
      <c r="Q10" s="304"/>
      <c r="R10" s="305"/>
      <c r="S10" s="384"/>
      <c r="T10" s="379"/>
      <c r="U10" s="384"/>
      <c r="V10" s="379"/>
      <c r="W10" s="321"/>
      <c r="X10" s="321"/>
      <c r="Y10" s="304"/>
      <c r="Z10" s="305"/>
      <c r="AA10" s="311">
        <f>SUM(F10:Z10)</f>
        <v>279.60000000000002</v>
      </c>
      <c r="AM10" s="267" t="s">
        <v>759</v>
      </c>
      <c r="AN10" s="275">
        <f>AU13</f>
        <v>200</v>
      </c>
      <c r="AS10" s="273"/>
      <c r="AT10" s="273"/>
      <c r="AU10" s="278"/>
      <c r="AV10" s="264">
        <f>SUM(AV8:AV9)</f>
        <v>5392</v>
      </c>
      <c r="BC10" s="279" t="s">
        <v>765</v>
      </c>
      <c r="BH10" s="364">
        <f>BH7-BH9</f>
        <v>0</v>
      </c>
    </row>
    <row r="11" spans="2:72" ht="18.75" customHeight="1" x14ac:dyDescent="0.25">
      <c r="B11" s="232"/>
      <c r="C11" s="234"/>
      <c r="D11" s="235"/>
      <c r="E11" s="235"/>
      <c r="F11" s="284"/>
      <c r="G11" s="304"/>
      <c r="H11" s="325"/>
      <c r="I11" s="304"/>
      <c r="J11" s="325"/>
      <c r="K11" s="304"/>
      <c r="L11" s="305"/>
      <c r="M11" s="295"/>
      <c r="N11" s="305"/>
      <c r="O11" s="304"/>
      <c r="P11" s="305"/>
      <c r="Q11" s="304"/>
      <c r="R11" s="305"/>
      <c r="S11" s="384"/>
      <c r="T11" s="379"/>
      <c r="U11" s="384"/>
      <c r="V11" s="379"/>
      <c r="W11" s="321"/>
      <c r="X11" s="321"/>
      <c r="Y11" s="304"/>
      <c r="Z11" s="305"/>
      <c r="AA11" s="294"/>
      <c r="AM11" s="267" t="s">
        <v>758</v>
      </c>
      <c r="AO11" s="271">
        <f>AV8</f>
        <v>4500</v>
      </c>
      <c r="AS11" s="273"/>
      <c r="AT11" s="273"/>
      <c r="AU11" s="278"/>
      <c r="AV11" s="278"/>
    </row>
    <row r="12" spans="2:72" ht="18.75" customHeight="1" x14ac:dyDescent="0.25">
      <c r="B12" s="232" t="s">
        <v>666</v>
      </c>
      <c r="C12" s="234" t="s">
        <v>667</v>
      </c>
      <c r="D12" s="236"/>
      <c r="E12" s="236"/>
      <c r="F12" s="285">
        <f>SUM(D12:E12)</f>
        <v>0</v>
      </c>
      <c r="G12" s="304"/>
      <c r="H12" s="325"/>
      <c r="I12" s="304"/>
      <c r="J12" s="325"/>
      <c r="K12" s="304"/>
      <c r="L12" s="305"/>
      <c r="M12" s="295"/>
      <c r="N12" s="305"/>
      <c r="O12" s="304"/>
      <c r="P12" s="305"/>
      <c r="Q12" s="304"/>
      <c r="R12" s="305"/>
      <c r="S12" s="384"/>
      <c r="T12" s="379"/>
      <c r="U12" s="384"/>
      <c r="V12" s="379"/>
      <c r="W12" s="321"/>
      <c r="X12" s="321"/>
      <c r="Y12" s="304"/>
      <c r="Z12" s="305"/>
      <c r="AA12" s="311">
        <f>SUM(F12:Z12)</f>
        <v>0</v>
      </c>
      <c r="AM12" s="267" t="s">
        <v>700</v>
      </c>
      <c r="AO12" s="271">
        <f>AV9</f>
        <v>892</v>
      </c>
      <c r="AS12" s="273" t="s">
        <v>696</v>
      </c>
      <c r="AT12" s="273"/>
      <c r="AU12" s="14">
        <v>1000</v>
      </c>
      <c r="AV12" s="11"/>
      <c r="BD12" s="815"/>
      <c r="BE12" s="815"/>
      <c r="BF12" s="815"/>
      <c r="BG12" s="815"/>
      <c r="BH12" s="815"/>
      <c r="BI12" s="815"/>
      <c r="BJ12" s="815"/>
      <c r="BK12" s="815"/>
      <c r="BL12" s="812" t="s">
        <v>760</v>
      </c>
      <c r="BM12" s="812"/>
      <c r="BN12" s="812"/>
      <c r="BO12" s="812"/>
      <c r="BP12" s="812"/>
      <c r="BQ12" s="812"/>
      <c r="BR12" s="812"/>
      <c r="BS12" s="812"/>
      <c r="BT12" s="812"/>
    </row>
    <row r="13" spans="2:72" ht="18.75" customHeight="1" x14ac:dyDescent="0.25">
      <c r="B13" s="232" t="s">
        <v>697</v>
      </c>
      <c r="C13" s="234"/>
      <c r="D13" s="236">
        <v>80000</v>
      </c>
      <c r="E13" s="236"/>
      <c r="F13" s="285">
        <f>SUM(D13:E13)</f>
        <v>80000</v>
      </c>
      <c r="G13" s="304">
        <f>SUMIF($AM6:$AM12,"DR Investment in subsidiary",$AN:$AN)</f>
        <v>0</v>
      </c>
      <c r="H13" s="325">
        <f>-SUMIF($AM6:$AM12,"CR Investment in subsidiary",AO6:AO12)</f>
        <v>-4500</v>
      </c>
      <c r="I13" s="304">
        <f>SUMIF($AM18:$AM20,"DR Investment in subsidiary",$AN18:$AN20)</f>
        <v>0</v>
      </c>
      <c r="J13" s="325">
        <f>-SUMIF($AM18:$AM20,"CR Investment in subsidiary",AN18:AQ20)</f>
        <v>0</v>
      </c>
      <c r="K13" s="304"/>
      <c r="L13" s="305"/>
      <c r="M13" s="295"/>
      <c r="N13" s="305"/>
      <c r="O13" s="304"/>
      <c r="P13" s="305"/>
      <c r="Q13" s="304"/>
      <c r="R13" s="305"/>
      <c r="S13" s="384"/>
      <c r="T13" s="379"/>
      <c r="U13" s="384"/>
      <c r="V13" s="379"/>
      <c r="W13" s="321"/>
      <c r="X13" s="321"/>
      <c r="Y13" s="304"/>
      <c r="Z13" s="305"/>
      <c r="AA13" s="311">
        <f>SUM(F13:Z13)</f>
        <v>75500</v>
      </c>
      <c r="AS13" s="273" t="s">
        <v>678</v>
      </c>
      <c r="AU13" s="14">
        <v>200</v>
      </c>
      <c r="BD13" s="815"/>
      <c r="BE13" s="815"/>
      <c r="BF13" s="815"/>
      <c r="BG13" s="815"/>
      <c r="BH13" s="815"/>
      <c r="BI13" s="815"/>
      <c r="BJ13" s="815"/>
      <c r="BK13" s="815"/>
      <c r="BL13" s="812"/>
      <c r="BM13" s="812"/>
      <c r="BN13" s="812"/>
      <c r="BO13" s="812"/>
      <c r="BP13" s="812"/>
      <c r="BQ13" s="812"/>
      <c r="BR13" s="812"/>
      <c r="BS13" s="812"/>
      <c r="BT13" s="812"/>
    </row>
    <row r="14" spans="2:72" ht="18.75" customHeight="1" x14ac:dyDescent="0.25">
      <c r="B14" s="232" t="s">
        <v>668</v>
      </c>
      <c r="C14" s="234" t="s">
        <v>669</v>
      </c>
      <c r="D14" s="236"/>
      <c r="E14" s="236"/>
      <c r="F14" s="285">
        <f>SUM(D14:E14)</f>
        <v>0</v>
      </c>
      <c r="G14" s="304"/>
      <c r="H14" s="325"/>
      <c r="I14" s="304"/>
      <c r="J14" s="325"/>
      <c r="K14" s="304"/>
      <c r="L14" s="305"/>
      <c r="M14" s="295"/>
      <c r="N14" s="305"/>
      <c r="O14" s="304"/>
      <c r="P14" s="305"/>
      <c r="Q14" s="304"/>
      <c r="R14" s="305"/>
      <c r="S14" s="384"/>
      <c r="T14" s="379"/>
      <c r="U14" s="384"/>
      <c r="V14" s="379"/>
      <c r="W14" s="321"/>
      <c r="X14" s="321"/>
      <c r="Y14" s="304"/>
      <c r="Z14" s="305"/>
      <c r="AA14" s="311">
        <f>SUM(F14:Z14)</f>
        <v>0</v>
      </c>
      <c r="AS14" s="273" t="s">
        <v>19</v>
      </c>
      <c r="AT14" s="273"/>
      <c r="AU14" s="14">
        <v>3260</v>
      </c>
      <c r="AV14" s="275"/>
      <c r="BD14" s="815"/>
      <c r="BE14" s="815"/>
      <c r="BF14" s="815"/>
      <c r="BG14" s="815"/>
      <c r="BH14" s="815"/>
      <c r="BI14" s="815"/>
      <c r="BJ14" s="815"/>
      <c r="BK14" s="815"/>
      <c r="BL14" s="812"/>
      <c r="BM14" s="812"/>
      <c r="BN14" s="812"/>
      <c r="BO14" s="812"/>
      <c r="BP14" s="812"/>
      <c r="BQ14" s="812"/>
      <c r="BR14" s="812"/>
      <c r="BS14" s="812"/>
      <c r="BT14" s="812"/>
    </row>
    <row r="15" spans="2:72" ht="18.75" customHeight="1" x14ac:dyDescent="0.25">
      <c r="B15" s="232" t="s">
        <v>670</v>
      </c>
      <c r="C15" s="234" t="s">
        <v>667</v>
      </c>
      <c r="D15" s="237"/>
      <c r="E15" s="237"/>
      <c r="F15" s="286">
        <f>SUM(D15:E15)</f>
        <v>0</v>
      </c>
      <c r="G15" s="304"/>
      <c r="H15" s="325"/>
      <c r="I15" s="304"/>
      <c r="J15" s="325"/>
      <c r="K15" s="304"/>
      <c r="L15" s="305"/>
      <c r="M15" s="295"/>
      <c r="N15" s="305"/>
      <c r="O15" s="304"/>
      <c r="P15" s="305"/>
      <c r="Q15" s="304"/>
      <c r="R15" s="305"/>
      <c r="S15" s="384"/>
      <c r="T15" s="379"/>
      <c r="U15" s="384"/>
      <c r="V15" s="379"/>
      <c r="W15" s="321"/>
      <c r="X15" s="321"/>
      <c r="Y15" s="304"/>
      <c r="Z15" s="305"/>
      <c r="AA15" s="311">
        <f>SUM(F15:Z15)</f>
        <v>0</v>
      </c>
      <c r="AS15" s="267" t="s">
        <v>748</v>
      </c>
      <c r="AU15" s="14"/>
      <c r="AV15" s="11">
        <f>SUM(AU12:AU15)</f>
        <v>4460</v>
      </c>
      <c r="BD15" s="815"/>
      <c r="BE15" s="815"/>
      <c r="BF15" s="815"/>
      <c r="BG15" s="815"/>
      <c r="BH15" s="815"/>
      <c r="BI15" s="815"/>
      <c r="BJ15" s="815"/>
      <c r="BK15" s="815"/>
      <c r="BL15" s="812"/>
      <c r="BM15" s="812"/>
      <c r="BN15" s="812"/>
      <c r="BO15" s="812"/>
      <c r="BP15" s="812"/>
      <c r="BQ15" s="812"/>
      <c r="BR15" s="812"/>
      <c r="BS15" s="812"/>
      <c r="BT15" s="812"/>
    </row>
    <row r="16" spans="2:72" ht="18.75" customHeight="1" x14ac:dyDescent="0.25">
      <c r="B16" s="232"/>
      <c r="C16" s="234"/>
      <c r="D16" s="238">
        <f>SUM(D8:D15)</f>
        <v>227000</v>
      </c>
      <c r="E16" s="238">
        <f>SUM(E8:E15)</f>
        <v>82000</v>
      </c>
      <c r="F16" s="287">
        <f>SUM(F8:F15)</f>
        <v>309000</v>
      </c>
      <c r="G16" s="302"/>
      <c r="H16" s="284"/>
      <c r="I16" s="317"/>
      <c r="J16" s="403"/>
      <c r="K16" s="317"/>
      <c r="L16" s="318"/>
      <c r="M16" s="296"/>
      <c r="N16" s="318"/>
      <c r="O16" s="317"/>
      <c r="P16" s="318"/>
      <c r="Q16" s="317"/>
      <c r="R16" s="318"/>
      <c r="S16" s="385"/>
      <c r="T16" s="386"/>
      <c r="U16" s="385"/>
      <c r="V16" s="386"/>
      <c r="W16" s="322"/>
      <c r="X16" s="322"/>
      <c r="Y16" s="317"/>
      <c r="Z16" s="318"/>
      <c r="AA16" s="312">
        <f>SUM(AA8:AA15)</f>
        <v>304779.59999999998</v>
      </c>
      <c r="AS16" s="272" t="s">
        <v>236</v>
      </c>
      <c r="AT16" s="273"/>
      <c r="AU16" s="11"/>
      <c r="AV16" s="265">
        <f>AV10-AV15</f>
        <v>932</v>
      </c>
    </row>
    <row r="17" spans="2:64" ht="18.75" customHeight="1" thickBot="1" x14ac:dyDescent="0.3">
      <c r="B17" s="229" t="s">
        <v>76</v>
      </c>
      <c r="C17" s="234"/>
      <c r="D17" s="239"/>
      <c r="E17" s="239"/>
      <c r="F17" s="288"/>
      <c r="G17" s="306"/>
      <c r="H17" s="288"/>
      <c r="I17" s="306"/>
      <c r="J17" s="288"/>
      <c r="K17" s="306"/>
      <c r="L17" s="307"/>
      <c r="M17" s="297"/>
      <c r="N17" s="307"/>
      <c r="O17" s="306"/>
      <c r="P17" s="307"/>
      <c r="Q17" s="306"/>
      <c r="R17" s="307"/>
      <c r="S17" s="387"/>
      <c r="T17" s="388"/>
      <c r="U17" s="387"/>
      <c r="V17" s="388"/>
      <c r="W17" s="323"/>
      <c r="X17" s="323"/>
      <c r="Y17" s="306"/>
      <c r="Z17" s="307"/>
      <c r="AA17" s="297"/>
      <c r="AU17" s="275"/>
      <c r="AV17" s="275"/>
    </row>
    <row r="18" spans="2:64" ht="18.75" customHeight="1" thickBot="1" x14ac:dyDescent="0.3">
      <c r="B18" s="232" t="s">
        <v>56</v>
      </c>
      <c r="C18" s="234"/>
      <c r="D18" s="236">
        <v>73200</v>
      </c>
      <c r="E18" s="236">
        <v>35200</v>
      </c>
      <c r="F18" s="285">
        <f>SUM(D18:E18)</f>
        <v>108400</v>
      </c>
      <c r="G18" s="304"/>
      <c r="H18" s="325"/>
      <c r="I18" s="304"/>
      <c r="J18" s="325"/>
      <c r="K18" s="304"/>
      <c r="L18" s="305"/>
      <c r="M18" s="295"/>
      <c r="N18" s="305"/>
      <c r="O18" s="304">
        <f>SUMIF($AM$39:$AM$43,"DR Inventory",$AN$39:$AN$43)</f>
        <v>0</v>
      </c>
      <c r="P18" s="305">
        <f>-SUMIF($AM$39:$AM$67,"CR inventory",$AO$39:$AO$67)</f>
        <v>0</v>
      </c>
      <c r="Q18" s="304">
        <f>SUMIF($AM$46:$AM$50,"DR Inventory",$AN$46:$AN$50)</f>
        <v>0</v>
      </c>
      <c r="R18" s="305">
        <f>-SUMIF($AM$46:$AM$50,"CR inventory",$AO$46:$AO$50)</f>
        <v>0</v>
      </c>
      <c r="S18" s="304">
        <f>SUMIF($AM$54:$AM$61,"DR Inventory",$AN$54:$AN$61)</f>
        <v>0</v>
      </c>
      <c r="T18" s="305">
        <f>-SUMIF($AM$54:$AM$61,"CR inventory",$AO$54:$AO$61)</f>
        <v>0</v>
      </c>
      <c r="U18" s="384"/>
      <c r="V18" s="379"/>
      <c r="W18" s="321"/>
      <c r="X18" s="321"/>
      <c r="Y18" s="304"/>
      <c r="Z18" s="305"/>
      <c r="AA18" s="311">
        <f>SUM(F18:P18)</f>
        <v>108400</v>
      </c>
      <c r="AL18" s="276">
        <v>2</v>
      </c>
      <c r="AM18" s="267" t="s">
        <v>699</v>
      </c>
      <c r="AN18" s="267">
        <f>AV20</f>
        <v>652.4</v>
      </c>
      <c r="AS18" s="268" t="s">
        <v>234</v>
      </c>
      <c r="AU18" s="275"/>
      <c r="AV18" s="275"/>
    </row>
    <row r="19" spans="2:64" ht="18.75" customHeight="1" x14ac:dyDescent="0.25">
      <c r="B19" s="232" t="s">
        <v>671</v>
      </c>
      <c r="C19" s="234"/>
      <c r="D19" s="236">
        <f>83700+14700</f>
        <v>98400</v>
      </c>
      <c r="E19" s="236">
        <v>46900</v>
      </c>
      <c r="F19" s="285">
        <f>SUM(D19:E19)</f>
        <v>145300</v>
      </c>
      <c r="G19" s="304"/>
      <c r="H19" s="325"/>
      <c r="I19" s="304"/>
      <c r="J19" s="325"/>
      <c r="K19" s="304"/>
      <c r="L19" s="305"/>
      <c r="M19" s="295"/>
      <c r="N19" s="305"/>
      <c r="O19" s="304">
        <f>SUMIF($AM$39:$AM$43,"DR Trade receivables",$AN$39:$AN$43)</f>
        <v>0</v>
      </c>
      <c r="P19" s="305">
        <f>-SUMIF($AM$39:$AM$67,"CR Trade receivables",$AO$39:$AO$67)</f>
        <v>0</v>
      </c>
      <c r="Q19" s="304"/>
      <c r="R19" s="305"/>
      <c r="S19" s="384"/>
      <c r="T19" s="379"/>
      <c r="U19" s="384"/>
      <c r="V19" s="379"/>
      <c r="W19" s="321"/>
      <c r="X19" s="321"/>
      <c r="Y19" s="304"/>
      <c r="Z19" s="305"/>
      <c r="AA19" s="311">
        <f>SUM(F19:Z19)</f>
        <v>145300</v>
      </c>
      <c r="AM19" s="267" t="s">
        <v>703</v>
      </c>
      <c r="AN19" s="267">
        <f>AV19</f>
        <v>0</v>
      </c>
      <c r="AS19" s="267" t="s">
        <v>701</v>
      </c>
      <c r="AU19" s="275"/>
      <c r="AV19" s="266"/>
    </row>
    <row r="20" spans="2:64" ht="18.75" customHeight="1" x14ac:dyDescent="0.25">
      <c r="B20" s="232" t="s">
        <v>672</v>
      </c>
      <c r="C20" s="234" t="s">
        <v>667</v>
      </c>
      <c r="D20" s="236"/>
      <c r="E20" s="236"/>
      <c r="F20" s="285">
        <f>SUM(D20:E20)</f>
        <v>0</v>
      </c>
      <c r="G20" s="304"/>
      <c r="H20" s="325"/>
      <c r="I20" s="304"/>
      <c r="J20" s="325"/>
      <c r="K20" s="304"/>
      <c r="L20" s="305"/>
      <c r="M20" s="295"/>
      <c r="N20" s="305"/>
      <c r="O20" s="304"/>
      <c r="P20" s="305"/>
      <c r="Q20" s="304"/>
      <c r="R20" s="305"/>
      <c r="S20" s="384"/>
      <c r="T20" s="379"/>
      <c r="U20" s="384"/>
      <c r="V20" s="379"/>
      <c r="W20" s="321"/>
      <c r="X20" s="321"/>
      <c r="Y20" s="304"/>
      <c r="Z20" s="305"/>
      <c r="AA20" s="311">
        <f>SUM(F20:Z20)</f>
        <v>0</v>
      </c>
      <c r="AM20" s="267" t="s">
        <v>704</v>
      </c>
      <c r="AO20" s="267">
        <f>AV19+AV20</f>
        <v>652.4</v>
      </c>
      <c r="AS20" s="267" t="s">
        <v>702</v>
      </c>
      <c r="AU20" s="275"/>
      <c r="AV20" s="266">
        <f>AV16*0.7</f>
        <v>652.4</v>
      </c>
    </row>
    <row r="21" spans="2:64" ht="18.75" customHeight="1" x14ac:dyDescent="0.25">
      <c r="B21" s="232" t="s">
        <v>92</v>
      </c>
      <c r="C21" s="234"/>
      <c r="D21" s="236">
        <v>8000</v>
      </c>
      <c r="E21" s="236">
        <v>25150</v>
      </c>
      <c r="F21" s="285">
        <f>SUM(D21:E21)</f>
        <v>33150</v>
      </c>
      <c r="G21" s="304"/>
      <c r="H21" s="325"/>
      <c r="I21" s="304"/>
      <c r="J21" s="325"/>
      <c r="K21" s="304"/>
      <c r="L21" s="305"/>
      <c r="M21" s="295"/>
      <c r="N21" s="305"/>
      <c r="O21" s="304">
        <f>SUMIF($AM$39:$AM$43,"DR Cash and cash equivalents",$AN$39:$AN$43)</f>
        <v>0</v>
      </c>
      <c r="P21" s="305">
        <f>-SUMIF($AM$39:$AM$67,"CR Cash and cash equivalents",$AO$39:$AO$67)</f>
        <v>0</v>
      </c>
      <c r="Q21" s="304"/>
      <c r="R21" s="305"/>
      <c r="S21" s="384"/>
      <c r="T21" s="379"/>
      <c r="U21" s="384"/>
      <c r="V21" s="379"/>
      <c r="W21" s="321"/>
      <c r="X21" s="321"/>
      <c r="Y21" s="304"/>
      <c r="Z21" s="305"/>
      <c r="AA21" s="311">
        <f>SUM(F21:Z21)</f>
        <v>33150</v>
      </c>
      <c r="AU21" s="275"/>
      <c r="AV21" s="275"/>
    </row>
    <row r="22" spans="2:64" ht="18.75" customHeight="1" thickBot="1" x14ac:dyDescent="0.3">
      <c r="B22" s="232"/>
      <c r="C22" s="234"/>
      <c r="D22" s="238">
        <f>SUM(D18:D21)</f>
        <v>179600</v>
      </c>
      <c r="E22" s="238">
        <f>SUM(E18:E21)</f>
        <v>107250</v>
      </c>
      <c r="F22" s="287">
        <f>SUM(F18:F21)</f>
        <v>286850</v>
      </c>
      <c r="G22" s="302"/>
      <c r="H22" s="284"/>
      <c r="I22" s="302"/>
      <c r="J22" s="284"/>
      <c r="K22" s="317"/>
      <c r="L22" s="318"/>
      <c r="M22" s="296"/>
      <c r="N22" s="318"/>
      <c r="O22" s="317"/>
      <c r="P22" s="318"/>
      <c r="Q22" s="317"/>
      <c r="R22" s="318"/>
      <c r="S22" s="385"/>
      <c r="T22" s="386"/>
      <c r="U22" s="385"/>
      <c r="V22" s="386"/>
      <c r="W22" s="322"/>
      <c r="X22" s="322"/>
      <c r="Y22" s="317"/>
      <c r="Z22" s="318"/>
      <c r="AA22" s="312">
        <f>SUM(AA18:AA21)</f>
        <v>286850</v>
      </c>
      <c r="AS22" s="268" t="s">
        <v>711</v>
      </c>
      <c r="AU22" s="275"/>
      <c r="AV22" s="275"/>
    </row>
    <row r="23" spans="2:64" ht="18.75" customHeight="1" thickBot="1" x14ac:dyDescent="0.3">
      <c r="B23" s="229" t="s">
        <v>673</v>
      </c>
      <c r="C23" s="234"/>
      <c r="D23" s="240">
        <f>SUM(D16,D22)</f>
        <v>406600</v>
      </c>
      <c r="E23" s="240">
        <f>SUM(E16,E22)</f>
        <v>189250</v>
      </c>
      <c r="F23" s="289">
        <f>SUM(F16,F22)</f>
        <v>595850</v>
      </c>
      <c r="G23" s="302"/>
      <c r="H23" s="284"/>
      <c r="I23" s="302"/>
      <c r="J23" s="284"/>
      <c r="K23" s="317"/>
      <c r="L23" s="318"/>
      <c r="M23" s="296"/>
      <c r="N23" s="318"/>
      <c r="O23" s="317"/>
      <c r="P23" s="318"/>
      <c r="Q23" s="317"/>
      <c r="R23" s="318"/>
      <c r="S23" s="385"/>
      <c r="T23" s="386"/>
      <c r="U23" s="385"/>
      <c r="V23" s="386"/>
      <c r="W23" s="322"/>
      <c r="X23" s="322"/>
      <c r="Y23" s="317"/>
      <c r="Z23" s="318"/>
      <c r="AA23" s="313">
        <f>SUM(AA16,AA22)</f>
        <v>591629.6</v>
      </c>
      <c r="AL23" s="276">
        <v>3</v>
      </c>
      <c r="AM23" s="267" t="s">
        <v>708</v>
      </c>
      <c r="AN23" s="267">
        <f>AV28</f>
        <v>150.6</v>
      </c>
      <c r="AS23" s="267" t="str">
        <f>"Retained earnings "&amp;B4</f>
        <v>Retained earnings as at 30 September 2018</v>
      </c>
      <c r="AU23" s="275"/>
      <c r="AV23" s="266">
        <v>2984</v>
      </c>
    </row>
    <row r="24" spans="2:64" ht="18.75" customHeight="1" x14ac:dyDescent="0.25">
      <c r="B24" s="232"/>
      <c r="C24" s="234"/>
      <c r="D24" s="239"/>
      <c r="E24" s="239"/>
      <c r="F24" s="288"/>
      <c r="G24" s="306"/>
      <c r="H24" s="288"/>
      <c r="I24" s="306"/>
      <c r="J24" s="288"/>
      <c r="K24" s="306"/>
      <c r="L24" s="307"/>
      <c r="M24" s="297"/>
      <c r="N24" s="307"/>
      <c r="O24" s="306"/>
      <c r="P24" s="307"/>
      <c r="Q24" s="306"/>
      <c r="R24" s="307"/>
      <c r="S24" s="387"/>
      <c r="T24" s="388"/>
      <c r="U24" s="387"/>
      <c r="V24" s="388"/>
      <c r="W24" s="323"/>
      <c r="X24" s="323"/>
      <c r="Y24" s="306"/>
      <c r="Z24" s="307"/>
      <c r="AA24" s="297"/>
      <c r="AM24" s="267" t="s">
        <v>709</v>
      </c>
      <c r="AO24" s="267">
        <f>AV28</f>
        <v>150.6</v>
      </c>
      <c r="AS24" s="267" t="s">
        <v>751</v>
      </c>
      <c r="AV24" s="266">
        <v>-1029</v>
      </c>
      <c r="BL24" s="401" t="s">
        <v>766</v>
      </c>
    </row>
    <row r="25" spans="2:64" ht="18.75" customHeight="1" x14ac:dyDescent="0.25">
      <c r="B25" s="229" t="s">
        <v>674</v>
      </c>
      <c r="C25" s="234"/>
      <c r="D25" s="235"/>
      <c r="E25" s="235"/>
      <c r="F25" s="284"/>
      <c r="G25" s="302"/>
      <c r="H25" s="284"/>
      <c r="I25" s="302"/>
      <c r="J25" s="284"/>
      <c r="K25" s="302"/>
      <c r="L25" s="303"/>
      <c r="M25" s="294"/>
      <c r="N25" s="303"/>
      <c r="O25" s="302"/>
      <c r="P25" s="303"/>
      <c r="Q25" s="302"/>
      <c r="R25" s="303"/>
      <c r="S25" s="382"/>
      <c r="T25" s="383"/>
      <c r="U25" s="382"/>
      <c r="V25" s="383"/>
      <c r="W25" s="320"/>
      <c r="X25" s="320"/>
      <c r="Y25" s="302"/>
      <c r="Z25" s="303"/>
      <c r="AA25" s="294"/>
      <c r="AS25" s="267" t="s">
        <v>818</v>
      </c>
      <c r="AV25" s="266"/>
      <c r="BL25" s="401" t="s">
        <v>770</v>
      </c>
    </row>
    <row r="26" spans="2:64" ht="18.75" customHeight="1" x14ac:dyDescent="0.25">
      <c r="B26" s="229" t="s">
        <v>675</v>
      </c>
      <c r="C26" s="234"/>
      <c r="D26" s="235"/>
      <c r="E26" s="235"/>
      <c r="F26" s="284"/>
      <c r="G26" s="302"/>
      <c r="H26" s="284"/>
      <c r="I26" s="302"/>
      <c r="J26" s="284"/>
      <c r="K26" s="302"/>
      <c r="L26" s="303"/>
      <c r="M26" s="294"/>
      <c r="N26" s="303"/>
      <c r="O26" s="302"/>
      <c r="P26" s="303"/>
      <c r="Q26" s="302"/>
      <c r="R26" s="303"/>
      <c r="S26" s="382"/>
      <c r="T26" s="383"/>
      <c r="U26" s="382"/>
      <c r="V26" s="383"/>
      <c r="W26" s="320"/>
      <c r="X26" s="320"/>
      <c r="Y26" s="302"/>
      <c r="Z26" s="303"/>
      <c r="AA26" s="294"/>
      <c r="AM26" s="267" t="s">
        <v>825</v>
      </c>
      <c r="AN26" s="267">
        <f>AV31</f>
        <v>0</v>
      </c>
      <c r="AS26" s="267" t="s">
        <v>706</v>
      </c>
      <c r="AU26" s="275"/>
      <c r="AV26" s="422">
        <f>AU14</f>
        <v>3260</v>
      </c>
      <c r="BL26" s="401" t="s">
        <v>824</v>
      </c>
    </row>
    <row r="27" spans="2:64" ht="18.75" customHeight="1" x14ac:dyDescent="0.25">
      <c r="B27" s="232" t="s">
        <v>676</v>
      </c>
      <c r="C27" s="234"/>
      <c r="D27" s="236">
        <v>250000</v>
      </c>
      <c r="E27" s="236">
        <v>50000</v>
      </c>
      <c r="F27" s="285">
        <f>SUM(D27:E27)</f>
        <v>300000</v>
      </c>
      <c r="G27" s="304">
        <f>SUMIF($AM6:$AM12,"DR Share Capital",$AN6:$AN12)</f>
        <v>1000</v>
      </c>
      <c r="H27" s="325">
        <f>-SUMIF($AM6:$AM12,"CR Share Capital",$AO6:$AO12)</f>
        <v>0</v>
      </c>
      <c r="I27" s="304">
        <f>SUMIF($AM18:$AM20,"DR Share Capital",$AN18:$AN20)</f>
        <v>0</v>
      </c>
      <c r="J27" s="325">
        <f>-SUMIF($AM18:$AM20,"CR Share Capital",$AO18:$AO20)</f>
        <v>0</v>
      </c>
      <c r="K27" s="304"/>
      <c r="L27" s="305"/>
      <c r="M27" s="295"/>
      <c r="N27" s="305"/>
      <c r="O27" s="304"/>
      <c r="P27" s="305"/>
      <c r="Q27" s="304"/>
      <c r="R27" s="305"/>
      <c r="S27" s="384"/>
      <c r="T27" s="379"/>
      <c r="U27" s="384"/>
      <c r="V27" s="379"/>
      <c r="W27" s="321"/>
      <c r="X27" s="321"/>
      <c r="Y27" s="304"/>
      <c r="Z27" s="305"/>
      <c r="AA27" s="311">
        <f>F27-SUM(G27:Z27)</f>
        <v>299000</v>
      </c>
      <c r="AM27" s="267" t="s">
        <v>709</v>
      </c>
      <c r="AO27" s="267">
        <f>AV31</f>
        <v>0</v>
      </c>
      <c r="AS27" s="267" t="s">
        <v>707</v>
      </c>
      <c r="AU27" s="275"/>
      <c r="AV27" s="275">
        <f>AV23-AV26-AV24+AV25</f>
        <v>753</v>
      </c>
    </row>
    <row r="28" spans="2:64" ht="18.75" customHeight="1" thickBot="1" x14ac:dyDescent="0.3">
      <c r="B28" s="232" t="s">
        <v>677</v>
      </c>
      <c r="C28" s="234"/>
      <c r="D28" s="236"/>
      <c r="E28" s="236"/>
      <c r="F28" s="285">
        <f>SUM(D28:E28)</f>
        <v>0</v>
      </c>
      <c r="G28" s="304"/>
      <c r="H28" s="325"/>
      <c r="I28" s="304"/>
      <c r="J28" s="325"/>
      <c r="K28" s="304"/>
      <c r="L28" s="305"/>
      <c r="M28" s="295"/>
      <c r="N28" s="305"/>
      <c r="O28" s="304"/>
      <c r="P28" s="305"/>
      <c r="Q28" s="304"/>
      <c r="R28" s="305"/>
      <c r="S28" s="384"/>
      <c r="T28" s="379"/>
      <c r="U28" s="384"/>
      <c r="V28" s="379"/>
      <c r="W28" s="321"/>
      <c r="X28" s="321"/>
      <c r="Y28" s="304"/>
      <c r="Z28" s="305"/>
      <c r="AA28" s="311">
        <f>F28-SUM(G28:Z28)</f>
        <v>0</v>
      </c>
      <c r="AS28" s="267" t="str">
        <f>"NCI share of historical profit (*"&amp;AV6&amp;")"</f>
        <v>NCI share of historical profit (*0.2)</v>
      </c>
      <c r="AV28" s="281">
        <f>AV27*AV6</f>
        <v>150.6</v>
      </c>
    </row>
    <row r="29" spans="2:64" ht="18.75" customHeight="1" thickTop="1" x14ac:dyDescent="0.25">
      <c r="B29" s="232" t="s">
        <v>678</v>
      </c>
      <c r="C29" s="234"/>
      <c r="D29" s="236"/>
      <c r="E29" s="236">
        <v>6250</v>
      </c>
      <c r="F29" s="285">
        <f>SUM(D29:E29)</f>
        <v>6250</v>
      </c>
      <c r="G29" s="304">
        <f>SUMIF($AM4:$AM10,"DR Share Premium",$AN4:$AN10)</f>
        <v>200</v>
      </c>
      <c r="H29" s="325">
        <f>-SUMIF($AM4:$AM10,"CR Share Premium",AO4:AO10)</f>
        <v>0</v>
      </c>
      <c r="I29" s="304"/>
      <c r="J29" s="325"/>
      <c r="K29" s="304"/>
      <c r="L29" s="305"/>
      <c r="M29" s="295"/>
      <c r="N29" s="305"/>
      <c r="O29" s="304"/>
      <c r="P29" s="305"/>
      <c r="Q29" s="304"/>
      <c r="R29" s="305"/>
      <c r="S29" s="384"/>
      <c r="T29" s="379"/>
      <c r="U29" s="384"/>
      <c r="V29" s="379"/>
      <c r="W29" s="321"/>
      <c r="X29" s="321"/>
      <c r="Y29" s="304"/>
      <c r="Z29" s="305"/>
      <c r="AA29" s="311">
        <f>F29-SUM(G29:Z29)</f>
        <v>6050</v>
      </c>
    </row>
    <row r="30" spans="2:64" ht="18.75" customHeight="1" x14ac:dyDescent="0.25">
      <c r="B30" s="232" t="s">
        <v>679</v>
      </c>
      <c r="C30" s="234"/>
      <c r="D30" s="236"/>
      <c r="E30" s="236">
        <v>15000</v>
      </c>
      <c r="F30" s="285">
        <f>SUM(D30:E30)</f>
        <v>15000</v>
      </c>
      <c r="G30" s="304"/>
      <c r="H30" s="325"/>
      <c r="I30" s="304"/>
      <c r="J30" s="325"/>
      <c r="K30" s="304"/>
      <c r="L30" s="305"/>
      <c r="M30" s="295"/>
      <c r="N30" s="305"/>
      <c r="O30" s="304"/>
      <c r="P30" s="305"/>
      <c r="Q30" s="304"/>
      <c r="R30" s="305"/>
      <c r="S30" s="384"/>
      <c r="T30" s="379"/>
      <c r="U30" s="384"/>
      <c r="V30" s="379"/>
      <c r="W30" s="321"/>
      <c r="X30" s="321"/>
      <c r="Y30" s="304"/>
      <c r="Z30" s="305"/>
      <c r="AA30" s="311">
        <f>F30-SUM(G30:Z30)</f>
        <v>15000</v>
      </c>
      <c r="AS30" s="267" t="s">
        <v>826</v>
      </c>
    </row>
    <row r="31" spans="2:64" ht="18.75" customHeight="1" thickBot="1" x14ac:dyDescent="0.3">
      <c r="B31" s="232" t="s">
        <v>515</v>
      </c>
      <c r="C31" s="234"/>
      <c r="D31" s="236">
        <v>33600</v>
      </c>
      <c r="E31" s="236">
        <v>38000</v>
      </c>
      <c r="F31" s="285">
        <f>SUM(D31:E31)</f>
        <v>71600</v>
      </c>
      <c r="G31" s="304">
        <f>SUMIF($AM6:$AM12,"DR Retained Earnings",$AN6:$AN12)</f>
        <v>3260</v>
      </c>
      <c r="H31" s="325">
        <f>-SUMIF($AM6:$AM12,"CR Retained Earnings",AO6:AO12)</f>
        <v>0</v>
      </c>
      <c r="I31" s="304">
        <f>SUMIF($AM18:$AM20,"DR Retained Earnings",$AN18:$AN20)</f>
        <v>652.4</v>
      </c>
      <c r="J31" s="325">
        <f>-SUMIF($AM18:$AM20,"CR Retained Earnings",AQ18:AQ20)</f>
        <v>0</v>
      </c>
      <c r="K31" s="304">
        <f>SUMIF($AM$23:$AM$27,"DR Retained Earnings",$AN$23:$AN$27)</f>
        <v>150.6</v>
      </c>
      <c r="L31" s="305">
        <f>-SUMIF($AM$23:$AM$27,"CR Retained Earnings",$AO$23:$AO$27)</f>
        <v>0</v>
      </c>
      <c r="M31" s="295"/>
      <c r="N31" s="305"/>
      <c r="O31" s="304">
        <f>SUMIF($AM$39:$AM$43,"DR Retained Earnings",$AN$39:$AN$43)</f>
        <v>0</v>
      </c>
      <c r="P31" s="305">
        <f>SUMIF($AM$39:$AM$43,"CR Retained Earnings",$AO$39:$AO$43)</f>
        <v>0</v>
      </c>
      <c r="Q31" s="304">
        <f>SUMIF($AM$46:$AM$50,"DR Retained Earnings",$AN$46:$AN$50)</f>
        <v>0</v>
      </c>
      <c r="R31" s="304">
        <f>-SUMIF($AM$46:$AM$50,"CR Retained Earnings",$AO$46:$AO$50)</f>
        <v>0</v>
      </c>
      <c r="S31" s="384"/>
      <c r="T31" s="379"/>
      <c r="U31" s="384"/>
      <c r="V31" s="379"/>
      <c r="W31" s="321"/>
      <c r="X31" s="321"/>
      <c r="Y31" s="304">
        <f>SUMIF($AM$84:$AM$85,"DR Retained Earnings",$AN$84:$AN$85)</f>
        <v>0</v>
      </c>
      <c r="Z31" s="305">
        <f>-SUMIF($AM$84:$AM$85,"CR Retained Earnings",$AO$84:$AO$85)</f>
        <v>-205.8</v>
      </c>
      <c r="AA31" s="311">
        <f>F31-SUM(G31:Z31)</f>
        <v>67742.8</v>
      </c>
      <c r="AS31" s="267" t="str">
        <f>"NCI share of revaluation reserve (*"&amp;AV6&amp;")"</f>
        <v>NCI share of revaluation reserve (*0.2)</v>
      </c>
      <c r="AV31" s="280">
        <f>AV30*AV6</f>
        <v>0</v>
      </c>
    </row>
    <row r="32" spans="2:64" ht="18.75" customHeight="1" thickTop="1" thickBot="1" x14ac:dyDescent="0.3">
      <c r="B32" s="232"/>
      <c r="C32" s="234"/>
      <c r="D32" s="235"/>
      <c r="E32" s="235"/>
      <c r="F32" s="284"/>
      <c r="G32" s="302"/>
      <c r="H32" s="284"/>
      <c r="I32" s="302"/>
      <c r="J32" s="284"/>
      <c r="K32" s="302"/>
      <c r="L32" s="303"/>
      <c r="M32" s="294"/>
      <c r="N32" s="303"/>
      <c r="O32" s="302"/>
      <c r="P32" s="303"/>
      <c r="Q32" s="302"/>
      <c r="R32" s="303"/>
      <c r="S32" s="382"/>
      <c r="T32" s="383"/>
      <c r="U32" s="382"/>
      <c r="V32" s="383"/>
      <c r="W32" s="320"/>
      <c r="X32" s="320"/>
      <c r="Y32" s="302"/>
      <c r="Z32" s="303"/>
      <c r="AA32" s="294"/>
    </row>
    <row r="33" spans="2:64" ht="18.75" customHeight="1" thickBot="1" x14ac:dyDescent="0.3">
      <c r="B33" s="232"/>
      <c r="C33" s="234"/>
      <c r="D33" s="235"/>
      <c r="E33" s="235"/>
      <c r="F33" s="284"/>
      <c r="G33" s="302"/>
      <c r="H33" s="284"/>
      <c r="I33" s="302"/>
      <c r="J33" s="284"/>
      <c r="K33" s="302"/>
      <c r="L33" s="303"/>
      <c r="M33" s="294"/>
      <c r="N33" s="303"/>
      <c r="O33" s="302"/>
      <c r="P33" s="303"/>
      <c r="Q33" s="302"/>
      <c r="R33" s="303"/>
      <c r="S33" s="382"/>
      <c r="T33" s="383"/>
      <c r="U33" s="382"/>
      <c r="V33" s="383"/>
      <c r="W33" s="320"/>
      <c r="X33" s="320"/>
      <c r="Y33" s="302"/>
      <c r="Z33" s="303"/>
      <c r="AA33" s="294"/>
      <c r="AL33" s="276">
        <v>4</v>
      </c>
      <c r="AM33" s="267" t="s">
        <v>713</v>
      </c>
      <c r="AN33" s="275">
        <f>AV36</f>
        <v>-205.8</v>
      </c>
      <c r="AO33" s="275"/>
    </row>
    <row r="34" spans="2:64" ht="18.75" customHeight="1" x14ac:dyDescent="0.25">
      <c r="B34" s="232" t="s">
        <v>680</v>
      </c>
      <c r="C34" s="234" t="s">
        <v>681</v>
      </c>
      <c r="D34" s="236"/>
      <c r="E34" s="236"/>
      <c r="F34" s="285">
        <f>SUM(D34:E34)</f>
        <v>0</v>
      </c>
      <c r="G34" s="304"/>
      <c r="H34" s="325"/>
      <c r="I34" s="304"/>
      <c r="J34" s="325"/>
      <c r="K34" s="304"/>
      <c r="L34" s="305"/>
      <c r="M34" s="295"/>
      <c r="N34" s="305"/>
      <c r="O34" s="304"/>
      <c r="P34" s="305"/>
      <c r="Q34" s="304"/>
      <c r="R34" s="305"/>
      <c r="S34" s="384"/>
      <c r="T34" s="379"/>
      <c r="U34" s="384"/>
      <c r="V34" s="379"/>
      <c r="W34" s="321"/>
      <c r="X34" s="321"/>
      <c r="Y34" s="304"/>
      <c r="Z34" s="305"/>
      <c r="AA34" s="311">
        <f>F34-SUM(G34:Z34)</f>
        <v>0</v>
      </c>
      <c r="AM34" s="267" t="s">
        <v>709</v>
      </c>
      <c r="AN34" s="275"/>
      <c r="AO34" s="275">
        <f>AV36</f>
        <v>-205.8</v>
      </c>
      <c r="AS34" s="268" t="s">
        <v>710</v>
      </c>
      <c r="BL34" s="401" t="s">
        <v>749</v>
      </c>
    </row>
    <row r="35" spans="2:64" ht="18.75" customHeight="1" x14ac:dyDescent="0.25">
      <c r="B35" s="232"/>
      <c r="C35" s="234"/>
      <c r="D35" s="241">
        <f>SUM(D27:D34)</f>
        <v>283600</v>
      </c>
      <c r="E35" s="241">
        <f>SUM(E27:E34)</f>
        <v>109250</v>
      </c>
      <c r="F35" s="290">
        <f>SUM(F27:F34)</f>
        <v>392850</v>
      </c>
      <c r="G35" s="302"/>
      <c r="H35" s="284"/>
      <c r="I35" s="306"/>
      <c r="J35" s="288"/>
      <c r="K35" s="306"/>
      <c r="L35" s="307"/>
      <c r="M35" s="297"/>
      <c r="N35" s="307"/>
      <c r="O35" s="306"/>
      <c r="P35" s="307"/>
      <c r="Q35" s="306"/>
      <c r="R35" s="307"/>
      <c r="S35" s="387"/>
      <c r="T35" s="388"/>
      <c r="U35" s="387"/>
      <c r="V35" s="388"/>
      <c r="W35" s="323"/>
      <c r="X35" s="323"/>
      <c r="Y35" s="306"/>
      <c r="Z35" s="307"/>
      <c r="AA35" s="314">
        <f>SUM(AA27:AA34)</f>
        <v>387792.8</v>
      </c>
      <c r="AS35" s="267" t="s">
        <v>712</v>
      </c>
      <c r="AV35" s="266">
        <v>-1029</v>
      </c>
    </row>
    <row r="36" spans="2:64" ht="18.75" customHeight="1" thickBot="1" x14ac:dyDescent="0.3">
      <c r="B36" s="229" t="s">
        <v>682</v>
      </c>
      <c r="C36" s="234" t="s">
        <v>683</v>
      </c>
      <c r="D36" s="242"/>
      <c r="E36" s="242"/>
      <c r="F36" s="291">
        <f>SUM(D36:E36)</f>
        <v>0</v>
      </c>
      <c r="G36" s="304">
        <f>SUMIF($AM12:$AM17,"DR SFP - non-controlling interest",$AN12:$AN17)</f>
        <v>0</v>
      </c>
      <c r="H36" s="325">
        <f>-SUMIF($AM12:$AM17,"CR SFP - non-controlling interest",AO12:AO17)</f>
        <v>-892</v>
      </c>
      <c r="I36" s="319"/>
      <c r="J36" s="331"/>
      <c r="K36" s="389">
        <f>-SUMIF($AM$23:$AM$27,"DR SFP - Non-controlling interests",$AN$23:$AN$27)</f>
        <v>0</v>
      </c>
      <c r="L36" s="305">
        <f>-SUMIF($AM$23:$AM$27,"CR SFP - Non-controlling interests",$AO$23:$AO$27)</f>
        <v>-150.6</v>
      </c>
      <c r="M36" s="379">
        <f>-SUMIF($AM$33:$AM$34,"DR SFP - Non-controlling interests",$AN$33:$AN$34)</f>
        <v>0</v>
      </c>
      <c r="N36" s="305">
        <f>-SUMIF($AM$33:$AM$34,"CR SFP - Non-controlling interests",$AO$33:$AO$34)</f>
        <v>205.8</v>
      </c>
      <c r="O36" s="304">
        <f>SUMIF($AM$39:$AM$43,"DR SFP - Non-controlling interests",$AN$39:$AN$43)</f>
        <v>0</v>
      </c>
      <c r="P36" s="305">
        <f>SUMIF($AM$39:$AM$43,"CR SFP - Non-controlling interests",$AO$39:$AO$43)</f>
        <v>0</v>
      </c>
      <c r="Q36" s="304">
        <f>SUMIF($AM$46:$AM$50,"DR SFP - Non-controlling interests",$AN$46:$AN$50)</f>
        <v>0</v>
      </c>
      <c r="R36" s="305">
        <f>SUMIF($AM$46:$AM$50,"CR SFP - Non-controlling interests",$AO$46:$AO$50)</f>
        <v>0</v>
      </c>
      <c r="S36" s="304">
        <f>SUMIF($AM$54:$AM$61,"DR SFP - Non-controlling interests",$AN$54:$AN$61)</f>
        <v>0</v>
      </c>
      <c r="T36" s="305">
        <f>-SUMIF($AM$54:$AM$61,"CR SFP - Non-controlling interests",$AO$54:$AO$61)</f>
        <v>0</v>
      </c>
      <c r="U36" s="304"/>
      <c r="V36" s="305"/>
      <c r="W36" s="321">
        <f>SUMIF($AM$71:$AM$82,"DR SFP - Non-controlling interests",AN$71:AN$82)</f>
        <v>0</v>
      </c>
      <c r="X36" s="321">
        <f>SUMIF($AM$71:$AM$82,"CR SFP - Non-controlling interests",AO$71:AO$82)</f>
        <v>0</v>
      </c>
      <c r="Y36" s="304">
        <f>-SUMIF($AM$84:$AM$85,"DR SFP - Non-controlling interests",$AN$84:$AN$85)</f>
        <v>0</v>
      </c>
      <c r="Z36" s="305">
        <f>-SUMIF($AM$84:$AM$85,"CR SFP - Non-controlling interests",$AO$84:$AO$85)</f>
        <v>0</v>
      </c>
      <c r="AA36" s="311">
        <f>F36-SUM(G36:Z36)</f>
        <v>836.8</v>
      </c>
      <c r="AS36" s="267" t="str">
        <f>"NCI share of current year profit (*"&amp;AV6&amp;")"</f>
        <v>NCI share of current year profit (*0.2)</v>
      </c>
      <c r="AV36" s="281">
        <f>AV35*AV6</f>
        <v>-205.8</v>
      </c>
    </row>
    <row r="37" spans="2:64" ht="18.75" customHeight="1" thickTop="1" x14ac:dyDescent="0.25">
      <c r="B37" s="229"/>
      <c r="C37" s="234"/>
      <c r="D37" s="235"/>
      <c r="E37" s="235"/>
      <c r="F37" s="284"/>
      <c r="G37" s="302"/>
      <c r="H37" s="284"/>
      <c r="I37" s="302"/>
      <c r="J37" s="284"/>
      <c r="K37" s="302"/>
      <c r="L37" s="303"/>
      <c r="M37" s="294"/>
      <c r="N37" s="303"/>
      <c r="O37" s="302"/>
      <c r="P37" s="303"/>
      <c r="Q37" s="302"/>
      <c r="R37" s="303"/>
      <c r="S37" s="382"/>
      <c r="T37" s="383"/>
      <c r="U37" s="382"/>
      <c r="V37" s="383"/>
      <c r="W37" s="320"/>
      <c r="X37" s="320"/>
      <c r="Y37" s="302"/>
      <c r="Z37" s="303"/>
      <c r="AA37" s="294"/>
    </row>
    <row r="38" spans="2:64" ht="18.75" customHeight="1" thickBot="1" x14ac:dyDescent="0.3">
      <c r="B38" s="229"/>
      <c r="C38" s="234"/>
      <c r="D38" s="235"/>
      <c r="E38" s="235"/>
      <c r="F38" s="284"/>
      <c r="G38" s="302"/>
      <c r="H38" s="284"/>
      <c r="I38" s="302"/>
      <c r="J38" s="284"/>
      <c r="K38" s="302"/>
      <c r="L38" s="303"/>
      <c r="M38" s="294"/>
      <c r="N38" s="303"/>
      <c r="O38" s="302"/>
      <c r="P38" s="303"/>
      <c r="Q38" s="302"/>
      <c r="R38" s="303"/>
      <c r="S38" s="382"/>
      <c r="T38" s="383"/>
      <c r="U38" s="382"/>
      <c r="V38" s="383"/>
      <c r="W38" s="320"/>
      <c r="X38" s="320"/>
      <c r="Y38" s="302"/>
      <c r="Z38" s="303"/>
      <c r="AA38" s="294"/>
      <c r="BL38" s="401" t="s">
        <v>772</v>
      </c>
    </row>
    <row r="39" spans="2:64" ht="18.75" customHeight="1" thickBot="1" x14ac:dyDescent="0.3">
      <c r="B39" s="229" t="s">
        <v>684</v>
      </c>
      <c r="C39" s="234"/>
      <c r="D39" s="238">
        <f>D35+D36</f>
        <v>283600</v>
      </c>
      <c r="E39" s="238">
        <f>E35+E36</f>
        <v>109250</v>
      </c>
      <c r="F39" s="287">
        <f>F35+F36</f>
        <v>392850</v>
      </c>
      <c r="G39" s="302"/>
      <c r="H39" s="284"/>
      <c r="I39" s="317"/>
      <c r="J39" s="403"/>
      <c r="K39" s="317"/>
      <c r="L39" s="318"/>
      <c r="M39" s="296"/>
      <c r="N39" s="318"/>
      <c r="O39" s="317"/>
      <c r="P39" s="318"/>
      <c r="Q39" s="317"/>
      <c r="R39" s="318"/>
      <c r="S39" s="385"/>
      <c r="T39" s="386"/>
      <c r="U39" s="385"/>
      <c r="V39" s="386"/>
      <c r="W39" s="322"/>
      <c r="X39" s="322"/>
      <c r="Y39" s="317"/>
      <c r="Z39" s="318"/>
      <c r="AA39" s="312">
        <f>AA35+AA36</f>
        <v>388629.6</v>
      </c>
      <c r="AL39" s="276">
        <v>5</v>
      </c>
      <c r="AM39" s="247" t="s">
        <v>823</v>
      </c>
      <c r="AN39" s="374">
        <f>AV40</f>
        <v>0</v>
      </c>
      <c r="AS39" s="268" t="s">
        <v>767</v>
      </c>
    </row>
    <row r="40" spans="2:64" ht="18.75" customHeight="1" x14ac:dyDescent="0.25">
      <c r="B40" s="232"/>
      <c r="C40" s="234"/>
      <c r="D40" s="235"/>
      <c r="E40" s="235"/>
      <c r="F40" s="284"/>
      <c r="G40" s="302"/>
      <c r="H40" s="284"/>
      <c r="I40" s="302"/>
      <c r="J40" s="284"/>
      <c r="K40" s="302"/>
      <c r="L40" s="303"/>
      <c r="M40" s="294"/>
      <c r="N40" s="303"/>
      <c r="O40" s="302"/>
      <c r="P40" s="303"/>
      <c r="Q40" s="302"/>
      <c r="R40" s="303"/>
      <c r="S40" s="382"/>
      <c r="T40" s="383"/>
      <c r="U40" s="382"/>
      <c r="V40" s="383"/>
      <c r="W40" s="320"/>
      <c r="X40" s="320"/>
      <c r="Y40" s="302"/>
      <c r="Z40" s="303"/>
      <c r="AA40" s="294"/>
      <c r="AM40" s="247" t="s">
        <v>813</v>
      </c>
      <c r="AO40" s="374">
        <f>AV40</f>
        <v>0</v>
      </c>
      <c r="AS40" s="267" t="s">
        <v>768</v>
      </c>
      <c r="AV40" s="375"/>
    </row>
    <row r="41" spans="2:64" ht="18.75" customHeight="1" x14ac:dyDescent="0.25">
      <c r="B41" s="229" t="s">
        <v>82</v>
      </c>
      <c r="C41" s="234"/>
      <c r="D41" s="235"/>
      <c r="E41" s="235"/>
      <c r="F41" s="284"/>
      <c r="G41" s="302"/>
      <c r="H41" s="284"/>
      <c r="I41" s="302"/>
      <c r="J41" s="284"/>
      <c r="K41" s="302"/>
      <c r="L41" s="303"/>
      <c r="M41" s="294"/>
      <c r="N41" s="303"/>
      <c r="O41" s="302"/>
      <c r="P41" s="303"/>
      <c r="Q41" s="302"/>
      <c r="R41" s="303"/>
      <c r="S41" s="382"/>
      <c r="T41" s="383"/>
      <c r="U41" s="382"/>
      <c r="V41" s="383"/>
      <c r="W41" s="320"/>
      <c r="X41" s="320"/>
      <c r="Y41" s="302"/>
      <c r="Z41" s="303"/>
      <c r="AA41" s="294"/>
      <c r="AS41" s="267" t="s">
        <v>815</v>
      </c>
      <c r="AV41" s="266"/>
    </row>
    <row r="42" spans="2:64" ht="18.75" customHeight="1" x14ac:dyDescent="0.25">
      <c r="B42" s="232" t="s">
        <v>685</v>
      </c>
      <c r="C42" s="234" t="s">
        <v>667</v>
      </c>
      <c r="D42" s="236"/>
      <c r="E42" s="236">
        <v>20000</v>
      </c>
      <c r="F42" s="285">
        <f>SUM(D42:E42)</f>
        <v>20000</v>
      </c>
      <c r="G42" s="304"/>
      <c r="H42" s="325"/>
      <c r="I42" s="304"/>
      <c r="J42" s="325"/>
      <c r="K42" s="304"/>
      <c r="L42" s="305"/>
      <c r="M42" s="295"/>
      <c r="N42" s="305"/>
      <c r="O42" s="304"/>
      <c r="P42" s="305"/>
      <c r="Q42" s="304"/>
      <c r="R42" s="305"/>
      <c r="S42" s="384"/>
      <c r="T42" s="379"/>
      <c r="U42" s="384"/>
      <c r="V42" s="379"/>
      <c r="W42" s="321"/>
      <c r="X42" s="321"/>
      <c r="Y42" s="304"/>
      <c r="Z42" s="305"/>
      <c r="AA42" s="311">
        <f>F42-SUM(G42:Z42)</f>
        <v>20000</v>
      </c>
      <c r="AM42" s="247" t="s">
        <v>814</v>
      </c>
      <c r="AN42" s="267">
        <f>AV41</f>
        <v>0</v>
      </c>
    </row>
    <row r="43" spans="2:64" ht="18.75" customHeight="1" x14ac:dyDescent="0.25">
      <c r="B43" s="232" t="s">
        <v>686</v>
      </c>
      <c r="C43" s="234" t="s">
        <v>687</v>
      </c>
      <c r="D43" s="236"/>
      <c r="E43" s="236"/>
      <c r="F43" s="285">
        <f>SUM(D43:E43)</f>
        <v>0</v>
      </c>
      <c r="G43" s="304"/>
      <c r="H43" s="325"/>
      <c r="I43" s="304"/>
      <c r="J43" s="325"/>
      <c r="K43" s="304"/>
      <c r="L43" s="305"/>
      <c r="M43" s="295"/>
      <c r="N43" s="305"/>
      <c r="O43" s="304"/>
      <c r="P43" s="305"/>
      <c r="Q43" s="304"/>
      <c r="R43" s="305"/>
      <c r="S43" s="384"/>
      <c r="T43" s="379"/>
      <c r="U43" s="384"/>
      <c r="V43" s="379"/>
      <c r="W43" s="321"/>
      <c r="X43" s="321"/>
      <c r="Y43" s="304"/>
      <c r="Z43" s="305"/>
      <c r="AA43" s="311">
        <f>F43-SUM(G43:Z43)</f>
        <v>0</v>
      </c>
      <c r="AM43" s="247" t="s">
        <v>813</v>
      </c>
      <c r="AO43" s="267">
        <f>AV41</f>
        <v>0</v>
      </c>
    </row>
    <row r="44" spans="2:64" ht="18.75" customHeight="1" x14ac:dyDescent="0.25">
      <c r="B44" s="232" t="s">
        <v>688</v>
      </c>
      <c r="C44" s="234" t="s">
        <v>667</v>
      </c>
      <c r="D44" s="236"/>
      <c r="E44" s="236"/>
      <c r="F44" s="285">
        <f>SUM(D44:E44)</f>
        <v>0</v>
      </c>
      <c r="G44" s="304"/>
      <c r="H44" s="325"/>
      <c r="I44" s="304"/>
      <c r="J44" s="325"/>
      <c r="K44" s="304"/>
      <c r="L44" s="305"/>
      <c r="M44" s="295"/>
      <c r="N44" s="305"/>
      <c r="O44" s="304"/>
      <c r="P44" s="305"/>
      <c r="Q44" s="304"/>
      <c r="R44" s="305"/>
      <c r="S44" s="384"/>
      <c r="T44" s="379"/>
      <c r="U44" s="384"/>
      <c r="V44" s="379"/>
      <c r="W44" s="321"/>
      <c r="X44" s="321"/>
      <c r="Y44" s="304"/>
      <c r="Z44" s="305"/>
      <c r="AA44" s="311">
        <f>F44-SUM(G44:Z44)</f>
        <v>0</v>
      </c>
    </row>
    <row r="45" spans="2:64" ht="18.75" customHeight="1" thickBot="1" x14ac:dyDescent="0.3">
      <c r="B45" s="229" t="s">
        <v>689</v>
      </c>
      <c r="C45" s="234"/>
      <c r="D45" s="238">
        <f>SUM(D42:D44)</f>
        <v>0</v>
      </c>
      <c r="E45" s="238">
        <f>SUM(E42:E44)</f>
        <v>20000</v>
      </c>
      <c r="F45" s="287">
        <f>SUM(F42:F44)</f>
        <v>20000</v>
      </c>
      <c r="G45" s="302"/>
      <c r="H45" s="284"/>
      <c r="I45" s="317"/>
      <c r="J45" s="403"/>
      <c r="K45" s="317"/>
      <c r="L45" s="318"/>
      <c r="M45" s="296"/>
      <c r="N45" s="318"/>
      <c r="O45" s="317"/>
      <c r="P45" s="318"/>
      <c r="Q45" s="317"/>
      <c r="R45" s="318"/>
      <c r="S45" s="385"/>
      <c r="T45" s="386"/>
      <c r="U45" s="385"/>
      <c r="V45" s="386"/>
      <c r="W45" s="322"/>
      <c r="X45" s="322"/>
      <c r="Y45" s="317"/>
      <c r="Z45" s="318"/>
      <c r="AA45" s="312">
        <f>SUM(AA42:AA44)</f>
        <v>20000</v>
      </c>
    </row>
    <row r="46" spans="2:64" ht="18.75" customHeight="1" thickBot="1" x14ac:dyDescent="0.3">
      <c r="B46" s="232"/>
      <c r="C46" s="234"/>
      <c r="D46" s="235"/>
      <c r="E46" s="235"/>
      <c r="F46" s="284"/>
      <c r="G46" s="302"/>
      <c r="H46" s="284"/>
      <c r="I46" s="302"/>
      <c r="J46" s="284"/>
      <c r="K46" s="302"/>
      <c r="L46" s="303"/>
      <c r="M46" s="294"/>
      <c r="N46" s="303"/>
      <c r="O46" s="302"/>
      <c r="P46" s="303"/>
      <c r="Q46" s="302"/>
      <c r="R46" s="303"/>
      <c r="S46" s="382"/>
      <c r="T46" s="383"/>
      <c r="U46" s="382"/>
      <c r="V46" s="383"/>
      <c r="W46" s="320"/>
      <c r="X46" s="320"/>
      <c r="Y46" s="302"/>
      <c r="Z46" s="303"/>
      <c r="AA46" s="294"/>
      <c r="AL46" s="276">
        <v>6</v>
      </c>
      <c r="AM46" s="267" t="s">
        <v>776</v>
      </c>
      <c r="AN46" s="275">
        <f>AV49</f>
        <v>0</v>
      </c>
      <c r="AO46" s="275"/>
      <c r="AS46" s="268" t="s">
        <v>769</v>
      </c>
    </row>
    <row r="47" spans="2:64" ht="18.75" customHeight="1" x14ac:dyDescent="0.25">
      <c r="B47" s="229" t="s">
        <v>84</v>
      </c>
      <c r="C47" s="234"/>
      <c r="D47" s="235"/>
      <c r="E47" s="235"/>
      <c r="F47" s="284"/>
      <c r="G47" s="302"/>
      <c r="H47" s="284"/>
      <c r="I47" s="302"/>
      <c r="J47" s="284"/>
      <c r="K47" s="302"/>
      <c r="L47" s="303"/>
      <c r="M47" s="294"/>
      <c r="N47" s="303"/>
      <c r="O47" s="302"/>
      <c r="P47" s="303"/>
      <c r="Q47" s="302"/>
      <c r="R47" s="303"/>
      <c r="S47" s="382"/>
      <c r="T47" s="383"/>
      <c r="U47" s="382"/>
      <c r="V47" s="383"/>
      <c r="W47" s="320"/>
      <c r="X47" s="320"/>
      <c r="Y47" s="302"/>
      <c r="Z47" s="303"/>
      <c r="AA47" s="294"/>
      <c r="AM47" s="267" t="s">
        <v>609</v>
      </c>
      <c r="AN47" s="275"/>
      <c r="AO47" s="275">
        <f>AV49</f>
        <v>0</v>
      </c>
      <c r="AS47" s="267" t="s">
        <v>775</v>
      </c>
      <c r="AV47" s="266">
        <f>AV25</f>
        <v>0</v>
      </c>
    </row>
    <row r="48" spans="2:64" ht="18.75" customHeight="1" x14ac:dyDescent="0.25">
      <c r="B48" s="232" t="s">
        <v>86</v>
      </c>
      <c r="C48" s="234"/>
      <c r="D48" s="244">
        <v>123000</v>
      </c>
      <c r="E48" s="244">
        <f>8000+52000</f>
        <v>60000</v>
      </c>
      <c r="F48" s="292">
        <f>SUM(D48:E48)</f>
        <v>183000</v>
      </c>
      <c r="G48" s="304"/>
      <c r="H48" s="325"/>
      <c r="I48" s="304"/>
      <c r="J48" s="325"/>
      <c r="K48" s="304"/>
      <c r="L48" s="305"/>
      <c r="M48" s="295"/>
      <c r="N48" s="305"/>
      <c r="O48" s="304">
        <f>SUMIF($AM$39:$AM$43,"DR Trade payables",$AN$39:$AN$43)</f>
        <v>0</v>
      </c>
      <c r="P48" s="305">
        <f>-SUMIF($AM$39:$AM$67,"CR Trade payables",$AO$39:$AO$67)</f>
        <v>0</v>
      </c>
      <c r="Q48" s="304"/>
      <c r="R48" s="305"/>
      <c r="S48" s="384"/>
      <c r="T48" s="379"/>
      <c r="U48" s="384"/>
      <c r="V48" s="379"/>
      <c r="W48" s="321"/>
      <c r="X48" s="321"/>
      <c r="Y48" s="304"/>
      <c r="Z48" s="305"/>
      <c r="AA48" s="311">
        <f>F48-SUM(G48:Z48)</f>
        <v>183000</v>
      </c>
      <c r="AN48" s="275"/>
      <c r="AO48" s="275"/>
    </row>
    <row r="49" spans="2:64" ht="18.75" customHeight="1" x14ac:dyDescent="0.25">
      <c r="B49" s="232" t="s">
        <v>690</v>
      </c>
      <c r="C49" s="234" t="s">
        <v>667</v>
      </c>
      <c r="D49" s="244"/>
      <c r="E49" s="244"/>
      <c r="F49" s="292">
        <f>SUM(D49:E49)</f>
        <v>0</v>
      </c>
      <c r="G49" s="304"/>
      <c r="H49" s="325"/>
      <c r="I49" s="304"/>
      <c r="J49" s="325"/>
      <c r="K49" s="304"/>
      <c r="L49" s="305"/>
      <c r="M49" s="295"/>
      <c r="N49" s="305"/>
      <c r="O49" s="304"/>
      <c r="P49" s="305"/>
      <c r="Q49" s="304"/>
      <c r="R49" s="305"/>
      <c r="S49" s="384"/>
      <c r="T49" s="379"/>
      <c r="U49" s="384"/>
      <c r="V49" s="379"/>
      <c r="W49" s="321"/>
      <c r="X49" s="321"/>
      <c r="Y49" s="304"/>
      <c r="Z49" s="305"/>
      <c r="AA49" s="311">
        <f>F49-SUM(G49:Z49)</f>
        <v>0</v>
      </c>
      <c r="AM49" s="267" t="s">
        <v>777</v>
      </c>
      <c r="AN49" s="275">
        <f>AV50</f>
        <v>0</v>
      </c>
      <c r="AO49" s="275"/>
      <c r="AS49" s="267" t="s">
        <v>773</v>
      </c>
      <c r="AV49" s="275">
        <f>AV47-AV50</f>
        <v>0</v>
      </c>
    </row>
    <row r="50" spans="2:64" ht="18.75" customHeight="1" x14ac:dyDescent="0.25">
      <c r="B50" s="232" t="s">
        <v>691</v>
      </c>
      <c r="C50" s="234" t="s">
        <v>667</v>
      </c>
      <c r="D50" s="244"/>
      <c r="E50" s="244"/>
      <c r="F50" s="292">
        <f>SUM(D50:E50)</f>
        <v>0</v>
      </c>
      <c r="G50" s="304"/>
      <c r="H50" s="325"/>
      <c r="I50" s="304"/>
      <c r="J50" s="325"/>
      <c r="K50" s="304"/>
      <c r="L50" s="305"/>
      <c r="M50" s="295"/>
      <c r="N50" s="305"/>
      <c r="O50" s="304"/>
      <c r="P50" s="305"/>
      <c r="Q50" s="304"/>
      <c r="R50" s="305"/>
      <c r="S50" s="384"/>
      <c r="T50" s="379"/>
      <c r="U50" s="384"/>
      <c r="V50" s="379"/>
      <c r="W50" s="321"/>
      <c r="X50" s="321"/>
      <c r="Y50" s="304"/>
      <c r="Z50" s="305"/>
      <c r="AA50" s="311">
        <f>F50-SUM(G50:Z50)</f>
        <v>0</v>
      </c>
      <c r="AM50" s="267" t="s">
        <v>609</v>
      </c>
      <c r="AN50" s="275"/>
      <c r="AO50" s="275">
        <f>AV50</f>
        <v>0</v>
      </c>
      <c r="AS50" s="267" t="s">
        <v>774</v>
      </c>
      <c r="AV50" s="275">
        <f>AV47*AV6</f>
        <v>0</v>
      </c>
    </row>
    <row r="51" spans="2:64" ht="18.75" customHeight="1" x14ac:dyDescent="0.25">
      <c r="B51" s="232" t="s">
        <v>87</v>
      </c>
      <c r="C51" s="234"/>
      <c r="D51" s="244"/>
      <c r="E51" s="244"/>
      <c r="F51" s="292">
        <f>SUM(D51:E51)</f>
        <v>0</v>
      </c>
      <c r="G51" s="304"/>
      <c r="H51" s="325"/>
      <c r="I51" s="304"/>
      <c r="J51" s="325"/>
      <c r="K51" s="304"/>
      <c r="L51" s="305"/>
      <c r="M51" s="295"/>
      <c r="N51" s="305"/>
      <c r="O51" s="304"/>
      <c r="P51" s="305"/>
      <c r="Q51" s="304"/>
      <c r="R51" s="305"/>
      <c r="S51" s="384"/>
      <c r="T51" s="379"/>
      <c r="U51" s="384"/>
      <c r="V51" s="379"/>
      <c r="W51" s="321"/>
      <c r="X51" s="321"/>
      <c r="Y51" s="304"/>
      <c r="Z51" s="305"/>
      <c r="AA51" s="311">
        <f>F51-SUM(G51:Z51)</f>
        <v>0</v>
      </c>
    </row>
    <row r="52" spans="2:64" ht="18.75" customHeight="1" x14ac:dyDescent="0.25">
      <c r="B52" s="232" t="s">
        <v>692</v>
      </c>
      <c r="C52" s="234" t="s">
        <v>667</v>
      </c>
      <c r="D52" s="244"/>
      <c r="E52" s="244"/>
      <c r="F52" s="292">
        <f>SUM(D52:E52)</f>
        <v>0</v>
      </c>
      <c r="G52" s="304"/>
      <c r="H52" s="325"/>
      <c r="I52" s="304"/>
      <c r="J52" s="325"/>
      <c r="K52" s="304"/>
      <c r="L52" s="305"/>
      <c r="M52" s="295"/>
      <c r="N52" s="305"/>
      <c r="O52" s="304"/>
      <c r="P52" s="305"/>
      <c r="Q52" s="304"/>
      <c r="R52" s="305"/>
      <c r="S52" s="384"/>
      <c r="T52" s="379"/>
      <c r="U52" s="384"/>
      <c r="V52" s="379"/>
      <c r="W52" s="321"/>
      <c r="X52" s="321"/>
      <c r="Y52" s="304"/>
      <c r="Z52" s="305"/>
      <c r="AA52" s="311">
        <f>F52-SUM(G52:Z52)</f>
        <v>0</v>
      </c>
    </row>
    <row r="53" spans="2:64" ht="18.75" customHeight="1" thickBot="1" x14ac:dyDescent="0.3">
      <c r="B53" s="229" t="s">
        <v>693</v>
      </c>
      <c r="C53" s="234"/>
      <c r="D53" s="238">
        <f>SUM(D48:D52)</f>
        <v>123000</v>
      </c>
      <c r="E53" s="238">
        <f>SUM(E48:E52)</f>
        <v>60000</v>
      </c>
      <c r="F53" s="287">
        <f>SUM(F48:F52)</f>
        <v>183000</v>
      </c>
      <c r="G53" s="302"/>
      <c r="H53" s="284"/>
      <c r="I53" s="302"/>
      <c r="J53" s="284"/>
      <c r="K53" s="302"/>
      <c r="L53" s="303"/>
      <c r="M53" s="294"/>
      <c r="N53" s="303"/>
      <c r="O53" s="302"/>
      <c r="P53" s="303"/>
      <c r="Q53" s="302"/>
      <c r="R53" s="303"/>
      <c r="S53" s="382"/>
      <c r="T53" s="383"/>
      <c r="U53" s="382"/>
      <c r="V53" s="383"/>
      <c r="W53" s="320"/>
      <c r="X53" s="320"/>
      <c r="Y53" s="302"/>
      <c r="Z53" s="303"/>
      <c r="AA53" s="312">
        <f>SUM(AA48:AA52)</f>
        <v>183000</v>
      </c>
      <c r="AS53" s="268" t="s">
        <v>778</v>
      </c>
    </row>
    <row r="54" spans="2:64" ht="18.75" customHeight="1" thickBot="1" x14ac:dyDescent="0.3">
      <c r="B54" s="229" t="s">
        <v>694</v>
      </c>
      <c r="C54" s="234"/>
      <c r="D54" s="238">
        <f>SUM(D45,D53)</f>
        <v>123000</v>
      </c>
      <c r="E54" s="238">
        <f>SUM(E45,E53)</f>
        <v>80000</v>
      </c>
      <c r="F54" s="287">
        <f>SUM(F45,F53)</f>
        <v>203000</v>
      </c>
      <c r="G54" s="302"/>
      <c r="H54" s="284"/>
      <c r="I54" s="302"/>
      <c r="J54" s="284"/>
      <c r="K54" s="302"/>
      <c r="L54" s="303"/>
      <c r="M54" s="294"/>
      <c r="N54" s="303"/>
      <c r="O54" s="302"/>
      <c r="P54" s="303"/>
      <c r="Q54" s="302"/>
      <c r="R54" s="303"/>
      <c r="S54" s="382"/>
      <c r="T54" s="383"/>
      <c r="U54" s="382"/>
      <c r="V54" s="383"/>
      <c r="W54" s="320"/>
      <c r="X54" s="320"/>
      <c r="Y54" s="302"/>
      <c r="Z54" s="303"/>
      <c r="AA54" s="312">
        <f>SUM(AA45,AA53)</f>
        <v>203000</v>
      </c>
      <c r="AL54" s="276">
        <v>7</v>
      </c>
      <c r="AM54" s="267" t="s">
        <v>779</v>
      </c>
      <c r="AN54" s="275">
        <f>AV55</f>
        <v>0</v>
      </c>
      <c r="AS54" s="402" t="s">
        <v>799</v>
      </c>
    </row>
    <row r="55" spans="2:64" ht="18.75" customHeight="1" thickBot="1" x14ac:dyDescent="0.3">
      <c r="B55" s="229" t="s">
        <v>695</v>
      </c>
      <c r="C55" s="234"/>
      <c r="D55" s="240">
        <f>SUM(D39,D54)</f>
        <v>406600</v>
      </c>
      <c r="E55" s="240">
        <f>SUM(E39,E54)</f>
        <v>189250</v>
      </c>
      <c r="F55" s="289">
        <f>SUM(F39,F54)</f>
        <v>595850</v>
      </c>
      <c r="G55" s="308"/>
      <c r="H55" s="354"/>
      <c r="I55" s="308"/>
      <c r="J55" s="354"/>
      <c r="K55" s="308"/>
      <c r="L55" s="309"/>
      <c r="M55" s="333"/>
      <c r="N55" s="309"/>
      <c r="O55" s="308"/>
      <c r="P55" s="309"/>
      <c r="Q55" s="308"/>
      <c r="R55" s="309"/>
      <c r="S55" s="390"/>
      <c r="T55" s="391"/>
      <c r="U55" s="390"/>
      <c r="V55" s="391"/>
      <c r="W55" s="378"/>
      <c r="X55" s="378"/>
      <c r="Y55" s="308"/>
      <c r="Z55" s="309"/>
      <c r="AA55" s="313">
        <f>SUM(AA39,AA54)</f>
        <v>591629.6</v>
      </c>
      <c r="AM55" s="267" t="s">
        <v>787</v>
      </c>
      <c r="AO55" s="274">
        <f>AV55</f>
        <v>0</v>
      </c>
      <c r="AS55" s="267" t="s">
        <v>781</v>
      </c>
      <c r="AV55" s="266"/>
      <c r="BC55" s="279"/>
      <c r="BL55" s="401" t="s">
        <v>780</v>
      </c>
    </row>
    <row r="56" spans="2:64" x14ac:dyDescent="0.25">
      <c r="G56" s="393"/>
      <c r="H56" s="397"/>
      <c r="I56" s="393"/>
      <c r="J56" s="397"/>
      <c r="K56" s="393"/>
      <c r="L56" s="394"/>
      <c r="AM56" s="267" t="s">
        <v>322</v>
      </c>
      <c r="AN56" s="274">
        <f>AV60</f>
        <v>0</v>
      </c>
      <c r="AS56" s="267" t="s">
        <v>782</v>
      </c>
      <c r="AT56" s="273"/>
      <c r="AU56" s="273"/>
      <c r="AV56" s="266"/>
      <c r="BC56" s="279"/>
    </row>
    <row r="57" spans="2:64" x14ac:dyDescent="0.25">
      <c r="G57" s="393"/>
      <c r="H57" s="397"/>
      <c r="I57" s="393"/>
      <c r="J57" s="397"/>
      <c r="K57" s="393"/>
      <c r="L57" s="394"/>
      <c r="AM57" s="267" t="s">
        <v>819</v>
      </c>
      <c r="AO57" s="274">
        <f>AV60</f>
        <v>0</v>
      </c>
      <c r="AS57" s="267" t="s">
        <v>783</v>
      </c>
      <c r="AV57" s="363">
        <f>AV55-AV56</f>
        <v>0</v>
      </c>
    </row>
    <row r="58" spans="2:64" x14ac:dyDescent="0.25">
      <c r="G58" s="393"/>
      <c r="H58" s="397"/>
      <c r="I58" s="393"/>
      <c r="J58" s="397"/>
      <c r="K58" s="393"/>
      <c r="L58" s="394"/>
      <c r="AS58" s="273"/>
      <c r="AT58" s="273"/>
      <c r="AU58" s="273"/>
      <c r="AV58" s="273"/>
    </row>
    <row r="59" spans="2:64" ht="15.75" x14ac:dyDescent="0.25">
      <c r="B59" s="226" t="s">
        <v>654</v>
      </c>
      <c r="C59" s="808" t="s">
        <v>655</v>
      </c>
      <c r="D59" s="231" t="s">
        <v>761</v>
      </c>
      <c r="E59" s="324">
        <v>1</v>
      </c>
      <c r="F59" s="282"/>
      <c r="G59" s="395"/>
      <c r="H59" s="398"/>
      <c r="I59" s="395"/>
      <c r="J59" s="398"/>
      <c r="K59" s="395"/>
      <c r="L59" s="396"/>
      <c r="M59" s="392"/>
      <c r="N59" s="299"/>
      <c r="O59" s="299"/>
      <c r="P59" s="299"/>
      <c r="Q59" s="299"/>
      <c r="R59" s="299"/>
      <c r="S59" s="299"/>
      <c r="T59" s="299"/>
      <c r="U59" s="299"/>
      <c r="V59" s="299"/>
      <c r="W59" s="299"/>
      <c r="X59" s="299"/>
      <c r="Y59" s="299"/>
      <c r="Z59" s="299"/>
      <c r="AA59" s="227"/>
      <c r="AS59" s="267" t="s">
        <v>784</v>
      </c>
      <c r="AT59" s="273"/>
      <c r="AU59" s="273"/>
      <c r="AV59" s="367">
        <f>(150/350)*AV57</f>
        <v>0</v>
      </c>
    </row>
    <row r="60" spans="2:64" ht="16.5" thickBot="1" x14ac:dyDescent="0.3">
      <c r="B60" s="229" t="s">
        <v>13</v>
      </c>
      <c r="C60" s="813"/>
      <c r="D60" s="227"/>
      <c r="E60" s="227"/>
      <c r="F60" s="282"/>
      <c r="G60" s="806">
        <v>1</v>
      </c>
      <c r="H60" s="811"/>
      <c r="I60" s="806">
        <v>2</v>
      </c>
      <c r="J60" s="811"/>
      <c r="K60" s="806">
        <v>3</v>
      </c>
      <c r="L60" s="807"/>
      <c r="M60" s="811">
        <v>4</v>
      </c>
      <c r="N60" s="807"/>
      <c r="O60" s="806">
        <v>5</v>
      </c>
      <c r="P60" s="807"/>
      <c r="Q60" s="806">
        <v>6</v>
      </c>
      <c r="R60" s="807"/>
      <c r="S60" s="806">
        <v>7</v>
      </c>
      <c r="T60" s="807"/>
      <c r="U60" s="811">
        <v>8</v>
      </c>
      <c r="V60" s="811"/>
      <c r="W60" s="811">
        <v>9</v>
      </c>
      <c r="X60" s="807"/>
      <c r="Y60" s="806">
        <v>10</v>
      </c>
      <c r="Z60" s="807"/>
      <c r="AA60" s="310"/>
      <c r="AM60" s="267" t="s">
        <v>777</v>
      </c>
      <c r="AN60" s="274">
        <f>AV63</f>
        <v>0</v>
      </c>
      <c r="AS60" s="267" t="s">
        <v>785</v>
      </c>
      <c r="AT60" s="273"/>
      <c r="AU60" s="273"/>
      <c r="AV60" s="366">
        <f>AV57-AV59</f>
        <v>0</v>
      </c>
    </row>
    <row r="61" spans="2:64" ht="17.25" thickTop="1" thickBot="1" x14ac:dyDescent="0.3">
      <c r="B61" s="230" t="s">
        <v>717</v>
      </c>
      <c r="C61" s="814"/>
      <c r="D61" s="231" t="s">
        <v>657</v>
      </c>
      <c r="E61" s="231" t="s">
        <v>658</v>
      </c>
      <c r="F61" s="283" t="s">
        <v>659</v>
      </c>
      <c r="G61" s="300" t="s">
        <v>718</v>
      </c>
      <c r="H61" s="283" t="s">
        <v>719</v>
      </c>
      <c r="I61" s="300" t="s">
        <v>718</v>
      </c>
      <c r="J61" s="283" t="s">
        <v>719</v>
      </c>
      <c r="K61" s="300" t="s">
        <v>718</v>
      </c>
      <c r="L61" s="301" t="s">
        <v>719</v>
      </c>
      <c r="M61" s="293" t="s">
        <v>718</v>
      </c>
      <c r="N61" s="301" t="s">
        <v>719</v>
      </c>
      <c r="O61" s="300" t="s">
        <v>718</v>
      </c>
      <c r="P61" s="301" t="s">
        <v>719</v>
      </c>
      <c r="Q61" s="300" t="s">
        <v>718</v>
      </c>
      <c r="R61" s="301" t="s">
        <v>719</v>
      </c>
      <c r="S61" s="300" t="s">
        <v>718</v>
      </c>
      <c r="T61" s="301" t="s">
        <v>719</v>
      </c>
      <c r="U61" s="293" t="s">
        <v>718</v>
      </c>
      <c r="V61" s="301" t="s">
        <v>719</v>
      </c>
      <c r="W61" s="300" t="s">
        <v>718</v>
      </c>
      <c r="X61" s="301" t="s">
        <v>719</v>
      </c>
      <c r="Y61" s="300" t="s">
        <v>718</v>
      </c>
      <c r="Z61" s="301" t="s">
        <v>719</v>
      </c>
      <c r="AA61" s="293" t="s">
        <v>662</v>
      </c>
      <c r="AM61" s="267" t="s">
        <v>713</v>
      </c>
      <c r="AO61" s="274">
        <f>AV63</f>
        <v>0</v>
      </c>
      <c r="AS61" s="273"/>
      <c r="AT61" s="273"/>
      <c r="AU61" s="273"/>
      <c r="AV61" s="273"/>
    </row>
    <row r="62" spans="2:64" ht="15.75" x14ac:dyDescent="0.25">
      <c r="B62" s="232"/>
      <c r="C62" s="233" t="s">
        <v>663</v>
      </c>
      <c r="D62" s="231" t="s">
        <v>10</v>
      </c>
      <c r="E62" s="231" t="s">
        <v>10</v>
      </c>
      <c r="F62" s="283" t="s">
        <v>10</v>
      </c>
      <c r="G62" s="300" t="s">
        <v>10</v>
      </c>
      <c r="H62" s="283" t="s">
        <v>10</v>
      </c>
      <c r="I62" s="300" t="s">
        <v>10</v>
      </c>
      <c r="J62" s="283" t="s">
        <v>10</v>
      </c>
      <c r="K62" s="300" t="s">
        <v>10</v>
      </c>
      <c r="L62" s="301" t="s">
        <v>10</v>
      </c>
      <c r="M62" s="293" t="s">
        <v>10</v>
      </c>
      <c r="N62" s="301" t="s">
        <v>10</v>
      </c>
      <c r="O62" s="300" t="s">
        <v>10</v>
      </c>
      <c r="P62" s="301" t="s">
        <v>10</v>
      </c>
      <c r="Q62" s="300" t="s">
        <v>10</v>
      </c>
      <c r="R62" s="301" t="s">
        <v>10</v>
      </c>
      <c r="S62" s="300" t="s">
        <v>10</v>
      </c>
      <c r="T62" s="301" t="s">
        <v>10</v>
      </c>
      <c r="U62" s="293" t="s">
        <v>10</v>
      </c>
      <c r="V62" s="301" t="s">
        <v>10</v>
      </c>
      <c r="W62" s="300" t="s">
        <v>10</v>
      </c>
      <c r="X62" s="301" t="s">
        <v>10</v>
      </c>
      <c r="Y62" s="300" t="s">
        <v>10</v>
      </c>
      <c r="Z62" s="301" t="s">
        <v>10</v>
      </c>
      <c r="AA62" s="293" t="s">
        <v>10</v>
      </c>
    </row>
    <row r="63" spans="2:64" ht="15.75" x14ac:dyDescent="0.25">
      <c r="B63" s="229" t="s">
        <v>58</v>
      </c>
      <c r="C63" s="234"/>
      <c r="D63" s="236"/>
      <c r="E63" s="236"/>
      <c r="F63" s="285">
        <f>SUM(D63:E63)</f>
        <v>0</v>
      </c>
      <c r="G63" s="304"/>
      <c r="H63" s="325"/>
      <c r="I63" s="304"/>
      <c r="J63" s="325"/>
      <c r="K63" s="304"/>
      <c r="L63" s="305"/>
      <c r="M63" s="295"/>
      <c r="N63" s="305"/>
      <c r="O63" s="304">
        <f>SUMIF($AM$39:$AM$43,"DR SPL - Revenue",$AN$39:$AN$43)</f>
        <v>0</v>
      </c>
      <c r="P63" s="305">
        <f>SUMIF($AM$39:$AM$43,"CR SPL - Revenue",$AO$39:$AO$43)</f>
        <v>0</v>
      </c>
      <c r="Q63" s="304">
        <f>SUMIF($AM$46:$AM$50,"DR SPL - Revenue",$AN$46:$AN$50)</f>
        <v>0</v>
      </c>
      <c r="R63" s="305">
        <f>SUMIF($AM$46:$AM$50,"CR SPL - Revenue",$AO$46:$AO$50)</f>
        <v>0</v>
      </c>
      <c r="S63" s="304">
        <f>SUMIF($AM$54:$AM$61,"DR SPL - Revenue",$AN$54:$AN$61)</f>
        <v>0</v>
      </c>
      <c r="T63" s="305">
        <f>SUMIF($AM$54:$AM$61,"CR SPL - Revenue",$AO$54:$AO$61)</f>
        <v>0</v>
      </c>
      <c r="U63" s="321"/>
      <c r="V63" s="321"/>
      <c r="W63" s="321"/>
      <c r="X63" s="321"/>
      <c r="Y63" s="304"/>
      <c r="Z63" s="305"/>
      <c r="AA63" s="311">
        <f>F63-SUM(G63:Z63)</f>
        <v>0</v>
      </c>
      <c r="AS63" s="267" t="s">
        <v>786</v>
      </c>
      <c r="AV63" s="274">
        <f>IF(AS54="Sub -&gt; Parent",AV60*AV6,0)</f>
        <v>0</v>
      </c>
    </row>
    <row r="64" spans="2:64" ht="15.75" x14ac:dyDescent="0.25">
      <c r="B64" s="229"/>
      <c r="C64" s="234"/>
      <c r="D64" s="248"/>
      <c r="E64" s="248"/>
      <c r="F64" s="330"/>
      <c r="G64" s="304"/>
      <c r="H64" s="325"/>
      <c r="I64" s="304"/>
      <c r="J64" s="325"/>
      <c r="K64" s="304"/>
      <c r="L64" s="305"/>
      <c r="M64" s="295"/>
      <c r="N64" s="305"/>
      <c r="O64" s="304"/>
      <c r="P64" s="305"/>
      <c r="Q64" s="304"/>
      <c r="R64" s="305"/>
      <c r="S64" s="384"/>
      <c r="T64" s="379"/>
      <c r="U64" s="321"/>
      <c r="V64" s="321"/>
      <c r="W64" s="321"/>
      <c r="X64" s="321"/>
      <c r="Y64" s="304"/>
      <c r="Z64" s="305"/>
      <c r="AA64" s="294"/>
    </row>
    <row r="65" spans="2:64" ht="16.5" thickBot="1" x14ac:dyDescent="0.3">
      <c r="B65" s="229"/>
      <c r="C65" s="234"/>
      <c r="D65" s="248"/>
      <c r="E65" s="248"/>
      <c r="F65" s="330"/>
      <c r="G65" s="304"/>
      <c r="H65" s="325"/>
      <c r="I65" s="304"/>
      <c r="J65" s="325"/>
      <c r="K65" s="304"/>
      <c r="L65" s="305"/>
      <c r="M65" s="295"/>
      <c r="N65" s="305"/>
      <c r="O65" s="304"/>
      <c r="P65" s="305"/>
      <c r="Q65" s="304"/>
      <c r="R65" s="305"/>
      <c r="S65" s="384"/>
      <c r="T65" s="379"/>
      <c r="U65" s="321"/>
      <c r="V65" s="321"/>
      <c r="W65" s="321"/>
      <c r="X65" s="321"/>
      <c r="Y65" s="304"/>
      <c r="Z65" s="305"/>
      <c r="AA65" s="294"/>
      <c r="AS65" s="268" t="s">
        <v>790</v>
      </c>
    </row>
    <row r="66" spans="2:64" ht="16.5" thickBot="1" x14ac:dyDescent="0.3">
      <c r="B66" s="232" t="s">
        <v>67</v>
      </c>
      <c r="C66" s="234"/>
      <c r="D66" s="237"/>
      <c r="E66" s="237"/>
      <c r="F66" s="286">
        <f>SUM(D66:E66)</f>
        <v>0</v>
      </c>
      <c r="G66" s="304"/>
      <c r="H66" s="325"/>
      <c r="I66" s="304"/>
      <c r="J66" s="325"/>
      <c r="K66" s="304"/>
      <c r="L66" s="305"/>
      <c r="M66" s="295"/>
      <c r="N66" s="305"/>
      <c r="O66" s="304">
        <f>SUMIF($AM$39:$AM$43,"DR SPL - Cost of sales",$AN$39:$AN$43)</f>
        <v>0</v>
      </c>
      <c r="P66" s="305">
        <f>-SUMIF($AM$39:$AM$43,"CR SPL - Cost of sales",$AO$39:$AO$43)</f>
        <v>0</v>
      </c>
      <c r="Q66" s="304">
        <f>SUMIF($AM$46:$AM$50,"DR SPL - Cost of sales",$AN$46:$AN$50)</f>
        <v>0</v>
      </c>
      <c r="R66" s="305">
        <f>-SUMIF($AM$46:$AM$50,"CR SPL - Cost of sales",$AO$46:$AO$50)</f>
        <v>0</v>
      </c>
      <c r="S66" s="304">
        <f>SUMIF($AM$54:$AM$61,"DR SPL - Cost of sales",$AN$54:$AN$61)</f>
        <v>0</v>
      </c>
      <c r="T66" s="305">
        <f>-SUMIF($AM$54:$AM$61,"CR SPL - Cost of sales",$AO$54:$AO$61)</f>
        <v>0</v>
      </c>
      <c r="U66" s="321"/>
      <c r="V66" s="321"/>
      <c r="W66" s="321"/>
      <c r="X66" s="321"/>
      <c r="Y66" s="304"/>
      <c r="Z66" s="305"/>
      <c r="AA66" s="311">
        <f>F66+SUM(G66:Z66)</f>
        <v>0</v>
      </c>
      <c r="AL66" s="276">
        <v>8</v>
      </c>
      <c r="AM66" s="247" t="s">
        <v>791</v>
      </c>
    </row>
    <row r="67" spans="2:64" x14ac:dyDescent="0.25">
      <c r="B67" s="232"/>
      <c r="C67" s="234"/>
      <c r="D67" s="235"/>
      <c r="E67" s="235"/>
      <c r="F67" s="284"/>
      <c r="G67" s="304"/>
      <c r="H67" s="325"/>
      <c r="I67" s="304"/>
      <c r="J67" s="325"/>
      <c r="K67" s="304"/>
      <c r="L67" s="305"/>
      <c r="M67" s="295"/>
      <c r="N67" s="305"/>
      <c r="O67" s="304"/>
      <c r="P67" s="305"/>
      <c r="Q67" s="304"/>
      <c r="R67" s="305"/>
      <c r="S67" s="384"/>
      <c r="T67" s="379"/>
      <c r="U67" s="321"/>
      <c r="V67" s="321"/>
      <c r="W67" s="321"/>
      <c r="X67" s="321"/>
      <c r="Y67" s="304"/>
      <c r="Z67" s="305"/>
      <c r="AA67" s="294"/>
      <c r="AM67" s="247" t="s">
        <v>792</v>
      </c>
    </row>
    <row r="68" spans="2:64" x14ac:dyDescent="0.25">
      <c r="B68" s="232"/>
      <c r="C68" s="234"/>
      <c r="D68" s="248"/>
      <c r="E68" s="248"/>
      <c r="F68" s="330"/>
      <c r="G68" s="304"/>
      <c r="H68" s="325"/>
      <c r="I68" s="304"/>
      <c r="J68" s="325"/>
      <c r="K68" s="304"/>
      <c r="L68" s="305"/>
      <c r="M68" s="295"/>
      <c r="N68" s="305"/>
      <c r="O68" s="304"/>
      <c r="P68" s="305"/>
      <c r="Q68" s="304"/>
      <c r="R68" s="305"/>
      <c r="S68" s="384"/>
      <c r="T68" s="379"/>
      <c r="U68" s="321"/>
      <c r="V68" s="321"/>
      <c r="W68" s="321"/>
      <c r="X68" s="321"/>
      <c r="Y68" s="304"/>
      <c r="Z68" s="305"/>
      <c r="AA68" s="332"/>
    </row>
    <row r="69" spans="2:64" ht="15.75" x14ac:dyDescent="0.25">
      <c r="B69" s="232" t="s">
        <v>720</v>
      </c>
      <c r="C69" s="234"/>
      <c r="D69" s="241">
        <f>D63-D66</f>
        <v>0</v>
      </c>
      <c r="E69" s="241">
        <f>E63-E66</f>
        <v>0</v>
      </c>
      <c r="F69" s="290">
        <f>F63-F66</f>
        <v>0</v>
      </c>
      <c r="G69" s="302"/>
      <c r="H69" s="284"/>
      <c r="I69" s="302"/>
      <c r="J69" s="284"/>
      <c r="K69" s="302"/>
      <c r="L69" s="303"/>
      <c r="M69" s="294"/>
      <c r="N69" s="303"/>
      <c r="O69" s="302"/>
      <c r="P69" s="303"/>
      <c r="Q69" s="302"/>
      <c r="R69" s="303"/>
      <c r="S69" s="382"/>
      <c r="T69" s="383"/>
      <c r="U69" s="320"/>
      <c r="V69" s="320"/>
      <c r="W69" s="320"/>
      <c r="X69" s="320"/>
      <c r="Y69" s="302"/>
      <c r="Z69" s="303"/>
      <c r="AA69" s="314">
        <f>AA63-AA66</f>
        <v>0</v>
      </c>
      <c r="AS69" s="268" t="s">
        <v>793</v>
      </c>
    </row>
    <row r="70" spans="2:64" ht="16.5" thickBot="1" x14ac:dyDescent="0.3">
      <c r="B70" s="232" t="s">
        <v>95</v>
      </c>
      <c r="C70" s="234"/>
      <c r="D70" s="237"/>
      <c r="E70" s="237"/>
      <c r="F70" s="286">
        <f>SUM(D70:E70)</f>
        <v>0</v>
      </c>
      <c r="G70" s="304"/>
      <c r="H70" s="325"/>
      <c r="I70" s="304"/>
      <c r="J70" s="325"/>
      <c r="K70" s="304"/>
      <c r="L70" s="305"/>
      <c r="M70" s="295"/>
      <c r="N70" s="305"/>
      <c r="O70" s="304"/>
      <c r="P70" s="305"/>
      <c r="Q70" s="304"/>
      <c r="R70" s="305"/>
      <c r="S70" s="384"/>
      <c r="T70" s="379"/>
      <c r="U70" s="321"/>
      <c r="V70" s="321"/>
      <c r="W70" s="321">
        <f>SUMIF($AM$71:$AM$82,"DR SPL - gain on sale",AN$71:AN$82)</f>
        <v>0</v>
      </c>
      <c r="X70" s="321">
        <f>SUMIF($AM$71:$AM$82,"CR SPL - gain on sale",AO$71:AO$82)</f>
        <v>0</v>
      </c>
      <c r="Y70" s="304"/>
      <c r="Z70" s="305"/>
      <c r="AA70" s="311">
        <f>F70-G70-G71-G72+H72+H71+H70</f>
        <v>0</v>
      </c>
      <c r="AS70" s="402" t="s">
        <v>799</v>
      </c>
      <c r="BL70" s="401" t="s">
        <v>794</v>
      </c>
    </row>
    <row r="71" spans="2:64" ht="16.5" thickBot="1" x14ac:dyDescent="0.3">
      <c r="B71" s="232"/>
      <c r="C71" s="234"/>
      <c r="D71" s="235"/>
      <c r="E71" s="235"/>
      <c r="F71" s="284"/>
      <c r="G71" s="304"/>
      <c r="H71" s="325"/>
      <c r="I71" s="304"/>
      <c r="J71" s="325"/>
      <c r="K71" s="304"/>
      <c r="L71" s="305"/>
      <c r="M71" s="295"/>
      <c r="N71" s="305"/>
      <c r="O71" s="304"/>
      <c r="P71" s="305"/>
      <c r="Q71" s="304"/>
      <c r="R71" s="305"/>
      <c r="S71" s="384"/>
      <c r="T71" s="379"/>
      <c r="U71" s="321"/>
      <c r="V71" s="321"/>
      <c r="W71" s="321"/>
      <c r="X71" s="321"/>
      <c r="Y71" s="304"/>
      <c r="Z71" s="305"/>
      <c r="AA71" s="294"/>
      <c r="AL71" s="276">
        <v>9</v>
      </c>
      <c r="AM71" s="267" t="s">
        <v>801</v>
      </c>
      <c r="AN71" s="274">
        <f>AV76</f>
        <v>0</v>
      </c>
      <c r="AS71" s="267" t="s">
        <v>797</v>
      </c>
      <c r="AV71" s="375"/>
      <c r="BL71" s="401" t="s">
        <v>795</v>
      </c>
    </row>
    <row r="72" spans="2:64" x14ac:dyDescent="0.25">
      <c r="B72" s="232"/>
      <c r="C72" s="234"/>
      <c r="D72" s="235"/>
      <c r="E72" s="235"/>
      <c r="F72" s="284"/>
      <c r="G72" s="304"/>
      <c r="H72" s="325"/>
      <c r="I72" s="304"/>
      <c r="J72" s="325"/>
      <c r="K72" s="304"/>
      <c r="L72" s="305"/>
      <c r="M72" s="295"/>
      <c r="N72" s="305"/>
      <c r="O72" s="304"/>
      <c r="P72" s="305"/>
      <c r="Q72" s="304"/>
      <c r="R72" s="305"/>
      <c r="S72" s="384"/>
      <c r="T72" s="379"/>
      <c r="U72" s="321"/>
      <c r="V72" s="321"/>
      <c r="W72" s="321"/>
      <c r="X72" s="321"/>
      <c r="Y72" s="304"/>
      <c r="Z72" s="305"/>
      <c r="AA72" s="294"/>
      <c r="AM72" s="267" t="str">
        <f>IF(AN71-AO73&gt;0,"CR PPE - Cost","DR PPE - Cost")</f>
        <v>DR PPE - Cost</v>
      </c>
      <c r="AN72" s="274">
        <f>IF($AN$71-$AO$73&gt;0,0,$AO$73-$AN$71)</f>
        <v>0</v>
      </c>
      <c r="AO72" s="274">
        <f>IF($AN$71-$AO$73&lt;0,0,$AN$71-$AO$73)</f>
        <v>0</v>
      </c>
      <c r="BL72" s="401" t="s">
        <v>796</v>
      </c>
    </row>
    <row r="73" spans="2:64" x14ac:dyDescent="0.25">
      <c r="B73" s="232" t="s">
        <v>721</v>
      </c>
      <c r="C73" s="234"/>
      <c r="D73" s="249"/>
      <c r="E73" s="249"/>
      <c r="F73" s="353">
        <f>SUM(D73:E73)</f>
        <v>0</v>
      </c>
      <c r="G73" s="304"/>
      <c r="H73" s="325"/>
      <c r="I73" s="304"/>
      <c r="J73" s="325"/>
      <c r="K73" s="304"/>
      <c r="L73" s="305"/>
      <c r="M73" s="295"/>
      <c r="N73" s="305"/>
      <c r="O73" s="304"/>
      <c r="P73" s="305"/>
      <c r="Q73" s="304"/>
      <c r="R73" s="305"/>
      <c r="S73" s="384"/>
      <c r="T73" s="379"/>
      <c r="U73" s="321"/>
      <c r="V73" s="321"/>
      <c r="W73" s="321"/>
      <c r="X73" s="321"/>
      <c r="Y73" s="304"/>
      <c r="Z73" s="305"/>
      <c r="AA73" s="311">
        <f>F73+G73+G74+G75-H75-H74-H73</f>
        <v>0</v>
      </c>
      <c r="AM73" s="267" t="s">
        <v>802</v>
      </c>
      <c r="AO73" s="274">
        <f>AV74</f>
        <v>0</v>
      </c>
      <c r="AS73" s="267" t="s">
        <v>193</v>
      </c>
      <c r="AV73" s="266"/>
      <c r="BL73" s="401" t="s">
        <v>812</v>
      </c>
    </row>
    <row r="74" spans="2:64" x14ac:dyDescent="0.25">
      <c r="B74" s="232"/>
      <c r="C74" s="234"/>
      <c r="D74" s="235"/>
      <c r="E74" s="235"/>
      <c r="F74" s="284"/>
      <c r="G74" s="304"/>
      <c r="H74" s="325"/>
      <c r="I74" s="304"/>
      <c r="J74" s="325"/>
      <c r="K74" s="304"/>
      <c r="L74" s="305"/>
      <c r="M74" s="295"/>
      <c r="N74" s="305"/>
      <c r="O74" s="304"/>
      <c r="P74" s="305"/>
      <c r="Q74" s="304"/>
      <c r="R74" s="305"/>
      <c r="S74" s="384"/>
      <c r="T74" s="379"/>
      <c r="U74" s="321"/>
      <c r="V74" s="321"/>
      <c r="W74" s="321"/>
      <c r="X74" s="321"/>
      <c r="Y74" s="304"/>
      <c r="Z74" s="305"/>
      <c r="AA74" s="294"/>
      <c r="AS74" s="267" t="s">
        <v>806</v>
      </c>
      <c r="AV74" s="266"/>
    </row>
    <row r="75" spans="2:64" x14ac:dyDescent="0.25">
      <c r="B75" s="232"/>
      <c r="C75" s="234"/>
      <c r="D75" s="235"/>
      <c r="E75" s="235"/>
      <c r="F75" s="284"/>
      <c r="G75" s="304"/>
      <c r="H75" s="325"/>
      <c r="I75" s="304"/>
      <c r="J75" s="325"/>
      <c r="K75" s="304"/>
      <c r="L75" s="305"/>
      <c r="M75" s="295"/>
      <c r="N75" s="305"/>
      <c r="O75" s="304"/>
      <c r="P75" s="305"/>
      <c r="Q75" s="304"/>
      <c r="R75" s="305"/>
      <c r="S75" s="384"/>
      <c r="T75" s="379"/>
      <c r="U75" s="321"/>
      <c r="V75" s="321"/>
      <c r="W75" s="321"/>
      <c r="X75" s="321"/>
      <c r="Y75" s="304"/>
      <c r="Z75" s="305"/>
      <c r="AA75" s="294"/>
      <c r="AM75" s="267" t="s">
        <v>821</v>
      </c>
      <c r="AN75" s="274">
        <f>AV77</f>
        <v>0</v>
      </c>
      <c r="AS75" s="267" t="s">
        <v>798</v>
      </c>
      <c r="AV75" s="376">
        <f>AV73-AV74</f>
        <v>0</v>
      </c>
    </row>
    <row r="76" spans="2:64" x14ac:dyDescent="0.25">
      <c r="B76" s="232" t="s">
        <v>722</v>
      </c>
      <c r="C76" s="234"/>
      <c r="D76" s="249"/>
      <c r="E76" s="249"/>
      <c r="F76" s="353">
        <f>SUM(D76:E76)</f>
        <v>0</v>
      </c>
      <c r="G76" s="304"/>
      <c r="H76" s="325"/>
      <c r="I76" s="304"/>
      <c r="J76" s="325"/>
      <c r="K76" s="304"/>
      <c r="L76" s="305"/>
      <c r="M76" s="295"/>
      <c r="N76" s="305"/>
      <c r="O76" s="304">
        <f>SUMIF($AM$18:$AM$20,"DR SPL - Impairment loss",$AN$18:$AN$20)</f>
        <v>0</v>
      </c>
      <c r="P76" s="305">
        <f>SUMIF($AM$18:$AM$20,"CR SPL - Impairment loss",$AN$18:$AN$20)</f>
        <v>0</v>
      </c>
      <c r="Q76" s="304">
        <f>SUMIF($AM$46:$AM$50,"DR SPL - Impairment loss",$AN$46:$AN$50)</f>
        <v>0</v>
      </c>
      <c r="R76" s="305">
        <f>SUMIF($AM$46:$AM$50,"CR SPL - Impairment loss",$AN$46:$AN$50)</f>
        <v>0</v>
      </c>
      <c r="S76" s="384"/>
      <c r="T76" s="379"/>
      <c r="U76" s="321"/>
      <c r="V76" s="321"/>
      <c r="W76" s="321">
        <f>SUMIF($AM$71:$AM$82,"DR SPL - depreciation charge",AN$71:AN$82)</f>
        <v>0</v>
      </c>
      <c r="X76" s="321">
        <f>SUMIF($AM$71:$AM$82,"CR SPL - depreciation charge",AO$71:AO$82)</f>
        <v>0</v>
      </c>
      <c r="Y76" s="304"/>
      <c r="Z76" s="305"/>
      <c r="AA76" s="311">
        <f>F76+SUM(G76:Z76)</f>
        <v>0</v>
      </c>
      <c r="AM76" s="267" t="s">
        <v>822</v>
      </c>
      <c r="AO76" s="274">
        <f>AV77</f>
        <v>0</v>
      </c>
      <c r="AS76" s="267" t="s">
        <v>800</v>
      </c>
      <c r="AV76" s="363">
        <f>AV71-AV75</f>
        <v>0</v>
      </c>
    </row>
    <row r="77" spans="2:64" ht="15.75" x14ac:dyDescent="0.25">
      <c r="B77" s="232"/>
      <c r="C77" s="234"/>
      <c r="D77" s="235"/>
      <c r="E77" s="235"/>
      <c r="F77" s="284"/>
      <c r="G77" s="304"/>
      <c r="H77" s="325"/>
      <c r="I77" s="304"/>
      <c r="J77" s="325"/>
      <c r="K77" s="304"/>
      <c r="L77" s="305"/>
      <c r="M77" s="295"/>
      <c r="N77" s="305"/>
      <c r="O77" s="304"/>
      <c r="P77" s="305"/>
      <c r="Q77" s="304"/>
      <c r="R77" s="305"/>
      <c r="S77" s="384"/>
      <c r="T77" s="379"/>
      <c r="U77" s="321"/>
      <c r="V77" s="321"/>
      <c r="W77" s="321"/>
      <c r="X77" s="321"/>
      <c r="Y77" s="304"/>
      <c r="Z77" s="305"/>
      <c r="AA77" s="294"/>
      <c r="AS77" s="268" t="s">
        <v>820</v>
      </c>
      <c r="AV77" s="274">
        <f>AV76*AV6</f>
        <v>0</v>
      </c>
    </row>
    <row r="78" spans="2:64" x14ac:dyDescent="0.25">
      <c r="B78" s="232"/>
      <c r="C78" s="234"/>
      <c r="D78" s="235"/>
      <c r="E78" s="235"/>
      <c r="F78" s="284"/>
      <c r="G78" s="304"/>
      <c r="H78" s="325"/>
      <c r="I78" s="304"/>
      <c r="J78" s="325"/>
      <c r="K78" s="304"/>
      <c r="L78" s="305"/>
      <c r="M78" s="295"/>
      <c r="N78" s="305"/>
      <c r="O78" s="304"/>
      <c r="P78" s="305"/>
      <c r="Q78" s="304"/>
      <c r="R78" s="305"/>
      <c r="S78" s="384"/>
      <c r="T78" s="379"/>
      <c r="U78" s="321"/>
      <c r="V78" s="321"/>
      <c r="W78" s="321"/>
      <c r="X78" s="321"/>
      <c r="Y78" s="304"/>
      <c r="Z78" s="305"/>
      <c r="AA78" s="294"/>
      <c r="AM78" s="267" t="s">
        <v>808</v>
      </c>
      <c r="AN78" s="274">
        <f>AV80</f>
        <v>0</v>
      </c>
      <c r="AS78" s="267" t="s">
        <v>803</v>
      </c>
      <c r="AV78" s="266"/>
    </row>
    <row r="79" spans="2:64" x14ac:dyDescent="0.25">
      <c r="B79" s="232"/>
      <c r="C79" s="234"/>
      <c r="D79" s="235"/>
      <c r="E79" s="235"/>
      <c r="F79" s="284"/>
      <c r="G79" s="304"/>
      <c r="H79" s="325"/>
      <c r="I79" s="304"/>
      <c r="J79" s="325"/>
      <c r="K79" s="304"/>
      <c r="L79" s="305"/>
      <c r="M79" s="295"/>
      <c r="N79" s="305"/>
      <c r="O79" s="304"/>
      <c r="P79" s="305"/>
      <c r="Q79" s="304"/>
      <c r="R79" s="305"/>
      <c r="S79" s="384"/>
      <c r="T79" s="379"/>
      <c r="U79" s="321"/>
      <c r="V79" s="321"/>
      <c r="W79" s="321"/>
      <c r="X79" s="321"/>
      <c r="Y79" s="304"/>
      <c r="Z79" s="305"/>
      <c r="AA79" s="294"/>
      <c r="AM79" s="267" t="s">
        <v>809</v>
      </c>
      <c r="AO79" s="274">
        <f>AV80</f>
        <v>0</v>
      </c>
      <c r="AS79" s="267" t="s">
        <v>804</v>
      </c>
      <c r="AV79" s="266"/>
    </row>
    <row r="80" spans="2:64" x14ac:dyDescent="0.25">
      <c r="B80" s="232"/>
      <c r="C80" s="234"/>
      <c r="D80" s="235"/>
      <c r="E80" s="235"/>
      <c r="F80" s="284"/>
      <c r="G80" s="304"/>
      <c r="H80" s="325"/>
      <c r="I80" s="304"/>
      <c r="J80" s="325"/>
      <c r="K80" s="304"/>
      <c r="L80" s="305"/>
      <c r="M80" s="295"/>
      <c r="N80" s="305"/>
      <c r="O80" s="304"/>
      <c r="P80" s="305"/>
      <c r="Q80" s="304"/>
      <c r="R80" s="305"/>
      <c r="S80" s="384"/>
      <c r="T80" s="379"/>
      <c r="U80" s="321"/>
      <c r="V80" s="321"/>
      <c r="W80" s="321"/>
      <c r="X80" s="321"/>
      <c r="Y80" s="304"/>
      <c r="Z80" s="305"/>
      <c r="AA80" s="294"/>
      <c r="AS80" s="267" t="s">
        <v>805</v>
      </c>
      <c r="AV80" s="376">
        <f>AV78-AV79</f>
        <v>0</v>
      </c>
    </row>
    <row r="81" spans="2:48" ht="16.5" thickBot="1" x14ac:dyDescent="0.3">
      <c r="B81" s="232" t="s">
        <v>723</v>
      </c>
      <c r="C81" s="234"/>
      <c r="D81" s="236"/>
      <c r="E81" s="236"/>
      <c r="F81" s="285">
        <f>SUM(D81:E81)</f>
        <v>0</v>
      </c>
      <c r="G81" s="304"/>
      <c r="H81" s="325"/>
      <c r="I81" s="304"/>
      <c r="J81" s="325"/>
      <c r="K81" s="304"/>
      <c r="L81" s="305"/>
      <c r="M81" s="295"/>
      <c r="N81" s="305"/>
      <c r="O81" s="304"/>
      <c r="P81" s="305"/>
      <c r="Q81" s="304"/>
      <c r="R81" s="305"/>
      <c r="S81" s="384"/>
      <c r="T81" s="379"/>
      <c r="U81" s="321"/>
      <c r="V81" s="321"/>
      <c r="W81" s="321"/>
      <c r="X81" s="321"/>
      <c r="Y81" s="304"/>
      <c r="Z81" s="305"/>
      <c r="AA81" s="311">
        <f>F81+G81+G82+G83-H83-H82-H81</f>
        <v>0</v>
      </c>
      <c r="AM81" s="267" t="s">
        <v>810</v>
      </c>
      <c r="AN81" s="274">
        <f>AV81</f>
        <v>0</v>
      </c>
      <c r="AS81" s="268" t="s">
        <v>807</v>
      </c>
      <c r="AV81" s="377">
        <f>IF(AS70="Parent -&gt; Sub",AV80*AV6,0)</f>
        <v>0</v>
      </c>
    </row>
    <row r="82" spans="2:48" ht="15.75" thickTop="1" x14ac:dyDescent="0.25">
      <c r="B82" s="232"/>
      <c r="C82" s="234"/>
      <c r="D82" s="235"/>
      <c r="E82" s="235"/>
      <c r="F82" s="284"/>
      <c r="G82" s="304"/>
      <c r="H82" s="325"/>
      <c r="I82" s="304"/>
      <c r="J82" s="325"/>
      <c r="K82" s="304"/>
      <c r="L82" s="305"/>
      <c r="M82" s="295"/>
      <c r="N82" s="305"/>
      <c r="O82" s="304"/>
      <c r="P82" s="305"/>
      <c r="Q82" s="304"/>
      <c r="R82" s="305"/>
      <c r="S82" s="384"/>
      <c r="T82" s="379"/>
      <c r="U82" s="321"/>
      <c r="V82" s="321"/>
      <c r="W82" s="321"/>
      <c r="X82" s="321"/>
      <c r="Y82" s="304"/>
      <c r="Z82" s="305"/>
      <c r="AA82" s="294"/>
      <c r="AM82" s="267" t="s">
        <v>700</v>
      </c>
      <c r="AO82" s="274">
        <f>AV81</f>
        <v>0</v>
      </c>
    </row>
    <row r="83" spans="2:48" ht="15.75" thickBot="1" x14ac:dyDescent="0.3">
      <c r="B83" s="232"/>
      <c r="C83" s="234"/>
      <c r="D83" s="235"/>
      <c r="E83" s="235"/>
      <c r="F83" s="284"/>
      <c r="G83" s="304"/>
      <c r="H83" s="325"/>
      <c r="I83" s="304"/>
      <c r="J83" s="325"/>
      <c r="K83" s="304"/>
      <c r="L83" s="305"/>
      <c r="M83" s="295"/>
      <c r="N83" s="305"/>
      <c r="O83" s="304"/>
      <c r="P83" s="305"/>
      <c r="Q83" s="304"/>
      <c r="R83" s="305"/>
      <c r="S83" s="384"/>
      <c r="T83" s="379"/>
      <c r="U83" s="321"/>
      <c r="V83" s="321"/>
      <c r="W83" s="321"/>
      <c r="X83" s="321"/>
      <c r="Y83" s="304"/>
      <c r="Z83" s="305"/>
      <c r="AA83" s="294"/>
    </row>
    <row r="84" spans="2:48" ht="16.5" thickBot="1" x14ac:dyDescent="0.3">
      <c r="B84" s="232" t="s">
        <v>631</v>
      </c>
      <c r="C84" s="234"/>
      <c r="D84" s="249"/>
      <c r="E84" s="249"/>
      <c r="F84" s="353">
        <f>SUM(D84:E84)</f>
        <v>0</v>
      </c>
      <c r="G84" s="304"/>
      <c r="H84" s="325"/>
      <c r="I84" s="304"/>
      <c r="J84" s="325"/>
      <c r="K84" s="304"/>
      <c r="L84" s="305"/>
      <c r="M84" s="295"/>
      <c r="N84" s="305"/>
      <c r="O84" s="304"/>
      <c r="P84" s="305"/>
      <c r="Q84" s="304"/>
      <c r="R84" s="305"/>
      <c r="S84" s="384"/>
      <c r="T84" s="379"/>
      <c r="U84" s="321"/>
      <c r="V84" s="321"/>
      <c r="W84" s="321"/>
      <c r="X84" s="321"/>
      <c r="Y84" s="304"/>
      <c r="Z84" s="305"/>
      <c r="AA84" s="311">
        <f>F84+G84+G85+G86-H86-H85-H84</f>
        <v>0</v>
      </c>
      <c r="AL84" s="276">
        <v>10</v>
      </c>
      <c r="AM84" s="267" t="str">
        <f>IF(AN84&lt;&gt;0,"DR Retained earnings","CR Retained earnings")</f>
        <v>CR Retained earnings</v>
      </c>
      <c r="AN84" s="275">
        <f>IF($AV$91&gt;0,$AV$91,0)</f>
        <v>0</v>
      </c>
      <c r="AO84" s="275">
        <f>IF($AV$91&lt;0,-$AV$91,0)</f>
        <v>205.8</v>
      </c>
      <c r="AS84" s="268" t="s">
        <v>716</v>
      </c>
    </row>
    <row r="85" spans="2:48" x14ac:dyDescent="0.25">
      <c r="B85" s="232"/>
      <c r="C85" s="234"/>
      <c r="D85" s="235"/>
      <c r="E85" s="235"/>
      <c r="F85" s="284"/>
      <c r="G85" s="304"/>
      <c r="H85" s="325"/>
      <c r="I85" s="304"/>
      <c r="J85" s="325"/>
      <c r="K85" s="304"/>
      <c r="L85" s="305"/>
      <c r="M85" s="295"/>
      <c r="N85" s="305"/>
      <c r="O85" s="304"/>
      <c r="P85" s="305"/>
      <c r="Q85" s="304"/>
      <c r="R85" s="305"/>
      <c r="S85" s="384"/>
      <c r="T85" s="379"/>
      <c r="U85" s="321"/>
      <c r="V85" s="321"/>
      <c r="W85" s="321"/>
      <c r="X85" s="321"/>
      <c r="Y85" s="304"/>
      <c r="Z85" s="305"/>
      <c r="AA85" s="294"/>
      <c r="AM85" s="267" t="str">
        <f>IF(AN85&lt;&gt;0,"DR SPL","CR SPL")</f>
        <v>DR SPL</v>
      </c>
      <c r="AN85" s="275">
        <f>IF($AV$91&lt;0,-$AV$91,0)</f>
        <v>205.8</v>
      </c>
      <c r="AO85" s="275">
        <f>IF($AV$91&gt;0,$AV$91,0)</f>
        <v>0</v>
      </c>
      <c r="AS85" s="267" t="s">
        <v>714</v>
      </c>
      <c r="AV85" s="274">
        <f>AV19</f>
        <v>0</v>
      </c>
    </row>
    <row r="86" spans="2:48" x14ac:dyDescent="0.25">
      <c r="B86" s="232"/>
      <c r="C86" s="234"/>
      <c r="D86" s="235"/>
      <c r="E86" s="235"/>
      <c r="F86" s="284"/>
      <c r="G86" s="304"/>
      <c r="H86" s="325"/>
      <c r="I86" s="304"/>
      <c r="J86" s="325"/>
      <c r="K86" s="304"/>
      <c r="L86" s="305"/>
      <c r="M86" s="295"/>
      <c r="N86" s="305"/>
      <c r="O86" s="304"/>
      <c r="P86" s="305"/>
      <c r="Q86" s="304"/>
      <c r="R86" s="305"/>
      <c r="S86" s="384"/>
      <c r="T86" s="379"/>
      <c r="U86" s="321"/>
      <c r="V86" s="321"/>
      <c r="W86" s="321"/>
      <c r="X86" s="321"/>
      <c r="Y86" s="304"/>
      <c r="Z86" s="305"/>
      <c r="AA86" s="294"/>
      <c r="AS86" s="267" t="s">
        <v>715</v>
      </c>
      <c r="AV86" s="275">
        <f>AV36</f>
        <v>-205.8</v>
      </c>
    </row>
    <row r="87" spans="2:48" x14ac:dyDescent="0.25">
      <c r="B87" s="232" t="s">
        <v>647</v>
      </c>
      <c r="C87" s="234"/>
      <c r="D87" s="236"/>
      <c r="E87" s="236"/>
      <c r="F87" s="285">
        <f>SUM(D87:E87)</f>
        <v>0</v>
      </c>
      <c r="G87" s="304"/>
      <c r="H87" s="325"/>
      <c r="I87" s="304"/>
      <c r="J87" s="325"/>
      <c r="K87" s="304"/>
      <c r="L87" s="305"/>
      <c r="M87" s="295"/>
      <c r="N87" s="305"/>
      <c r="O87" s="304">
        <f>SUMIF($AM$39:$AM$43,"DR Finance Income",$AN$39:$AN$43)</f>
        <v>0</v>
      </c>
      <c r="P87" s="305">
        <f>-SUMIF($AM$39:$AM$43,"CR Finance Income",$AO$39:$AO$43)</f>
        <v>0</v>
      </c>
      <c r="Q87" s="304">
        <f>SUMIF($AM$46:$AM$50,"DR Finance Income",$AN$46:$AN$50)</f>
        <v>0</v>
      </c>
      <c r="R87" s="305">
        <f>-SUMIF($AM$46:$AM$50,"CR Finance Income",$AO$46:$AO$50)</f>
        <v>0</v>
      </c>
      <c r="S87" s="384"/>
      <c r="T87" s="379"/>
      <c r="U87" s="321"/>
      <c r="V87" s="321"/>
      <c r="W87" s="321"/>
      <c r="X87" s="321"/>
      <c r="Y87" s="304"/>
      <c r="Z87" s="305"/>
      <c r="AA87" s="311">
        <f>F87-SUM(G87:Z87)</f>
        <v>0</v>
      </c>
      <c r="AS87" s="267" t="s">
        <v>817</v>
      </c>
      <c r="AV87" s="275">
        <f>AV49</f>
        <v>0</v>
      </c>
    </row>
    <row r="88" spans="2:48" x14ac:dyDescent="0.25">
      <c r="B88" s="232"/>
      <c r="C88" s="234"/>
      <c r="D88" s="235"/>
      <c r="E88" s="235"/>
      <c r="F88" s="284"/>
      <c r="G88" s="304"/>
      <c r="H88" s="325"/>
      <c r="I88" s="304"/>
      <c r="J88" s="325"/>
      <c r="K88" s="304"/>
      <c r="L88" s="305"/>
      <c r="M88" s="295"/>
      <c r="N88" s="305"/>
      <c r="O88" s="304"/>
      <c r="P88" s="305"/>
      <c r="Q88" s="304"/>
      <c r="R88" s="305"/>
      <c r="S88" s="384"/>
      <c r="T88" s="379"/>
      <c r="U88" s="321"/>
      <c r="V88" s="321"/>
      <c r="W88" s="321"/>
      <c r="X88" s="321"/>
      <c r="Y88" s="304"/>
      <c r="Z88" s="305"/>
      <c r="AA88" s="294"/>
      <c r="AS88" s="267" t="s">
        <v>788</v>
      </c>
      <c r="AV88" s="274">
        <f>AN54-AO55</f>
        <v>0</v>
      </c>
    </row>
    <row r="89" spans="2:48" x14ac:dyDescent="0.25">
      <c r="B89" s="232"/>
      <c r="C89" s="234"/>
      <c r="D89" s="250"/>
      <c r="E89" s="250"/>
      <c r="F89" s="354"/>
      <c r="G89" s="304"/>
      <c r="H89" s="325"/>
      <c r="I89" s="304"/>
      <c r="J89" s="325"/>
      <c r="K89" s="304"/>
      <c r="L89" s="305"/>
      <c r="M89" s="295"/>
      <c r="N89" s="305"/>
      <c r="O89" s="304"/>
      <c r="P89" s="305"/>
      <c r="Q89" s="304"/>
      <c r="R89" s="305"/>
      <c r="S89" s="384"/>
      <c r="T89" s="379"/>
      <c r="U89" s="321"/>
      <c r="V89" s="321"/>
      <c r="W89" s="321"/>
      <c r="X89" s="321"/>
      <c r="Y89" s="304"/>
      <c r="Z89" s="305"/>
      <c r="AA89" s="333"/>
      <c r="AS89" s="267" t="s">
        <v>816</v>
      </c>
      <c r="AV89" s="274">
        <f>AN56</f>
        <v>0</v>
      </c>
    </row>
    <row r="90" spans="2:48" ht="15.75" x14ac:dyDescent="0.25">
      <c r="B90" s="229" t="s">
        <v>724</v>
      </c>
      <c r="C90" s="234" t="s">
        <v>725</v>
      </c>
      <c r="D90" s="243">
        <f>D69+D70-D73-D76-D81-D84+D87</f>
        <v>0</v>
      </c>
      <c r="E90" s="243">
        <f>E69+E70-E73-E76-E81-E84+E87</f>
        <v>0</v>
      </c>
      <c r="F90" s="291">
        <f>F69+F70-F73-F76-F81-F84+F87</f>
        <v>0</v>
      </c>
      <c r="G90" s="302"/>
      <c r="H90" s="284"/>
      <c r="I90" s="302"/>
      <c r="J90" s="284"/>
      <c r="K90" s="302"/>
      <c r="L90" s="303"/>
      <c r="M90" s="294"/>
      <c r="N90" s="303"/>
      <c r="O90" s="302"/>
      <c r="P90" s="303"/>
      <c r="Q90" s="302"/>
      <c r="R90" s="303"/>
      <c r="S90" s="382"/>
      <c r="T90" s="383"/>
      <c r="U90" s="320"/>
      <c r="V90" s="320"/>
      <c r="W90" s="320"/>
      <c r="X90" s="320"/>
      <c r="Y90" s="302"/>
      <c r="Z90" s="303"/>
      <c r="AA90" s="315">
        <f>AA69+AA70-AA73-AA76-AA81-AA84+AA87</f>
        <v>0</v>
      </c>
      <c r="AS90" s="267" t="s">
        <v>789</v>
      </c>
      <c r="AV90" s="274">
        <f>-AO61</f>
        <v>0</v>
      </c>
    </row>
    <row r="91" spans="2:48" ht="15.75" thickBot="1" x14ac:dyDescent="0.3">
      <c r="B91" s="232" t="s">
        <v>1</v>
      </c>
      <c r="C91" s="234" t="s">
        <v>726</v>
      </c>
      <c r="D91" s="251"/>
      <c r="E91" s="251"/>
      <c r="F91" s="355">
        <f>SUM(D91:E91)</f>
        <v>0</v>
      </c>
      <c r="G91" s="343"/>
      <c r="H91" s="326"/>
      <c r="I91" s="343"/>
      <c r="J91" s="326"/>
      <c r="K91" s="343"/>
      <c r="L91" s="344"/>
      <c r="M91" s="360"/>
      <c r="N91" s="344"/>
      <c r="O91" s="343"/>
      <c r="P91" s="344"/>
      <c r="Q91" s="343"/>
      <c r="R91" s="344"/>
      <c r="S91" s="404"/>
      <c r="T91" s="405"/>
      <c r="U91" s="368"/>
      <c r="V91" s="368"/>
      <c r="W91" s="368"/>
      <c r="X91" s="368"/>
      <c r="Y91" s="343"/>
      <c r="Z91" s="344"/>
      <c r="AA91" s="334">
        <f>F91+G91+G92+G93-H93-H92-H91</f>
        <v>0</v>
      </c>
      <c r="AV91" s="281">
        <f>SUM(AV85:AV90)</f>
        <v>-205.8</v>
      </c>
    </row>
    <row r="92" spans="2:48" ht="15.75" thickTop="1" x14ac:dyDescent="0.25">
      <c r="B92" s="252"/>
      <c r="C92" s="234"/>
      <c r="D92" s="239"/>
      <c r="E92" s="239"/>
      <c r="F92" s="288"/>
      <c r="G92" s="343"/>
      <c r="H92" s="326"/>
      <c r="I92" s="343"/>
      <c r="J92" s="326"/>
      <c r="K92" s="343"/>
      <c r="L92" s="344"/>
      <c r="M92" s="360"/>
      <c r="N92" s="344"/>
      <c r="O92" s="343"/>
      <c r="P92" s="344"/>
      <c r="Q92" s="343"/>
      <c r="R92" s="344"/>
      <c r="S92" s="404"/>
      <c r="T92" s="405"/>
      <c r="U92" s="368"/>
      <c r="V92" s="368"/>
      <c r="W92" s="368"/>
      <c r="X92" s="368"/>
      <c r="Y92" s="343"/>
      <c r="Z92" s="344"/>
      <c r="AA92" s="297"/>
    </row>
    <row r="93" spans="2:48" ht="15.75" thickBot="1" x14ac:dyDescent="0.3">
      <c r="B93" s="252"/>
      <c r="C93" s="234"/>
      <c r="D93" s="235"/>
      <c r="E93" s="235"/>
      <c r="F93" s="284"/>
      <c r="G93" s="343"/>
      <c r="H93" s="326"/>
      <c r="I93" s="343"/>
      <c r="J93" s="326"/>
      <c r="K93" s="343"/>
      <c r="L93" s="344"/>
      <c r="M93" s="360"/>
      <c r="N93" s="344"/>
      <c r="O93" s="343"/>
      <c r="P93" s="344"/>
      <c r="Q93" s="343"/>
      <c r="R93" s="344"/>
      <c r="S93" s="404"/>
      <c r="T93" s="405"/>
      <c r="U93" s="368"/>
      <c r="V93" s="368"/>
      <c r="W93" s="368"/>
      <c r="X93" s="368"/>
      <c r="Y93" s="343"/>
      <c r="Z93" s="344"/>
      <c r="AA93" s="294"/>
    </row>
    <row r="94" spans="2:48" ht="16.5" thickBot="1" x14ac:dyDescent="0.3">
      <c r="B94" s="253" t="s">
        <v>727</v>
      </c>
      <c r="C94" s="234" t="s">
        <v>725</v>
      </c>
      <c r="D94" s="254">
        <f>D90-D91</f>
        <v>0</v>
      </c>
      <c r="E94" s="254">
        <f>E90-E91</f>
        <v>0</v>
      </c>
      <c r="F94" s="356">
        <f>F90-F91</f>
        <v>0</v>
      </c>
      <c r="G94" s="345"/>
      <c r="H94" s="327"/>
      <c r="I94" s="345"/>
      <c r="J94" s="327"/>
      <c r="K94" s="345"/>
      <c r="L94" s="346"/>
      <c r="M94" s="361"/>
      <c r="N94" s="346"/>
      <c r="O94" s="345"/>
      <c r="P94" s="346"/>
      <c r="Q94" s="345"/>
      <c r="R94" s="346"/>
      <c r="S94" s="406"/>
      <c r="T94" s="407"/>
      <c r="U94" s="369"/>
      <c r="V94" s="369"/>
      <c r="W94" s="369"/>
      <c r="X94" s="369"/>
      <c r="Y94" s="345"/>
      <c r="Z94" s="346"/>
      <c r="AA94" s="316">
        <f>AA90-AA91</f>
        <v>0</v>
      </c>
      <c r="AL94" s="276">
        <v>10</v>
      </c>
      <c r="AM94" s="267" t="s">
        <v>289</v>
      </c>
      <c r="AN94" s="274">
        <f>AV95</f>
        <v>3000</v>
      </c>
      <c r="AO94" s="274"/>
      <c r="AS94" s="268" t="s">
        <v>836</v>
      </c>
    </row>
    <row r="95" spans="2:48" x14ac:dyDescent="0.25">
      <c r="B95" s="232" t="s">
        <v>728</v>
      </c>
      <c r="C95" s="234" t="s">
        <v>729</v>
      </c>
      <c r="D95" s="255"/>
      <c r="E95" s="255"/>
      <c r="F95" s="357">
        <f>SUM(D95:E95)</f>
        <v>0</v>
      </c>
      <c r="G95" s="347"/>
      <c r="H95" s="328"/>
      <c r="I95" s="347"/>
      <c r="J95" s="328"/>
      <c r="K95" s="347"/>
      <c r="L95" s="348"/>
      <c r="M95" s="362"/>
      <c r="N95" s="348"/>
      <c r="O95" s="347"/>
      <c r="P95" s="348"/>
      <c r="Q95" s="347"/>
      <c r="R95" s="348"/>
      <c r="S95" s="408"/>
      <c r="T95" s="409"/>
      <c r="U95" s="371"/>
      <c r="V95" s="371"/>
      <c r="W95" s="371"/>
      <c r="X95" s="371"/>
      <c r="Y95" s="347"/>
      <c r="Z95" s="348"/>
      <c r="AA95" s="335">
        <f>F95+G95-H95</f>
        <v>0</v>
      </c>
      <c r="AM95" s="267" t="s">
        <v>838</v>
      </c>
      <c r="AN95" s="274">
        <f>AV98</f>
        <v>836.80000000000007</v>
      </c>
      <c r="AO95" s="274"/>
      <c r="AS95" s="267" t="s">
        <v>154</v>
      </c>
      <c r="AV95" s="266">
        <v>3000</v>
      </c>
    </row>
    <row r="96" spans="2:48" ht="15.75" x14ac:dyDescent="0.25">
      <c r="B96" s="229" t="s">
        <v>730</v>
      </c>
      <c r="C96" s="234" t="s">
        <v>725</v>
      </c>
      <c r="D96" s="257">
        <f>D94-D95</f>
        <v>0</v>
      </c>
      <c r="E96" s="257">
        <f>E94-E95</f>
        <v>0</v>
      </c>
      <c r="F96" s="358">
        <f>F94-F95</f>
        <v>0</v>
      </c>
      <c r="G96" s="349"/>
      <c r="H96" s="329"/>
      <c r="I96" s="349"/>
      <c r="J96" s="329"/>
      <c r="K96" s="349"/>
      <c r="L96" s="350"/>
      <c r="M96" s="337"/>
      <c r="N96" s="350"/>
      <c r="O96" s="349"/>
      <c r="P96" s="350"/>
      <c r="Q96" s="349"/>
      <c r="R96" s="350"/>
      <c r="S96" s="410"/>
      <c r="T96" s="411"/>
      <c r="U96" s="370"/>
      <c r="V96" s="370"/>
      <c r="W96" s="370"/>
      <c r="X96" s="370"/>
      <c r="Y96" s="349"/>
      <c r="Z96" s="350"/>
      <c r="AA96" s="336">
        <f>AA94-AA95</f>
        <v>0</v>
      </c>
      <c r="AM96" s="267" t="s">
        <v>704</v>
      </c>
      <c r="AN96" s="274"/>
      <c r="AO96" s="274">
        <f>AV96</f>
        <v>279.60000000000002</v>
      </c>
      <c r="AS96" s="267" t="s">
        <v>837</v>
      </c>
      <c r="AV96" s="422">
        <f>AV16-AV19-AV20</f>
        <v>279.60000000000002</v>
      </c>
    </row>
    <row r="97" spans="2:49" x14ac:dyDescent="0.25">
      <c r="B97" s="232"/>
      <c r="C97" s="234"/>
      <c r="D97" s="258"/>
      <c r="E97" s="258"/>
      <c r="F97" s="329"/>
      <c r="G97" s="349"/>
      <c r="H97" s="329"/>
      <c r="I97" s="349"/>
      <c r="J97" s="329"/>
      <c r="K97" s="349"/>
      <c r="L97" s="350"/>
      <c r="M97" s="337"/>
      <c r="N97" s="350"/>
      <c r="O97" s="349"/>
      <c r="P97" s="350"/>
      <c r="Q97" s="349"/>
      <c r="R97" s="350"/>
      <c r="S97" s="410"/>
      <c r="T97" s="411"/>
      <c r="U97" s="370"/>
      <c r="V97" s="370"/>
      <c r="W97" s="370"/>
      <c r="X97" s="370"/>
      <c r="Y97" s="349"/>
      <c r="Z97" s="350"/>
      <c r="AA97" s="337"/>
      <c r="AM97" s="267" t="s">
        <v>839</v>
      </c>
      <c r="AN97" s="274"/>
      <c r="AO97" s="274">
        <f>AV97</f>
        <v>4184</v>
      </c>
      <c r="AS97" s="267" t="s">
        <v>865</v>
      </c>
      <c r="AV97" s="266">
        <v>4184</v>
      </c>
    </row>
    <row r="98" spans="2:49" ht="25.5" customHeight="1" x14ac:dyDescent="0.25">
      <c r="B98" s="229" t="s">
        <v>3</v>
      </c>
      <c r="C98" s="234"/>
      <c r="D98" s="258"/>
      <c r="E98" s="258"/>
      <c r="F98" s="329"/>
      <c r="G98" s="349"/>
      <c r="H98" s="329"/>
      <c r="I98" s="349"/>
      <c r="J98" s="329"/>
      <c r="K98" s="349"/>
      <c r="L98" s="350"/>
      <c r="M98" s="337"/>
      <c r="N98" s="350"/>
      <c r="O98" s="349"/>
      <c r="P98" s="350"/>
      <c r="Q98" s="349"/>
      <c r="R98" s="350"/>
      <c r="S98" s="410"/>
      <c r="T98" s="411"/>
      <c r="U98" s="370"/>
      <c r="V98" s="370"/>
      <c r="W98" s="370"/>
      <c r="X98" s="370"/>
      <c r="Y98" s="349"/>
      <c r="Z98" s="350"/>
      <c r="AA98" s="337"/>
      <c r="AM98" s="267" t="str">
        <f>IF(AV100&gt;0,"CR SPL - gain on disposal","DR SPL - loss on disposal")</f>
        <v>DR SPL - loss on disposal</v>
      </c>
      <c r="AN98" s="274">
        <f>IF(AV100&lt;0,-AV100,0)</f>
        <v>626.79999999999973</v>
      </c>
      <c r="AO98" s="274">
        <f>IF(AV100&gt;0,AV100,0)</f>
        <v>0</v>
      </c>
      <c r="AS98" s="267" t="s">
        <v>867</v>
      </c>
      <c r="AV98" s="274">
        <f>AV97*AV6</f>
        <v>836.80000000000007</v>
      </c>
      <c r="AW98" s="401" t="s">
        <v>864</v>
      </c>
    </row>
    <row r="99" spans="2:49" ht="15.75" x14ac:dyDescent="0.25">
      <c r="B99" s="229" t="s">
        <v>4</v>
      </c>
      <c r="C99" s="234"/>
      <c r="D99" s="258"/>
      <c r="E99" s="258"/>
      <c r="F99" s="329"/>
      <c r="G99" s="349"/>
      <c r="H99" s="329"/>
      <c r="I99" s="349"/>
      <c r="J99" s="329"/>
      <c r="K99" s="349"/>
      <c r="L99" s="350"/>
      <c r="M99" s="337"/>
      <c r="N99" s="350"/>
      <c r="O99" s="349"/>
      <c r="P99" s="350"/>
      <c r="Q99" s="349"/>
      <c r="R99" s="350"/>
      <c r="S99" s="410"/>
      <c r="T99" s="411"/>
      <c r="U99" s="370"/>
      <c r="V99" s="370"/>
      <c r="W99" s="370"/>
      <c r="X99" s="370"/>
      <c r="Y99" s="349"/>
      <c r="Z99" s="350"/>
      <c r="AA99" s="337"/>
      <c r="AS99" s="267" t="s">
        <v>866</v>
      </c>
      <c r="AV99" s="422">
        <f>AV97-AV98</f>
        <v>3347.2</v>
      </c>
    </row>
    <row r="100" spans="2:49" ht="15.75" thickBot="1" x14ac:dyDescent="0.3">
      <c r="B100" s="232" t="s">
        <v>731</v>
      </c>
      <c r="C100" s="234" t="s">
        <v>732</v>
      </c>
      <c r="D100" s="244"/>
      <c r="E100" s="244"/>
      <c r="F100" s="292">
        <f>SUM(D100:E100)</f>
        <v>0</v>
      </c>
      <c r="G100" s="347"/>
      <c r="H100" s="328"/>
      <c r="I100" s="347"/>
      <c r="J100" s="328"/>
      <c r="K100" s="347"/>
      <c r="L100" s="348"/>
      <c r="M100" s="362"/>
      <c r="N100" s="348"/>
      <c r="O100" s="347"/>
      <c r="P100" s="348"/>
      <c r="Q100" s="347"/>
      <c r="R100" s="348"/>
      <c r="S100" s="408"/>
      <c r="T100" s="409"/>
      <c r="U100" s="371"/>
      <c r="V100" s="371"/>
      <c r="W100" s="371"/>
      <c r="X100" s="371"/>
      <c r="Y100" s="347"/>
      <c r="Z100" s="348"/>
      <c r="AA100" s="316">
        <f>F100-G100+H100</f>
        <v>0</v>
      </c>
      <c r="AS100" s="267" t="s">
        <v>871</v>
      </c>
      <c r="AV100" s="281">
        <f>AV95-AV96-AV99</f>
        <v>-626.79999999999973</v>
      </c>
    </row>
    <row r="101" spans="2:49" ht="15.75" thickTop="1" x14ac:dyDescent="0.25">
      <c r="B101" s="232" t="s">
        <v>733</v>
      </c>
      <c r="C101" s="234" t="s">
        <v>732</v>
      </c>
      <c r="D101" s="244"/>
      <c r="E101" s="244"/>
      <c r="F101" s="292">
        <f>SUM(D101:E101)</f>
        <v>0</v>
      </c>
      <c r="G101" s="347"/>
      <c r="H101" s="328"/>
      <c r="I101" s="347"/>
      <c r="J101" s="328"/>
      <c r="K101" s="347"/>
      <c r="L101" s="348"/>
      <c r="M101" s="362"/>
      <c r="N101" s="348"/>
      <c r="O101" s="347"/>
      <c r="P101" s="348"/>
      <c r="Q101" s="347"/>
      <c r="R101" s="348"/>
      <c r="S101" s="408"/>
      <c r="T101" s="409"/>
      <c r="U101" s="371"/>
      <c r="V101" s="371"/>
      <c r="W101" s="371"/>
      <c r="X101" s="371"/>
      <c r="Y101" s="347"/>
      <c r="Z101" s="348"/>
      <c r="AA101" s="316">
        <f>F101-G101+H101</f>
        <v>0</v>
      </c>
    </row>
    <row r="102" spans="2:49" ht="30" x14ac:dyDescent="0.25">
      <c r="B102" s="232" t="s">
        <v>734</v>
      </c>
      <c r="C102" s="234" t="s">
        <v>735</v>
      </c>
      <c r="D102" s="244"/>
      <c r="E102" s="244"/>
      <c r="F102" s="292">
        <f>SUM(D102:E102)</f>
        <v>0</v>
      </c>
      <c r="G102" s="347"/>
      <c r="H102" s="328"/>
      <c r="I102" s="347"/>
      <c r="J102" s="328"/>
      <c r="K102" s="347"/>
      <c r="L102" s="348"/>
      <c r="M102" s="362"/>
      <c r="N102" s="348"/>
      <c r="O102" s="347"/>
      <c r="P102" s="348"/>
      <c r="Q102" s="347"/>
      <c r="R102" s="348"/>
      <c r="S102" s="408"/>
      <c r="T102" s="409"/>
      <c r="U102" s="371"/>
      <c r="V102" s="371"/>
      <c r="W102" s="371"/>
      <c r="X102" s="371"/>
      <c r="Y102" s="347"/>
      <c r="Z102" s="348"/>
      <c r="AA102" s="316">
        <f>F102-G102+H102</f>
        <v>0</v>
      </c>
    </row>
    <row r="103" spans="2:49" x14ac:dyDescent="0.25">
      <c r="B103" s="232" t="s">
        <v>736</v>
      </c>
      <c r="C103" s="234" t="s">
        <v>726</v>
      </c>
      <c r="D103" s="255"/>
      <c r="E103" s="255"/>
      <c r="F103" s="357">
        <f>SUM(D103:E103)</f>
        <v>0</v>
      </c>
      <c r="G103" s="347"/>
      <c r="H103" s="328"/>
      <c r="I103" s="347"/>
      <c r="J103" s="328"/>
      <c r="K103" s="347"/>
      <c r="L103" s="348"/>
      <c r="M103" s="362"/>
      <c r="N103" s="348"/>
      <c r="O103" s="347"/>
      <c r="P103" s="348"/>
      <c r="Q103" s="347"/>
      <c r="R103" s="348"/>
      <c r="S103" s="408"/>
      <c r="T103" s="409"/>
      <c r="U103" s="371"/>
      <c r="V103" s="371"/>
      <c r="W103" s="371"/>
      <c r="X103" s="371"/>
      <c r="Y103" s="347"/>
      <c r="Z103" s="348"/>
      <c r="AA103" s="335">
        <f>F103+G103-H103</f>
        <v>0</v>
      </c>
    </row>
    <row r="104" spans="2:49" x14ac:dyDescent="0.25">
      <c r="B104" s="232"/>
      <c r="C104" s="234"/>
      <c r="D104" s="257">
        <f>D100+D101+D102-D103</f>
        <v>0</v>
      </c>
      <c r="E104" s="257">
        <f>E100+E101+E102-E103</f>
        <v>0</v>
      </c>
      <c r="F104" s="358">
        <f>F100+F101+F102-F103</f>
        <v>0</v>
      </c>
      <c r="G104" s="349"/>
      <c r="H104" s="329"/>
      <c r="I104" s="349"/>
      <c r="J104" s="329"/>
      <c r="K104" s="349"/>
      <c r="L104" s="350"/>
      <c r="M104" s="337"/>
      <c r="N104" s="350"/>
      <c r="O104" s="349"/>
      <c r="P104" s="350"/>
      <c r="Q104" s="349"/>
      <c r="R104" s="350"/>
      <c r="S104" s="410"/>
      <c r="T104" s="411"/>
      <c r="U104" s="370"/>
      <c r="V104" s="370"/>
      <c r="W104" s="370"/>
      <c r="X104" s="370"/>
      <c r="Y104" s="349"/>
      <c r="Z104" s="350"/>
      <c r="AA104" s="336">
        <f>AA100+AA101+AA102-AA103</f>
        <v>0</v>
      </c>
    </row>
    <row r="105" spans="2:49" ht="15.75" x14ac:dyDescent="0.25">
      <c r="B105" s="229" t="s">
        <v>30</v>
      </c>
      <c r="C105" s="234"/>
      <c r="D105" s="258"/>
      <c r="E105" s="258"/>
      <c r="F105" s="329"/>
      <c r="G105" s="349"/>
      <c r="H105" s="329"/>
      <c r="I105" s="349"/>
      <c r="J105" s="329"/>
      <c r="K105" s="349"/>
      <c r="L105" s="350"/>
      <c r="M105" s="337"/>
      <c r="N105" s="350"/>
      <c r="O105" s="349"/>
      <c r="P105" s="350"/>
      <c r="Q105" s="349"/>
      <c r="R105" s="350"/>
      <c r="S105" s="410"/>
      <c r="T105" s="411"/>
      <c r="U105" s="370"/>
      <c r="V105" s="370"/>
      <c r="W105" s="370"/>
      <c r="X105" s="370"/>
      <c r="Y105" s="349"/>
      <c r="Z105" s="350"/>
      <c r="AA105" s="337"/>
    </row>
    <row r="106" spans="2:49" x14ac:dyDescent="0.25">
      <c r="B106" s="232" t="s">
        <v>32</v>
      </c>
      <c r="C106" s="234" t="s">
        <v>732</v>
      </c>
      <c r="D106" s="244"/>
      <c r="E106" s="244"/>
      <c r="F106" s="292">
        <f>SUM(D106:E106)</f>
        <v>0</v>
      </c>
      <c r="G106" s="347"/>
      <c r="H106" s="328"/>
      <c r="I106" s="347"/>
      <c r="J106" s="328"/>
      <c r="K106" s="347"/>
      <c r="L106" s="348"/>
      <c r="M106" s="362"/>
      <c r="N106" s="348"/>
      <c r="O106" s="347"/>
      <c r="P106" s="348"/>
      <c r="Q106" s="347"/>
      <c r="R106" s="348"/>
      <c r="S106" s="408"/>
      <c r="T106" s="409"/>
      <c r="U106" s="371"/>
      <c r="V106" s="371"/>
      <c r="W106" s="371"/>
      <c r="X106" s="371"/>
      <c r="Y106" s="347"/>
      <c r="Z106" s="348"/>
      <c r="AA106" s="316">
        <f>F106-G106+H106</f>
        <v>0</v>
      </c>
    </row>
    <row r="107" spans="2:49" x14ac:dyDescent="0.25">
      <c r="B107" s="232" t="s">
        <v>737</v>
      </c>
      <c r="C107" s="234" t="s">
        <v>726</v>
      </c>
      <c r="D107" s="255"/>
      <c r="E107" s="255"/>
      <c r="F107" s="357">
        <f>SUM(D107:E107)</f>
        <v>0</v>
      </c>
      <c r="G107" s="347"/>
      <c r="H107" s="328"/>
      <c r="I107" s="347"/>
      <c r="J107" s="328"/>
      <c r="K107" s="347"/>
      <c r="L107" s="348"/>
      <c r="M107" s="362"/>
      <c r="N107" s="348"/>
      <c r="O107" s="347"/>
      <c r="P107" s="348"/>
      <c r="Q107" s="347"/>
      <c r="R107" s="348"/>
      <c r="S107" s="408"/>
      <c r="T107" s="409"/>
      <c r="U107" s="371"/>
      <c r="V107" s="371"/>
      <c r="W107" s="371"/>
      <c r="X107" s="371"/>
      <c r="Y107" s="347"/>
      <c r="Z107" s="348"/>
      <c r="AA107" s="335">
        <f>F107+G107-H107</f>
        <v>0</v>
      </c>
    </row>
    <row r="108" spans="2:49" x14ac:dyDescent="0.25">
      <c r="B108" s="232"/>
      <c r="C108" s="234"/>
      <c r="D108" s="256">
        <f>D106-D107</f>
        <v>0</v>
      </c>
      <c r="E108" s="256">
        <f>E106-E107</f>
        <v>0</v>
      </c>
      <c r="F108" s="357">
        <f>F106-F107</f>
        <v>0</v>
      </c>
      <c r="G108" s="349"/>
      <c r="H108" s="329"/>
      <c r="I108" s="349"/>
      <c r="J108" s="329"/>
      <c r="K108" s="349"/>
      <c r="L108" s="350"/>
      <c r="M108" s="337"/>
      <c r="N108" s="350"/>
      <c r="O108" s="349"/>
      <c r="P108" s="350"/>
      <c r="Q108" s="349"/>
      <c r="R108" s="350"/>
      <c r="S108" s="410"/>
      <c r="T108" s="411"/>
      <c r="U108" s="370"/>
      <c r="V108" s="370"/>
      <c r="W108" s="370"/>
      <c r="X108" s="370"/>
      <c r="Y108" s="349"/>
      <c r="Z108" s="350"/>
      <c r="AA108" s="335">
        <f>AA106-AA107</f>
        <v>0</v>
      </c>
    </row>
    <row r="109" spans="2:49" ht="15.75" x14ac:dyDescent="0.25">
      <c r="B109" s="229" t="s">
        <v>8</v>
      </c>
      <c r="C109" s="234"/>
      <c r="D109" s="256">
        <f>SUM(D104,D108)</f>
        <v>0</v>
      </c>
      <c r="E109" s="256">
        <f>SUM(E104,E108)</f>
        <v>0</v>
      </c>
      <c r="F109" s="357">
        <f>SUM(F104,F108)</f>
        <v>0</v>
      </c>
      <c r="G109" s="349"/>
      <c r="H109" s="329"/>
      <c r="I109" s="349"/>
      <c r="J109" s="329"/>
      <c r="K109" s="349"/>
      <c r="L109" s="350"/>
      <c r="M109" s="337"/>
      <c r="N109" s="350"/>
      <c r="O109" s="349"/>
      <c r="P109" s="350"/>
      <c r="Q109" s="349"/>
      <c r="R109" s="350"/>
      <c r="S109" s="410"/>
      <c r="T109" s="411"/>
      <c r="U109" s="370"/>
      <c r="V109" s="370"/>
      <c r="W109" s="370"/>
      <c r="X109" s="370"/>
      <c r="Y109" s="349"/>
      <c r="Z109" s="350"/>
      <c r="AA109" s="335">
        <f>AA104+AA108</f>
        <v>0</v>
      </c>
    </row>
    <row r="110" spans="2:49" ht="16.5" thickBot="1" x14ac:dyDescent="0.3">
      <c r="B110" s="253" t="s">
        <v>9</v>
      </c>
      <c r="C110" s="259"/>
      <c r="D110" s="260">
        <f>D96+D109</f>
        <v>0</v>
      </c>
      <c r="E110" s="260">
        <f>E96+E109</f>
        <v>0</v>
      </c>
      <c r="F110" s="359">
        <f>F96+F109</f>
        <v>0</v>
      </c>
      <c r="G110" s="345"/>
      <c r="H110" s="327"/>
      <c r="I110" s="345"/>
      <c r="J110" s="327"/>
      <c r="K110" s="345"/>
      <c r="L110" s="346"/>
      <c r="M110" s="361"/>
      <c r="N110" s="346"/>
      <c r="O110" s="345"/>
      <c r="P110" s="346"/>
      <c r="Q110" s="345"/>
      <c r="R110" s="346"/>
      <c r="S110" s="406"/>
      <c r="T110" s="407"/>
      <c r="U110" s="369"/>
      <c r="V110" s="369"/>
      <c r="W110" s="369"/>
      <c r="X110" s="369"/>
      <c r="Y110" s="345"/>
      <c r="Z110" s="346"/>
      <c r="AA110" s="338">
        <f>AA96+AA109</f>
        <v>0</v>
      </c>
    </row>
    <row r="111" spans="2:49" x14ac:dyDescent="0.25">
      <c r="B111" s="232"/>
      <c r="C111" s="259"/>
      <c r="D111" s="239"/>
      <c r="E111" s="239"/>
      <c r="F111" s="288"/>
      <c r="G111" s="302"/>
      <c r="H111" s="284"/>
      <c r="I111" s="302"/>
      <c r="J111" s="284"/>
      <c r="K111" s="302"/>
      <c r="L111" s="303"/>
      <c r="M111" s="294"/>
      <c r="N111" s="303"/>
      <c r="O111" s="302"/>
      <c r="P111" s="303"/>
      <c r="Q111" s="302"/>
      <c r="R111" s="303"/>
      <c r="S111" s="382"/>
      <c r="T111" s="383"/>
      <c r="U111" s="320"/>
      <c r="V111" s="320"/>
      <c r="W111" s="320"/>
      <c r="X111" s="320"/>
      <c r="Y111" s="302"/>
      <c r="Z111" s="303"/>
      <c r="AA111" s="297"/>
    </row>
    <row r="112" spans="2:49" x14ac:dyDescent="0.25">
      <c r="B112" s="232" t="s">
        <v>738</v>
      </c>
      <c r="C112" s="234" t="s">
        <v>725</v>
      </c>
      <c r="D112" s="235"/>
      <c r="E112" s="235"/>
      <c r="F112" s="284"/>
      <c r="G112" s="302"/>
      <c r="H112" s="284"/>
      <c r="I112" s="302"/>
      <c r="J112" s="284"/>
      <c r="K112" s="302"/>
      <c r="L112" s="303"/>
      <c r="M112" s="294"/>
      <c r="N112" s="303"/>
      <c r="O112" s="302"/>
      <c r="P112" s="303"/>
      <c r="Q112" s="302"/>
      <c r="R112" s="303"/>
      <c r="S112" s="382"/>
      <c r="T112" s="383"/>
      <c r="U112" s="320"/>
      <c r="V112" s="320"/>
      <c r="W112" s="320"/>
      <c r="X112" s="320"/>
      <c r="Y112" s="302"/>
      <c r="Z112" s="303"/>
      <c r="AA112" s="294"/>
    </row>
    <row r="113" spans="2:27" x14ac:dyDescent="0.25">
      <c r="B113" s="261" t="s">
        <v>739</v>
      </c>
      <c r="C113" s="259"/>
      <c r="D113" s="235"/>
      <c r="E113" s="235"/>
      <c r="F113" s="284"/>
      <c r="G113" s="351"/>
      <c r="H113" s="330"/>
      <c r="I113" s="351"/>
      <c r="J113" s="330"/>
      <c r="K113" s="351"/>
      <c r="L113" s="352"/>
      <c r="M113" s="332"/>
      <c r="N113" s="352"/>
      <c r="O113" s="351"/>
      <c r="P113" s="352"/>
      <c r="Q113" s="351"/>
      <c r="R113" s="352"/>
      <c r="S113" s="412"/>
      <c r="T113" s="413"/>
      <c r="U113" s="372"/>
      <c r="V113" s="372"/>
      <c r="W113" s="320"/>
      <c r="X113" s="320"/>
      <c r="Y113" s="351"/>
      <c r="Z113" s="352"/>
      <c r="AA113" s="334">
        <f>AA115-AA114</f>
        <v>205.8</v>
      </c>
    </row>
    <row r="114" spans="2:27" x14ac:dyDescent="0.25">
      <c r="B114" s="262" t="s">
        <v>682</v>
      </c>
      <c r="C114" s="259"/>
      <c r="D114" s="235"/>
      <c r="E114" s="235"/>
      <c r="F114" s="284"/>
      <c r="G114" s="304"/>
      <c r="H114" s="325"/>
      <c r="I114" s="304"/>
      <c r="J114" s="325"/>
      <c r="K114" s="304"/>
      <c r="L114" s="305"/>
      <c r="M114" s="295">
        <f>Consol!AN33</f>
        <v>-205.8</v>
      </c>
      <c r="N114" s="305"/>
      <c r="O114" s="304">
        <f>SUMIF($AM$39:$AM$61,"DR SPL - Non-controlling interests",$AN$39:$AN$61)</f>
        <v>0</v>
      </c>
      <c r="P114" s="305">
        <f>-SUMIF($AM$39:$AM$61,"DR SPL - Non-controlling interests",$AO$39:$AO$61)</f>
        <v>0</v>
      </c>
      <c r="Q114" s="304">
        <f>SUMIF($AM$39:$AM$61,"DR SPL - Non-controlling interests",$AN$39:$AN$61)</f>
        <v>0</v>
      </c>
      <c r="R114" s="305">
        <f>-SUMIF($AM$39:$AM$61,"DR SPL - Non-controlling interests",$AO$39:$AO$61)</f>
        <v>0</v>
      </c>
      <c r="S114" s="304">
        <f>SUMIF($AM$54:$AM$61,"DR SPL - Non-controlling interests",$AN$54:$AN$61)</f>
        <v>0</v>
      </c>
      <c r="T114" s="305">
        <f>-SUMIF($AM$54:$AM$61,"DR SPL - Non-controlling interests",$AO$54:$AO$61)</f>
        <v>0</v>
      </c>
      <c r="U114" s="321"/>
      <c r="V114" s="321"/>
      <c r="W114" s="304">
        <f>SUMIF($AM$71:$AM$82,"DR SPL - Non-controlling interests",$AN$71:$AN$82)</f>
        <v>0</v>
      </c>
      <c r="X114" s="305">
        <f>SUMIF($AM$71:$AM$82,"CR SPL - Non-controlling interests",$AO$71:$AO$82)</f>
        <v>0</v>
      </c>
      <c r="Y114" s="304"/>
      <c r="Z114" s="305"/>
      <c r="AA114" s="297">
        <f>SUM(G114:P114)</f>
        <v>-205.8</v>
      </c>
    </row>
    <row r="115" spans="2:27" ht="15.75" thickBot="1" x14ac:dyDescent="0.3">
      <c r="B115" s="232"/>
      <c r="C115" s="259"/>
      <c r="D115" s="235"/>
      <c r="E115" s="235"/>
      <c r="F115" s="284"/>
      <c r="G115" s="302"/>
      <c r="H115" s="284"/>
      <c r="I115" s="302"/>
      <c r="J115" s="284"/>
      <c r="K115" s="302"/>
      <c r="L115" s="303"/>
      <c r="M115" s="294"/>
      <c r="N115" s="303"/>
      <c r="O115" s="302"/>
      <c r="P115" s="303"/>
      <c r="Q115" s="302"/>
      <c r="R115" s="303"/>
      <c r="S115" s="382"/>
      <c r="T115" s="383"/>
      <c r="U115" s="320"/>
      <c r="V115" s="320"/>
      <c r="W115" s="320"/>
      <c r="X115" s="320"/>
      <c r="Y115" s="302"/>
      <c r="Z115" s="303"/>
      <c r="AA115" s="313">
        <f>AA110</f>
        <v>0</v>
      </c>
    </row>
    <row r="116" spans="2:27" x14ac:dyDescent="0.25">
      <c r="B116" s="232" t="s">
        <v>740</v>
      </c>
      <c r="C116" s="259"/>
      <c r="D116" s="235"/>
      <c r="E116" s="235"/>
      <c r="F116" s="284"/>
      <c r="G116" s="302"/>
      <c r="H116" s="284"/>
      <c r="I116" s="302"/>
      <c r="J116" s="284"/>
      <c r="K116" s="302"/>
      <c r="L116" s="303"/>
      <c r="M116" s="294"/>
      <c r="N116" s="303"/>
      <c r="O116" s="302"/>
      <c r="P116" s="303"/>
      <c r="Q116" s="302"/>
      <c r="R116" s="303"/>
      <c r="S116" s="382"/>
      <c r="T116" s="383"/>
      <c r="U116" s="320"/>
      <c r="V116" s="320"/>
      <c r="W116" s="320"/>
      <c r="X116" s="320"/>
      <c r="Y116" s="302"/>
      <c r="Z116" s="303"/>
      <c r="AA116" s="297"/>
    </row>
    <row r="117" spans="2:27" x14ac:dyDescent="0.25">
      <c r="B117" s="262" t="s">
        <v>739</v>
      </c>
      <c r="C117" s="259"/>
      <c r="D117" s="235"/>
      <c r="E117" s="235"/>
      <c r="F117" s="284"/>
      <c r="G117" s="302"/>
      <c r="H117" s="284"/>
      <c r="I117" s="302"/>
      <c r="J117" s="284"/>
      <c r="K117" s="302"/>
      <c r="L117" s="303"/>
      <c r="M117" s="294"/>
      <c r="N117" s="303"/>
      <c r="O117" s="302"/>
      <c r="P117" s="303"/>
      <c r="Q117" s="302"/>
      <c r="R117" s="303"/>
      <c r="S117" s="382"/>
      <c r="T117" s="383"/>
      <c r="U117" s="320"/>
      <c r="V117" s="320"/>
      <c r="W117" s="320"/>
      <c r="X117" s="320"/>
      <c r="Y117" s="302"/>
      <c r="Z117" s="303"/>
      <c r="AA117" s="334">
        <f>AA119-AA118</f>
        <v>0</v>
      </c>
    </row>
    <row r="118" spans="2:27" x14ac:dyDescent="0.25">
      <c r="B118" s="262" t="s">
        <v>682</v>
      </c>
      <c r="C118" s="259"/>
      <c r="D118" s="235"/>
      <c r="E118" s="235"/>
      <c r="F118" s="284"/>
      <c r="G118" s="304"/>
      <c r="H118" s="325"/>
      <c r="I118" s="304"/>
      <c r="J118" s="325"/>
      <c r="K118" s="304"/>
      <c r="L118" s="305"/>
      <c r="M118" s="295"/>
      <c r="N118" s="305"/>
      <c r="O118" s="304"/>
      <c r="P118" s="305"/>
      <c r="Q118" s="304"/>
      <c r="R118" s="305"/>
      <c r="S118" s="384"/>
      <c r="T118" s="379"/>
      <c r="U118" s="321"/>
      <c r="V118" s="321"/>
      <c r="W118" s="321"/>
      <c r="X118" s="321"/>
      <c r="Y118" s="304"/>
      <c r="Z118" s="305"/>
      <c r="AA118" s="339">
        <f>G118-H118</f>
        <v>0</v>
      </c>
    </row>
    <row r="119" spans="2:27" ht="15.75" thickBot="1" x14ac:dyDescent="0.3">
      <c r="B119" s="232"/>
      <c r="C119" s="259"/>
      <c r="D119" s="235"/>
      <c r="E119" s="235"/>
      <c r="F119" s="284"/>
      <c r="G119" s="302"/>
      <c r="H119" s="284"/>
      <c r="I119" s="302"/>
      <c r="J119" s="284"/>
      <c r="K119" s="302"/>
      <c r="L119" s="303"/>
      <c r="M119" s="294"/>
      <c r="N119" s="303"/>
      <c r="O119" s="302"/>
      <c r="P119" s="303"/>
      <c r="Q119" s="302"/>
      <c r="R119" s="303"/>
      <c r="S119" s="382"/>
      <c r="T119" s="383"/>
      <c r="U119" s="320"/>
      <c r="V119" s="320"/>
      <c r="W119" s="320"/>
      <c r="X119" s="320"/>
      <c r="Y119" s="302"/>
      <c r="Z119" s="303"/>
      <c r="AA119" s="313">
        <f>AA110</f>
        <v>0</v>
      </c>
    </row>
    <row r="120" spans="2:27" x14ac:dyDescent="0.25">
      <c r="B120" s="232"/>
      <c r="C120" s="259"/>
      <c r="D120" s="235"/>
      <c r="E120" s="235"/>
      <c r="F120" s="284"/>
      <c r="G120" s="302"/>
      <c r="H120" s="284"/>
      <c r="I120" s="302"/>
      <c r="J120" s="284"/>
      <c r="K120" s="302"/>
      <c r="L120" s="303"/>
      <c r="M120" s="294"/>
      <c r="N120" s="303"/>
      <c r="O120" s="302"/>
      <c r="P120" s="303"/>
      <c r="Q120" s="302"/>
      <c r="R120" s="303"/>
      <c r="S120" s="382"/>
      <c r="T120" s="383"/>
      <c r="U120" s="320"/>
      <c r="V120" s="320"/>
      <c r="W120" s="320"/>
      <c r="X120" s="320"/>
      <c r="Y120" s="302"/>
      <c r="Z120" s="303"/>
      <c r="AA120" s="340"/>
    </row>
    <row r="121" spans="2:27" ht="15.75" x14ac:dyDescent="0.25">
      <c r="B121" s="232" t="s">
        <v>741</v>
      </c>
      <c r="C121" s="259" t="s">
        <v>742</v>
      </c>
      <c r="D121" s="235"/>
      <c r="E121" s="235"/>
      <c r="F121" s="284"/>
      <c r="G121" s="302"/>
      <c r="H121" s="284"/>
      <c r="I121" s="399"/>
      <c r="J121" s="284"/>
      <c r="K121" s="302"/>
      <c r="L121" s="303"/>
      <c r="M121" s="294"/>
      <c r="N121" s="303"/>
      <c r="O121" s="302"/>
      <c r="P121" s="303"/>
      <c r="Q121" s="302"/>
      <c r="R121" s="303"/>
      <c r="S121" s="382"/>
      <c r="T121" s="383"/>
      <c r="U121" s="320"/>
      <c r="V121" s="320"/>
      <c r="W121" s="320"/>
      <c r="X121" s="320"/>
      <c r="Y121" s="302"/>
      <c r="Z121" s="303"/>
      <c r="AA121" s="293" t="s">
        <v>743</v>
      </c>
    </row>
    <row r="122" spans="2:27" x14ac:dyDescent="0.25">
      <c r="B122" s="262" t="s">
        <v>744</v>
      </c>
      <c r="C122" s="259"/>
      <c r="D122" s="235"/>
      <c r="E122" s="235"/>
      <c r="F122" s="284"/>
      <c r="G122" s="302"/>
      <c r="H122" s="284"/>
      <c r="I122" s="382"/>
      <c r="J122" s="284"/>
      <c r="K122" s="302"/>
      <c r="L122" s="303"/>
      <c r="M122" s="294"/>
      <c r="N122" s="303"/>
      <c r="O122" s="302"/>
      <c r="P122" s="303"/>
      <c r="Q122" s="302"/>
      <c r="R122" s="303"/>
      <c r="S122" s="382"/>
      <c r="T122" s="383"/>
      <c r="U122" s="320"/>
      <c r="V122" s="320"/>
      <c r="W122" s="320"/>
      <c r="X122" s="320"/>
      <c r="Y122" s="302"/>
      <c r="Z122" s="303"/>
      <c r="AA122" s="341"/>
    </row>
    <row r="123" spans="2:27" x14ac:dyDescent="0.25">
      <c r="B123" s="262" t="s">
        <v>745</v>
      </c>
      <c r="C123" s="234" t="s">
        <v>746</v>
      </c>
      <c r="D123" s="235"/>
      <c r="E123" s="235"/>
      <c r="F123" s="284"/>
      <c r="G123" s="308"/>
      <c r="H123" s="354"/>
      <c r="I123" s="390"/>
      <c r="J123" s="354"/>
      <c r="K123" s="308"/>
      <c r="L123" s="309"/>
      <c r="M123" s="333"/>
      <c r="N123" s="309"/>
      <c r="O123" s="308"/>
      <c r="P123" s="309"/>
      <c r="Q123" s="308"/>
      <c r="R123" s="309"/>
      <c r="S123" s="390"/>
      <c r="T123" s="391"/>
      <c r="U123" s="378"/>
      <c r="V123" s="378"/>
      <c r="W123" s="378"/>
      <c r="X123" s="378"/>
      <c r="Y123" s="308"/>
      <c r="Z123" s="309"/>
      <c r="AA123" s="342"/>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16" t="s">
        <v>71</v>
      </c>
      <c r="L4" s="816"/>
      <c r="M4" s="816"/>
      <c r="T4" t="s">
        <v>121</v>
      </c>
    </row>
    <row r="5" spans="2:24" x14ac:dyDescent="0.25">
      <c r="C5" s="16" t="s">
        <v>10</v>
      </c>
      <c r="D5" s="16" t="s">
        <v>10</v>
      </c>
      <c r="E5" s="16" t="s">
        <v>10</v>
      </c>
      <c r="F5" s="16" t="s">
        <v>10</v>
      </c>
      <c r="K5" s="816"/>
      <c r="L5" s="816"/>
      <c r="M5" s="816"/>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abSelected="1" topLeftCell="AQ1" zoomScale="70" zoomScaleNormal="70" workbookViewId="0">
      <selection activeCell="BE39" sqref="BE39"/>
    </sheetView>
  </sheetViews>
  <sheetFormatPr defaultColWidth="3.5703125" defaultRowHeight="15" x14ac:dyDescent="0.25"/>
  <cols>
    <col min="1" max="1" width="3.5703125" style="228"/>
    <col min="2" max="2" width="73.5703125" style="228" customWidth="1"/>
    <col min="3" max="3" width="93.140625" style="228" hidden="1" customWidth="1"/>
    <col min="4" max="5" width="17.28515625" style="245" customWidth="1"/>
    <col min="6" max="6" width="17.28515625" style="245" hidden="1" customWidth="1"/>
    <col min="7" max="7" width="17.28515625" style="245" customWidth="1"/>
    <col min="8" max="8" width="14.42578125" style="245" customWidth="1"/>
    <col min="9" max="11" width="13.42578125" style="245" customWidth="1"/>
    <col min="12" max="12" width="12.140625" style="245" customWidth="1"/>
    <col min="13" max="13" width="13.42578125" style="245" customWidth="1"/>
    <col min="14" max="14" width="13.140625" style="245" customWidth="1"/>
    <col min="15" max="15" width="14.140625" style="245" customWidth="1"/>
    <col min="16" max="16" width="10.42578125" style="245" customWidth="1"/>
    <col min="17" max="17" width="13.42578125" style="245" customWidth="1"/>
    <col min="18" max="18" width="15" style="245" customWidth="1"/>
    <col min="19" max="19" width="11.5703125" style="245" customWidth="1"/>
    <col min="20" max="20" width="15" style="245" customWidth="1"/>
    <col min="21" max="22" width="14.140625" style="245" customWidth="1"/>
    <col min="23" max="23" width="14.85546875" style="245" customWidth="1"/>
    <col min="24" max="30" width="11.5703125" style="245" customWidth="1"/>
    <col min="31" max="31" width="13.5703125" style="245" customWidth="1"/>
    <col min="32" max="32" width="14.140625" style="245" customWidth="1"/>
    <col min="33" max="33" width="10" style="245" customWidth="1"/>
    <col min="34" max="34" width="17.28515625" style="245" customWidth="1"/>
    <col min="35" max="35" width="3.5703125" style="228"/>
    <col min="36" max="37" width="3.5703125" style="267"/>
    <col min="38" max="38" width="7.42578125" style="267" customWidth="1"/>
    <col min="39" max="39" width="6" style="267" customWidth="1"/>
    <col min="40" max="42" width="3.5703125" style="267"/>
    <col min="43" max="43" width="7.140625" style="267" customWidth="1"/>
    <col min="44" max="44" width="5.140625" style="267" customWidth="1"/>
    <col min="45" max="45" width="8.7109375" style="267" customWidth="1"/>
    <col min="46" max="46" width="40.5703125" style="267" customWidth="1"/>
    <col min="47" max="47" width="25.42578125" style="267" customWidth="1"/>
    <col min="48" max="48" width="29.5703125" style="267" customWidth="1"/>
    <col min="49" max="49" width="9.140625" style="267" customWidth="1"/>
    <col min="50" max="51" width="3.5703125" style="267"/>
    <col min="52" max="52" width="60.140625" style="267" customWidth="1"/>
    <col min="53" max="53" width="26.5703125" style="267" customWidth="1"/>
    <col min="54" max="54" width="23.85546875" style="267" customWidth="1"/>
    <col min="55" max="55" width="20.5703125" style="267" customWidth="1"/>
    <col min="56" max="56" width="18.85546875" style="267" customWidth="1"/>
    <col min="57" max="57" width="9.42578125" style="267" customWidth="1"/>
    <col min="58" max="58" width="14.28515625" style="267" customWidth="1"/>
    <col min="59" max="59" width="5.28515625" style="267" bestFit="1" customWidth="1"/>
    <col min="60" max="60" width="0" style="267" hidden="1" customWidth="1"/>
    <col min="61" max="61" width="6.28515625" style="267" hidden="1" customWidth="1"/>
    <col min="62" max="62" width="11.28515625" style="267" bestFit="1" customWidth="1"/>
    <col min="63" max="63" width="17.28515625" style="267" customWidth="1"/>
    <col min="64" max="64" width="13.140625" style="267" bestFit="1" customWidth="1"/>
    <col min="65" max="65" width="3.5703125" style="267"/>
    <col min="66" max="66" width="13.140625" style="267" bestFit="1" customWidth="1"/>
    <col min="67" max="67" width="17.42578125" style="267" customWidth="1"/>
    <col min="68" max="68" width="13.85546875" style="267" bestFit="1" customWidth="1"/>
    <col min="69" max="70" width="3.5703125" style="267"/>
    <col min="71" max="79" width="3.5703125" style="400"/>
    <col min="80" max="16384" width="3.5703125" style="228"/>
  </cols>
  <sheetData>
    <row r="2" spans="2:79" ht="15.75" x14ac:dyDescent="0.25">
      <c r="AZ2" s="268" t="s">
        <v>859</v>
      </c>
      <c r="BA2" s="267" t="s">
        <v>860</v>
      </c>
      <c r="BB2" s="266">
        <v>100</v>
      </c>
      <c r="BJ2" s="273"/>
      <c r="BK2" s="273"/>
      <c r="BL2" s="273"/>
      <c r="BM2" s="273"/>
      <c r="BN2" s="273"/>
      <c r="BO2" s="273"/>
    </row>
    <row r="3" spans="2:79" ht="15.75" thickBot="1" x14ac:dyDescent="0.3">
      <c r="BJ3" s="273"/>
      <c r="BK3" s="273"/>
      <c r="BL3" s="273"/>
      <c r="BM3" s="273"/>
      <c r="BN3" s="273"/>
      <c r="BO3" s="273"/>
    </row>
    <row r="4" spans="2:79" ht="40.5" customHeight="1" x14ac:dyDescent="0.25">
      <c r="AZ4" s="424" t="s">
        <v>416</v>
      </c>
      <c r="BA4" s="425" t="s">
        <v>862</v>
      </c>
      <c r="BB4" s="426" t="s">
        <v>193</v>
      </c>
      <c r="BC4" s="426" t="s">
        <v>293</v>
      </c>
      <c r="BD4" s="427" t="s">
        <v>861</v>
      </c>
      <c r="BG4" s="401" t="s">
        <v>1446</v>
      </c>
      <c r="BJ4" s="273"/>
      <c r="BK4" s="273"/>
      <c r="BL4" s="273"/>
      <c r="BM4" s="273"/>
      <c r="BN4" s="273"/>
      <c r="BO4" s="273"/>
    </row>
    <row r="5" spans="2:79" x14ac:dyDescent="0.25">
      <c r="AZ5" s="428">
        <v>41282</v>
      </c>
      <c r="BA5" s="450">
        <f>0.8*BB2</f>
        <v>80</v>
      </c>
      <c r="BB5" s="450">
        <v>1875</v>
      </c>
      <c r="BC5" s="450">
        <f>+BB5</f>
        <v>1875</v>
      </c>
      <c r="BD5" s="429">
        <f>BA5/$BB$2</f>
        <v>0.8</v>
      </c>
      <c r="BE5" s="401" t="str">
        <f>IF(BD5&gt;0.5,"Control achieved"," ")</f>
        <v>Control achieved</v>
      </c>
      <c r="BJ5" s="273"/>
      <c r="BK5" s="273"/>
      <c r="BL5" s="273"/>
      <c r="BM5" s="273"/>
      <c r="BN5" s="273"/>
      <c r="BO5" s="273"/>
    </row>
    <row r="6" spans="2:79" ht="18.75" customHeight="1" x14ac:dyDescent="0.25">
      <c r="B6" s="226" t="s">
        <v>1748</v>
      </c>
      <c r="C6" s="808" t="s">
        <v>655</v>
      </c>
      <c r="D6" s="227"/>
      <c r="E6" s="227"/>
      <c r="F6" s="227"/>
      <c r="G6" s="227"/>
      <c r="H6" s="533" t="s">
        <v>1042</v>
      </c>
      <c r="I6" s="398"/>
      <c r="J6" s="416"/>
      <c r="K6" s="417"/>
      <c r="L6" s="392"/>
      <c r="M6" s="299"/>
      <c r="N6" s="299"/>
      <c r="O6" s="299"/>
      <c r="P6" s="299"/>
      <c r="Q6" s="299"/>
      <c r="R6" s="299"/>
      <c r="S6" s="299"/>
      <c r="T6" s="299"/>
      <c r="U6" s="299"/>
      <c r="V6" s="299"/>
      <c r="W6" s="299"/>
      <c r="X6" s="299"/>
      <c r="Y6" s="299"/>
      <c r="Z6" s="299"/>
      <c r="AA6" s="299"/>
      <c r="AB6" s="299"/>
      <c r="AC6" s="299"/>
      <c r="AD6" s="299"/>
      <c r="AE6" s="299"/>
      <c r="AF6" s="299"/>
      <c r="AG6" s="299"/>
      <c r="AH6" s="227"/>
      <c r="AT6" s="268" t="s">
        <v>771</v>
      </c>
      <c r="AU6" s="365">
        <f>SUM(AU10:AU1048576)</f>
        <v>5050.8</v>
      </c>
      <c r="AV6" s="365">
        <f>SUM(AV10:AV1048576)</f>
        <v>5050.8</v>
      </c>
      <c r="AW6" s="365">
        <f>AV6-AU6</f>
        <v>0</v>
      </c>
      <c r="AZ6" s="428"/>
      <c r="BA6" s="450"/>
      <c r="BB6" s="450"/>
      <c r="BC6" s="450"/>
      <c r="BD6" s="429">
        <f>SUM(BA5:BA6)/$BB$2</f>
        <v>0.8</v>
      </c>
      <c r="BE6" s="401" t="str">
        <f>IF(AND(BD7&gt;0.5,BE5=" "),"Control achieved"," ")</f>
        <v xml:space="preserve"> </v>
      </c>
      <c r="BJ6" s="273"/>
      <c r="BK6" s="273"/>
      <c r="BL6" s="273"/>
      <c r="BM6" s="273"/>
      <c r="BN6" s="273"/>
      <c r="BO6" s="273"/>
    </row>
    <row r="7" spans="2:79" ht="18.75" customHeight="1" x14ac:dyDescent="0.25">
      <c r="B7" s="229" t="s">
        <v>656</v>
      </c>
      <c r="C7" s="809"/>
      <c r="D7" s="227"/>
      <c r="E7" s="227"/>
      <c r="F7" s="227"/>
      <c r="G7" s="282"/>
      <c r="H7" s="806">
        <v>1</v>
      </c>
      <c r="I7" s="811"/>
      <c r="J7" s="806">
        <v>2</v>
      </c>
      <c r="K7" s="807"/>
      <c r="L7" s="811">
        <v>3</v>
      </c>
      <c r="M7" s="811"/>
      <c r="N7" s="806">
        <v>4</v>
      </c>
      <c r="O7" s="807"/>
      <c r="P7" s="811">
        <v>5</v>
      </c>
      <c r="Q7" s="807"/>
      <c r="R7" s="806">
        <v>6</v>
      </c>
      <c r="S7" s="807"/>
      <c r="T7" s="806">
        <v>7</v>
      </c>
      <c r="U7" s="807"/>
      <c r="V7" s="806">
        <v>8</v>
      </c>
      <c r="W7" s="807"/>
      <c r="X7" s="806">
        <v>9</v>
      </c>
      <c r="Y7" s="807"/>
      <c r="Z7" s="806">
        <v>10</v>
      </c>
      <c r="AA7" s="811"/>
      <c r="AB7" s="806">
        <v>11</v>
      </c>
      <c r="AC7" s="807"/>
      <c r="AD7" s="811">
        <v>12</v>
      </c>
      <c r="AE7" s="807"/>
      <c r="AF7" s="806">
        <v>13</v>
      </c>
      <c r="AG7" s="807"/>
      <c r="AH7" s="310"/>
      <c r="AZ7" s="428"/>
      <c r="BA7" s="450"/>
      <c r="BB7" s="450"/>
      <c r="BC7" s="450"/>
      <c r="BD7" s="429">
        <f>SUM(BA5:BA7)/$BB$2</f>
        <v>0.8</v>
      </c>
      <c r="BE7" s="401" t="str">
        <f>IF(AND(BD8&gt;0.5,BE6=" "),"Control achieved"," ")</f>
        <v>Control achieved</v>
      </c>
      <c r="BJ7" s="273"/>
      <c r="BK7" s="273"/>
      <c r="BL7" s="273"/>
      <c r="BM7" s="273"/>
      <c r="BN7" s="273"/>
      <c r="BO7" s="273"/>
    </row>
    <row r="8" spans="2:79" ht="18.75" customHeight="1" thickBot="1" x14ac:dyDescent="0.3">
      <c r="B8" s="230" t="s">
        <v>2004</v>
      </c>
      <c r="C8" s="810"/>
      <c r="D8" s="231" t="s">
        <v>657</v>
      </c>
      <c r="E8" s="231" t="s">
        <v>874</v>
      </c>
      <c r="F8" s="231" t="s">
        <v>873</v>
      </c>
      <c r="G8" s="283" t="s">
        <v>659</v>
      </c>
      <c r="H8" s="300" t="s">
        <v>660</v>
      </c>
      <c r="I8" s="283" t="s">
        <v>661</v>
      </c>
      <c r="J8" s="300" t="s">
        <v>660</v>
      </c>
      <c r="K8" s="301" t="s">
        <v>661</v>
      </c>
      <c r="L8" s="293" t="s">
        <v>660</v>
      </c>
      <c r="M8" s="283" t="s">
        <v>661</v>
      </c>
      <c r="N8" s="300" t="s">
        <v>660</v>
      </c>
      <c r="O8" s="301" t="s">
        <v>661</v>
      </c>
      <c r="P8" s="293" t="s">
        <v>660</v>
      </c>
      <c r="Q8" s="301" t="s">
        <v>661</v>
      </c>
      <c r="R8" s="300" t="s">
        <v>660</v>
      </c>
      <c r="S8" s="301" t="s">
        <v>661</v>
      </c>
      <c r="T8" s="300" t="s">
        <v>660</v>
      </c>
      <c r="U8" s="301" t="s">
        <v>661</v>
      </c>
      <c r="V8" s="300" t="s">
        <v>660</v>
      </c>
      <c r="W8" s="301" t="s">
        <v>661</v>
      </c>
      <c r="X8" s="300" t="s">
        <v>660</v>
      </c>
      <c r="Y8" s="301" t="s">
        <v>661</v>
      </c>
      <c r="Z8" s="300" t="s">
        <v>660</v>
      </c>
      <c r="AA8" s="283" t="s">
        <v>661</v>
      </c>
      <c r="AB8" s="300" t="s">
        <v>660</v>
      </c>
      <c r="AC8" s="301" t="s">
        <v>661</v>
      </c>
      <c r="AD8" s="293" t="s">
        <v>660</v>
      </c>
      <c r="AE8" s="301" t="s">
        <v>661</v>
      </c>
      <c r="AF8" s="300" t="s">
        <v>660</v>
      </c>
      <c r="AG8" s="301" t="s">
        <v>661</v>
      </c>
      <c r="AH8" s="293" t="s">
        <v>662</v>
      </c>
      <c r="AT8" s="268" t="s">
        <v>259</v>
      </c>
      <c r="AU8" s="269" t="s">
        <v>141</v>
      </c>
      <c r="AV8" s="269" t="s">
        <v>141</v>
      </c>
      <c r="AZ8" s="430"/>
      <c r="BA8" s="457"/>
      <c r="BB8" s="457"/>
      <c r="BC8" s="431"/>
      <c r="BD8" s="432">
        <f>SUM(BA5:BA8)/$BB$2</f>
        <v>0.8</v>
      </c>
      <c r="BE8" s="401" t="str">
        <f>IF(AND(BD9&gt;0.5,BE7=" "),"Control achieved"," ")</f>
        <v xml:space="preserve"> </v>
      </c>
      <c r="BJ8" s="273"/>
      <c r="BK8" s="273"/>
      <c r="BL8" s="273"/>
      <c r="BM8" s="273"/>
      <c r="BN8" s="273"/>
      <c r="BO8" s="273"/>
    </row>
    <row r="9" spans="2:79" ht="18.75" customHeight="1" thickBot="1" x14ac:dyDescent="0.3">
      <c r="B9" s="232"/>
      <c r="C9" s="233" t="s">
        <v>663</v>
      </c>
      <c r="D9" s="231" t="s">
        <v>141</v>
      </c>
      <c r="E9" s="231" t="s">
        <v>141</v>
      </c>
      <c r="F9" s="231" t="s">
        <v>141</v>
      </c>
      <c r="G9" s="283" t="s">
        <v>141</v>
      </c>
      <c r="H9" s="300" t="s">
        <v>141</v>
      </c>
      <c r="I9" s="283" t="s">
        <v>141</v>
      </c>
      <c r="J9" s="300" t="s">
        <v>141</v>
      </c>
      <c r="K9" s="301" t="s">
        <v>141</v>
      </c>
      <c r="L9" s="293" t="s">
        <v>141</v>
      </c>
      <c r="M9" s="283" t="s">
        <v>141</v>
      </c>
      <c r="N9" s="300" t="s">
        <v>141</v>
      </c>
      <c r="O9" s="301" t="s">
        <v>141</v>
      </c>
      <c r="P9" s="293" t="s">
        <v>141</v>
      </c>
      <c r="Q9" s="231" t="s">
        <v>141</v>
      </c>
      <c r="R9" s="231" t="s">
        <v>141</v>
      </c>
      <c r="S9" s="231" t="s">
        <v>141</v>
      </c>
      <c r="T9" s="231" t="s">
        <v>141</v>
      </c>
      <c r="U9" s="231" t="s">
        <v>141</v>
      </c>
      <c r="V9" s="231" t="s">
        <v>141</v>
      </c>
      <c r="W9" s="231" t="s">
        <v>141</v>
      </c>
      <c r="X9" s="231" t="s">
        <v>141</v>
      </c>
      <c r="Y9" s="231" t="s">
        <v>141</v>
      </c>
      <c r="Z9" s="231" t="s">
        <v>141</v>
      </c>
      <c r="AA9" s="283" t="s">
        <v>141</v>
      </c>
      <c r="AB9" s="300" t="s">
        <v>141</v>
      </c>
      <c r="AC9" s="301" t="s">
        <v>141</v>
      </c>
      <c r="AD9" s="293" t="s">
        <v>141</v>
      </c>
      <c r="AE9" s="231" t="s">
        <v>141</v>
      </c>
      <c r="AF9" s="231" t="s">
        <v>141</v>
      </c>
      <c r="AG9" s="231" t="s">
        <v>141</v>
      </c>
      <c r="AH9" s="293" t="s">
        <v>10</v>
      </c>
      <c r="BC9" s="274">
        <f>SUM(BC5:BC8)</f>
        <v>1875</v>
      </c>
      <c r="BS9" s="401" t="s">
        <v>1893</v>
      </c>
    </row>
    <row r="10" spans="2:79" ht="18.75" customHeight="1" thickBot="1" x14ac:dyDescent="0.3">
      <c r="B10" s="229" t="s">
        <v>664</v>
      </c>
      <c r="C10" s="234"/>
      <c r="D10" s="235"/>
      <c r="E10" s="235"/>
      <c r="F10" s="235"/>
      <c r="G10" s="284"/>
      <c r="H10" s="302"/>
      <c r="I10" s="284"/>
      <c r="J10" s="382"/>
      <c r="K10" s="383"/>
      <c r="L10" s="294"/>
      <c r="M10" s="284"/>
      <c r="N10" s="302"/>
      <c r="O10" s="303"/>
      <c r="P10" s="294"/>
      <c r="Q10" s="303"/>
      <c r="R10" s="302"/>
      <c r="S10" s="303"/>
      <c r="T10" s="302"/>
      <c r="U10" s="303"/>
      <c r="V10" s="382"/>
      <c r="W10" s="383"/>
      <c r="X10" s="382"/>
      <c r="Y10" s="383"/>
      <c r="Z10" s="320"/>
      <c r="AA10" s="320"/>
      <c r="AB10" s="382"/>
      <c r="AC10" s="383"/>
      <c r="AD10" s="320"/>
      <c r="AE10" s="320"/>
      <c r="AF10" s="302"/>
      <c r="AG10" s="303"/>
      <c r="AH10" s="294"/>
      <c r="AS10" s="270">
        <v>1</v>
      </c>
      <c r="AT10" s="267" t="s">
        <v>698</v>
      </c>
      <c r="AU10" s="271">
        <f>BB16</f>
        <v>100</v>
      </c>
      <c r="BJ10" s="463" t="s">
        <v>747</v>
      </c>
      <c r="BK10" s="425"/>
      <c r="BL10" s="425"/>
      <c r="BM10" s="425"/>
      <c r="BN10" s="425"/>
      <c r="BO10" s="464"/>
    </row>
    <row r="11" spans="2:79" ht="18.75" customHeight="1" x14ac:dyDescent="0.25">
      <c r="B11" s="229" t="s">
        <v>73</v>
      </c>
      <c r="C11" s="234"/>
      <c r="D11" s="235"/>
      <c r="E11" s="235"/>
      <c r="F11" s="235"/>
      <c r="G11" s="284"/>
      <c r="H11" s="302"/>
      <c r="I11" s="284"/>
      <c r="J11" s="382"/>
      <c r="K11" s="383"/>
      <c r="L11" s="294"/>
      <c r="M11" s="284"/>
      <c r="N11" s="302"/>
      <c r="O11" s="303"/>
      <c r="P11" s="294"/>
      <c r="Q11" s="303"/>
      <c r="R11" s="302"/>
      <c r="S11" s="303"/>
      <c r="T11" s="302"/>
      <c r="U11" s="303"/>
      <c r="V11" s="382"/>
      <c r="W11" s="383"/>
      <c r="X11" s="382"/>
      <c r="Y11" s="383"/>
      <c r="Z11" s="320"/>
      <c r="AA11" s="320"/>
      <c r="AB11" s="382"/>
      <c r="AC11" s="383"/>
      <c r="AD11" s="320"/>
      <c r="AE11" s="320"/>
      <c r="AF11" s="302"/>
      <c r="AG11" s="303"/>
      <c r="AH11" s="294"/>
      <c r="AT11" s="267" t="s">
        <v>699</v>
      </c>
      <c r="AU11" s="271">
        <f>BB18</f>
        <v>1500</v>
      </c>
      <c r="AZ11" s="433" t="s">
        <v>705</v>
      </c>
      <c r="BA11" s="434"/>
      <c r="BB11" s="435" t="s">
        <v>531</v>
      </c>
      <c r="BC11" s="436">
        <v>0.2</v>
      </c>
      <c r="BD11" s="427"/>
      <c r="BJ11" s="444"/>
      <c r="BK11" s="442"/>
      <c r="BL11" s="442"/>
      <c r="BM11" s="442"/>
      <c r="BN11" s="442"/>
      <c r="BO11" s="439"/>
    </row>
    <row r="12" spans="2:79" ht="18.75" customHeight="1" x14ac:dyDescent="0.25">
      <c r="B12" s="232" t="s">
        <v>665</v>
      </c>
      <c r="C12" s="234"/>
      <c r="D12" s="236"/>
      <c r="E12" s="236"/>
      <c r="F12" s="236"/>
      <c r="G12" s="285">
        <f>SUM(D12:F12)</f>
        <v>0</v>
      </c>
      <c r="H12" s="304"/>
      <c r="I12" s="543"/>
      <c r="J12" s="384"/>
      <c r="K12" s="379"/>
      <c r="L12" s="295"/>
      <c r="M12" s="325"/>
      <c r="N12" s="304"/>
      <c r="O12" s="305"/>
      <c r="P12" s="295"/>
      <c r="Q12" s="305"/>
      <c r="R12" s="304"/>
      <c r="S12" s="305"/>
      <c r="T12" s="304"/>
      <c r="U12" s="305"/>
      <c r="V12" s="384"/>
      <c r="W12" s="379"/>
      <c r="X12" s="384"/>
      <c r="Y12" s="379"/>
      <c r="Z12" s="321">
        <f>SUMIF($AT$86:$AT$97,"DR PPE - Cost",AU$86:AU$97)+SUMIF($AT$86:$AT$97,"DR PPE - Accumulated depreciation",AU$86:AU$97)</f>
        <v>0</v>
      </c>
      <c r="AA12" s="321">
        <f>SUMIF($AT$86:$AT$97,"CR PPE - Cost",AV$86:AV$97)+SUMIF($AT$86:$AT$97,"CR PPE - Accumulated depreciation",AV$86:AV$97)</f>
        <v>0</v>
      </c>
      <c r="AB12" s="384"/>
      <c r="AC12" s="379"/>
      <c r="AD12" s="304">
        <f>SUMIF($AT$109:$AT$116,"DR PPE - Accumulated depreciation",$AU$109:$AU$116)</f>
        <v>0</v>
      </c>
      <c r="AE12" s="305">
        <f>-SUMIF($AT$109:$AT$116,"CR PPE - Accumulated depreciation",$AV$109:$AV$116)</f>
        <v>0</v>
      </c>
      <c r="AF12" s="304"/>
      <c r="AG12" s="305"/>
      <c r="AH12" s="311">
        <f>SUM(G12:AG12)</f>
        <v>0</v>
      </c>
      <c r="AT12" s="267" t="s">
        <v>750</v>
      </c>
      <c r="AU12" s="274">
        <f>BB19</f>
        <v>0</v>
      </c>
      <c r="AZ12" s="437"/>
      <c r="BA12" s="438"/>
      <c r="BB12" s="438"/>
      <c r="BC12" s="66"/>
      <c r="BD12" s="439"/>
      <c r="BJ12" s="444"/>
      <c r="BK12" s="442"/>
      <c r="BL12" s="442"/>
      <c r="BM12" s="442"/>
      <c r="BN12" s="442"/>
      <c r="BO12" s="439"/>
      <c r="BS12" s="401" t="s">
        <v>827</v>
      </c>
    </row>
    <row r="13" spans="2:79" ht="18.75" customHeight="1" x14ac:dyDescent="0.25">
      <c r="B13" s="232"/>
      <c r="C13" s="234"/>
      <c r="D13" s="235"/>
      <c r="E13" s="235"/>
      <c r="F13" s="235"/>
      <c r="G13" s="284"/>
      <c r="H13" s="304"/>
      <c r="I13" s="325"/>
      <c r="J13" s="384"/>
      <c r="K13" s="379"/>
      <c r="L13" s="295"/>
      <c r="M13" s="325"/>
      <c r="N13" s="304"/>
      <c r="O13" s="305"/>
      <c r="P13" s="295"/>
      <c r="Q13" s="305"/>
      <c r="R13" s="304"/>
      <c r="S13" s="305"/>
      <c r="T13" s="304"/>
      <c r="U13" s="305"/>
      <c r="V13" s="384"/>
      <c r="W13" s="379"/>
      <c r="X13" s="384"/>
      <c r="Y13" s="379"/>
      <c r="Z13" s="321"/>
      <c r="AA13" s="321"/>
      <c r="AB13" s="384"/>
      <c r="AC13" s="379"/>
      <c r="AD13" s="321"/>
      <c r="AE13" s="321"/>
      <c r="AF13" s="304"/>
      <c r="AG13" s="305"/>
      <c r="AH13" s="294"/>
      <c r="AT13" s="267" t="str" cm="1">
        <f t="array" ref="AT13">_xlfn.IFS(BC21&gt;0,"DR Goodwill",BC21&lt;0,"CR Gain on Bargain Purchase",BC21=0," ")</f>
        <v>DR Goodwill</v>
      </c>
      <c r="AU13" s="898">
        <f>IF(BC21&gt;0,BC21,0)</f>
        <v>395</v>
      </c>
      <c r="AV13" s="267">
        <f>IF(BC21&lt;0,-BC21,0)</f>
        <v>0</v>
      </c>
      <c r="AZ13" s="437" t="s">
        <v>530</v>
      </c>
      <c r="BA13" s="438"/>
      <c r="BB13" s="438"/>
      <c r="BC13" s="440">
        <f>+BC5+BC6</f>
        <v>1875</v>
      </c>
      <c r="BD13" s="439"/>
      <c r="BJ13" s="465" t="s">
        <v>762</v>
      </c>
      <c r="BK13" s="442"/>
      <c r="BL13" s="442"/>
      <c r="BM13" s="442"/>
      <c r="BN13" s="442"/>
      <c r="BO13" s="466"/>
    </row>
    <row r="14" spans="2:79" ht="18.75" customHeight="1" x14ac:dyDescent="0.25">
      <c r="B14" s="232" t="s">
        <v>236</v>
      </c>
      <c r="C14" s="234"/>
      <c r="D14" s="236"/>
      <c r="E14" s="236"/>
      <c r="F14" s="236"/>
      <c r="G14" s="285">
        <f>SUM(D14:F14)</f>
        <v>0</v>
      </c>
      <c r="H14" s="295">
        <f>SUMIF(AT10:AT17,"DR Goodwill",AU10:AU17)</f>
        <v>395</v>
      </c>
      <c r="I14" s="325">
        <f>-SUMIF($AT$10:$AT$17,"CR Goodwill",$AV$10:$AV$17)</f>
        <v>0</v>
      </c>
      <c r="J14" s="384"/>
      <c r="K14" s="379"/>
      <c r="L14" s="295">
        <f>SUMIF(AT33:AT35,"DR Goodwill",AU33:AU35)</f>
        <v>0</v>
      </c>
      <c r="M14" s="325">
        <f>-SUMIF(AT33:AT35,"CR Goodwill",AV33:AV35)</f>
        <v>-296.25</v>
      </c>
      <c r="N14" s="304">
        <f>SUMIF($AT$38:$AT$42,"DR Goodwill",$AU$38:$AU$42)</f>
        <v>0</v>
      </c>
      <c r="O14" s="305">
        <f>-SUMIF($AT$38:$AT$42,"CR Goodwill",$AV$38:$AV$42)</f>
        <v>0</v>
      </c>
      <c r="P14" s="295"/>
      <c r="Q14" s="305"/>
      <c r="R14" s="304"/>
      <c r="S14" s="305"/>
      <c r="T14" s="304"/>
      <c r="U14" s="305"/>
      <c r="V14" s="384"/>
      <c r="W14" s="379"/>
      <c r="X14" s="384"/>
      <c r="Y14" s="379"/>
      <c r="Z14" s="321"/>
      <c r="AA14" s="321"/>
      <c r="AB14" s="304">
        <f>SUMIF($AT$100:$AT$104,"DR Goodwill",$AU$100:$AU$104)</f>
        <v>0</v>
      </c>
      <c r="AC14" s="305">
        <f>-SUMIF($AT$100:$AT$104,"CR Goodwill",$AV$100:$AV$104)</f>
        <v>-98.75</v>
      </c>
      <c r="AD14" s="321"/>
      <c r="AE14" s="321"/>
      <c r="AF14" s="304"/>
      <c r="AG14" s="305"/>
      <c r="AH14" s="311">
        <f>SUM(G14:AG14)</f>
        <v>0</v>
      </c>
      <c r="AT14" s="267" t="s">
        <v>759</v>
      </c>
      <c r="AU14" s="898">
        <f>BB17</f>
        <v>250</v>
      </c>
      <c r="AZ14" s="437" t="s">
        <v>528</v>
      </c>
      <c r="BA14" s="438"/>
      <c r="BB14" s="441"/>
      <c r="BC14" s="441">
        <f>BC20*BC11</f>
        <v>370</v>
      </c>
      <c r="BD14" s="439"/>
      <c r="BJ14" s="465" t="s">
        <v>764</v>
      </c>
      <c r="BK14" s="442"/>
      <c r="BL14" s="442"/>
      <c r="BM14" s="442"/>
      <c r="BN14" s="450"/>
      <c r="BO14" s="439"/>
    </row>
    <row r="15" spans="2:79" ht="18.75" customHeight="1" x14ac:dyDescent="0.25">
      <c r="B15" s="232"/>
      <c r="C15" s="234"/>
      <c r="D15" s="235"/>
      <c r="E15" s="235"/>
      <c r="F15" s="235"/>
      <c r="G15" s="284"/>
      <c r="H15" s="304"/>
      <c r="I15" s="325"/>
      <c r="J15" s="384"/>
      <c r="K15" s="379"/>
      <c r="L15" s="295"/>
      <c r="M15" s="325"/>
      <c r="N15" s="304"/>
      <c r="O15" s="305"/>
      <c r="P15" s="295"/>
      <c r="Q15" s="305"/>
      <c r="R15" s="304"/>
      <c r="S15" s="305"/>
      <c r="T15" s="304"/>
      <c r="U15" s="305"/>
      <c r="V15" s="384"/>
      <c r="W15" s="379"/>
      <c r="X15" s="384"/>
      <c r="Y15" s="379"/>
      <c r="Z15" s="321"/>
      <c r="AA15" s="321"/>
      <c r="AB15" s="384"/>
      <c r="AC15" s="379"/>
      <c r="AD15" s="321"/>
      <c r="AE15" s="321"/>
      <c r="AF15" s="304"/>
      <c r="AG15" s="305"/>
      <c r="AH15" s="294"/>
      <c r="AT15" s="267" t="s">
        <v>758</v>
      </c>
      <c r="AV15" s="271">
        <f>BC13</f>
        <v>1875</v>
      </c>
      <c r="AZ15" s="437"/>
      <c r="BA15" s="438"/>
      <c r="BB15" s="441"/>
      <c r="BC15" s="891">
        <f>SUM(BC13:BC14)</f>
        <v>2245</v>
      </c>
      <c r="BD15" s="439"/>
      <c r="BJ15" s="465" t="s">
        <v>763</v>
      </c>
      <c r="BK15" s="442"/>
      <c r="BL15" s="442"/>
      <c r="BM15" s="442"/>
      <c r="BN15" s="442"/>
      <c r="BO15" s="467">
        <f>BN14*BO10</f>
        <v>0</v>
      </c>
    </row>
    <row r="16" spans="2:79" ht="18.75" customHeight="1" x14ac:dyDescent="0.25">
      <c r="B16" s="232" t="s">
        <v>666</v>
      </c>
      <c r="C16" s="234" t="s">
        <v>667</v>
      </c>
      <c r="D16" s="236"/>
      <c r="E16" s="236"/>
      <c r="F16" s="236"/>
      <c r="G16" s="285">
        <f>SUM(D16:F16)</f>
        <v>0</v>
      </c>
      <c r="H16" s="544"/>
      <c r="I16" s="325"/>
      <c r="J16" s="384"/>
      <c r="K16" s="379"/>
      <c r="L16" s="295"/>
      <c r="M16" s="325"/>
      <c r="N16" s="304"/>
      <c r="O16" s="305"/>
      <c r="P16" s="295"/>
      <c r="Q16" s="305"/>
      <c r="R16" s="304"/>
      <c r="S16" s="305"/>
      <c r="T16" s="304"/>
      <c r="U16" s="305"/>
      <c r="V16" s="384"/>
      <c r="W16" s="379"/>
      <c r="X16" s="384"/>
      <c r="Y16" s="379"/>
      <c r="Z16" s="321"/>
      <c r="AA16" s="321"/>
      <c r="AB16" s="384"/>
      <c r="AC16" s="379"/>
      <c r="AD16" s="321"/>
      <c r="AE16" s="321"/>
      <c r="AF16" s="304"/>
      <c r="AG16" s="305"/>
      <c r="AH16" s="311">
        <f>SUM(G16:AG16)</f>
        <v>0</v>
      </c>
      <c r="AT16" s="267" t="s">
        <v>835</v>
      </c>
      <c r="AV16" s="271">
        <f>BC14</f>
        <v>370</v>
      </c>
      <c r="AZ16" s="437" t="s">
        <v>696</v>
      </c>
      <c r="BA16" s="438"/>
      <c r="BB16" s="796">
        <v>100</v>
      </c>
      <c r="BC16" s="441"/>
      <c r="BD16" s="439"/>
      <c r="BJ16" s="465" t="s">
        <v>765</v>
      </c>
      <c r="BK16" s="442"/>
      <c r="BL16" s="442"/>
      <c r="BM16" s="442"/>
      <c r="BN16" s="442"/>
      <c r="BO16" s="468">
        <f>BO13-BO15</f>
        <v>0</v>
      </c>
      <c r="BS16" s="812" t="s">
        <v>760</v>
      </c>
      <c r="BT16" s="812"/>
      <c r="BU16" s="812"/>
      <c r="BV16" s="812"/>
      <c r="BW16" s="812"/>
      <c r="BX16" s="812"/>
      <c r="BY16" s="812"/>
      <c r="BZ16" s="812"/>
      <c r="CA16" s="812"/>
    </row>
    <row r="17" spans="2:79" ht="18.75" customHeight="1" thickBot="1" x14ac:dyDescent="0.3">
      <c r="B17" s="232" t="s">
        <v>697</v>
      </c>
      <c r="C17" s="234"/>
      <c r="D17" s="236"/>
      <c r="E17" s="236"/>
      <c r="F17" s="236"/>
      <c r="G17" s="285">
        <f>SUM(D17:F17)</f>
        <v>0</v>
      </c>
      <c r="H17" s="304">
        <f>SUMIF($AT$10:$AT$17,"DR Investment in subsidiary",$AV$10:$AV$17)</f>
        <v>0</v>
      </c>
      <c r="I17" s="325">
        <f>-SUMIF($AT$10:$AT$17,"CR Investment in subsidiary",$AV$10:$AV$17)</f>
        <v>-1875</v>
      </c>
      <c r="J17" s="384"/>
      <c r="K17" s="379"/>
      <c r="L17" s="295">
        <f>SUMIF($AT33:$AT35,"DR Investment in subsidiary",$AU33:$AU35)</f>
        <v>0</v>
      </c>
      <c r="M17" s="325">
        <f>-SUMIF($AT33:$AT35,"CR Investment in subsidiary",AU33:AX35)</f>
        <v>0</v>
      </c>
      <c r="N17" s="304"/>
      <c r="O17" s="305"/>
      <c r="P17" s="295"/>
      <c r="Q17" s="305"/>
      <c r="R17" s="304"/>
      <c r="S17" s="305"/>
      <c r="T17" s="304"/>
      <c r="U17" s="305"/>
      <c r="V17" s="384"/>
      <c r="W17" s="379"/>
      <c r="X17" s="384"/>
      <c r="Y17" s="379"/>
      <c r="Z17" s="321"/>
      <c r="AA17" s="321"/>
      <c r="AB17" s="384"/>
      <c r="AC17" s="379"/>
      <c r="AD17" s="321"/>
      <c r="AE17" s="321"/>
      <c r="AF17" s="304"/>
      <c r="AG17" s="305"/>
      <c r="AH17" s="311">
        <f>SUM(G17:AG17)</f>
        <v>-1875</v>
      </c>
      <c r="AO17" s="401" t="s">
        <v>1004</v>
      </c>
      <c r="AT17" s="247" t="str">
        <f>IF(BB20&gt;0,"DR Fair value adjustments","CR Fair value adjustments")</f>
        <v>CR Fair value adjustments</v>
      </c>
      <c r="AU17" s="266">
        <f>IF(BB20&gt;0,BB20,0)</f>
        <v>0</v>
      </c>
      <c r="AV17" s="266">
        <f>IF(BB20&lt;0,-BB20,0)</f>
        <v>0</v>
      </c>
      <c r="AZ17" s="437" t="s">
        <v>678</v>
      </c>
      <c r="BA17" s="442"/>
      <c r="BB17" s="796">
        <v>250</v>
      </c>
      <c r="BC17" s="85"/>
      <c r="BD17" s="439"/>
      <c r="BJ17" s="453"/>
      <c r="BK17" s="454"/>
      <c r="BL17" s="454"/>
      <c r="BM17" s="454"/>
      <c r="BN17" s="454"/>
      <c r="BO17" s="447"/>
      <c r="BS17" s="812"/>
      <c r="BT17" s="812"/>
      <c r="BU17" s="812"/>
      <c r="BV17" s="812"/>
      <c r="BW17" s="812"/>
      <c r="BX17" s="812"/>
      <c r="BY17" s="812"/>
      <c r="BZ17" s="812"/>
      <c r="CA17" s="812"/>
    </row>
    <row r="18" spans="2:79" ht="18.75" customHeight="1" x14ac:dyDescent="0.25">
      <c r="B18" s="232" t="s">
        <v>668</v>
      </c>
      <c r="C18" s="234" t="s">
        <v>669</v>
      </c>
      <c r="D18" s="236"/>
      <c r="E18" s="236"/>
      <c r="F18" s="236"/>
      <c r="G18" s="285">
        <f>SUM(D18:F18)</f>
        <v>0</v>
      </c>
      <c r="H18" s="304"/>
      <c r="I18" s="325"/>
      <c r="J18" s="384"/>
      <c r="K18" s="379"/>
      <c r="L18" s="295"/>
      <c r="M18" s="325"/>
      <c r="N18" s="304"/>
      <c r="O18" s="305"/>
      <c r="P18" s="295"/>
      <c r="Q18" s="305"/>
      <c r="R18" s="304"/>
      <c r="S18" s="305"/>
      <c r="T18" s="304"/>
      <c r="U18" s="305"/>
      <c r="V18" s="384"/>
      <c r="W18" s="379"/>
      <c r="X18" s="384"/>
      <c r="Y18" s="379"/>
      <c r="Z18" s="321"/>
      <c r="AA18" s="321"/>
      <c r="AB18" s="384"/>
      <c r="AC18" s="379"/>
      <c r="AD18" s="321"/>
      <c r="AE18" s="321"/>
      <c r="AF18" s="304"/>
      <c r="AG18" s="305"/>
      <c r="AH18" s="311">
        <f>SUM(G18:AG18)</f>
        <v>0</v>
      </c>
      <c r="AZ18" s="437" t="s">
        <v>19</v>
      </c>
      <c r="BA18" s="438"/>
      <c r="BB18" s="796">
        <v>1500</v>
      </c>
      <c r="BC18" s="442"/>
      <c r="BD18" s="439"/>
      <c r="BS18" s="812"/>
      <c r="BT18" s="812"/>
      <c r="BU18" s="812"/>
      <c r="BV18" s="812"/>
      <c r="BW18" s="812"/>
      <c r="BX18" s="812"/>
      <c r="BY18" s="812"/>
      <c r="BZ18" s="812"/>
      <c r="CA18" s="812"/>
    </row>
    <row r="19" spans="2:79" ht="18.75" customHeight="1" x14ac:dyDescent="0.25">
      <c r="B19" s="232" t="s">
        <v>670</v>
      </c>
      <c r="C19" s="234" t="s">
        <v>667</v>
      </c>
      <c r="D19" s="237"/>
      <c r="E19" s="237"/>
      <c r="F19" s="237"/>
      <c r="G19" s="285">
        <f>SUM(D19:F19)</f>
        <v>0</v>
      </c>
      <c r="H19" s="304"/>
      <c r="I19" s="325"/>
      <c r="J19" s="384"/>
      <c r="K19" s="379"/>
      <c r="L19" s="295"/>
      <c r="M19" s="325"/>
      <c r="N19" s="304"/>
      <c r="O19" s="305"/>
      <c r="P19" s="295"/>
      <c r="Q19" s="305"/>
      <c r="R19" s="304"/>
      <c r="S19" s="305"/>
      <c r="T19" s="304"/>
      <c r="U19" s="305"/>
      <c r="V19" s="384"/>
      <c r="W19" s="379"/>
      <c r="X19" s="384"/>
      <c r="Y19" s="379"/>
      <c r="Z19" s="321"/>
      <c r="AA19" s="321"/>
      <c r="AB19" s="384"/>
      <c r="AC19" s="379"/>
      <c r="AD19" s="321"/>
      <c r="AE19" s="321"/>
      <c r="AF19" s="304"/>
      <c r="AG19" s="305"/>
      <c r="AH19" s="311">
        <f>SUM(G19:AG19)</f>
        <v>0</v>
      </c>
      <c r="AZ19" s="437" t="s">
        <v>748</v>
      </c>
      <c r="BA19" s="442"/>
      <c r="BB19" s="796"/>
      <c r="BC19" s="443"/>
      <c r="BD19" s="439"/>
      <c r="BS19" s="812"/>
      <c r="BT19" s="812"/>
      <c r="BU19" s="812"/>
      <c r="BV19" s="812"/>
      <c r="BW19" s="812"/>
      <c r="BX19" s="812"/>
      <c r="BY19" s="812"/>
      <c r="BZ19" s="812"/>
      <c r="CA19" s="812"/>
    </row>
    <row r="20" spans="2:79" ht="18.75" customHeight="1" x14ac:dyDescent="0.25">
      <c r="B20" s="232"/>
      <c r="C20" s="234"/>
      <c r="D20" s="238">
        <f>SUM(D12:D19)</f>
        <v>0</v>
      </c>
      <c r="E20" s="238">
        <f>SUM(E12:E19)</f>
        <v>0</v>
      </c>
      <c r="F20" s="238">
        <f>SUM(F12:F19)</f>
        <v>0</v>
      </c>
      <c r="G20" s="287">
        <f>SUM(G12:G19)</f>
        <v>0</v>
      </c>
      <c r="H20" s="302"/>
      <c r="I20" s="284"/>
      <c r="J20" s="385"/>
      <c r="K20" s="386"/>
      <c r="L20" s="296"/>
      <c r="M20" s="403"/>
      <c r="N20" s="317"/>
      <c r="O20" s="318"/>
      <c r="P20" s="296"/>
      <c r="Q20" s="318"/>
      <c r="R20" s="317"/>
      <c r="S20" s="318"/>
      <c r="T20" s="317"/>
      <c r="U20" s="318"/>
      <c r="V20" s="385"/>
      <c r="W20" s="386"/>
      <c r="X20" s="385"/>
      <c r="Y20" s="386"/>
      <c r="Z20" s="322"/>
      <c r="AA20" s="322"/>
      <c r="AB20" s="385"/>
      <c r="AC20" s="386"/>
      <c r="AD20" s="322"/>
      <c r="AE20" s="322"/>
      <c r="AF20" s="317"/>
      <c r="AG20" s="318"/>
      <c r="AH20" s="312">
        <f>SUM(AH12:AH19)</f>
        <v>-1875</v>
      </c>
      <c r="AZ20" s="437" t="s">
        <v>1017</v>
      </c>
      <c r="BA20" s="442"/>
      <c r="BB20" s="796"/>
      <c r="BC20" s="892">
        <f>SUM(BB16:BB20)</f>
        <v>1850</v>
      </c>
      <c r="BD20" s="439"/>
    </row>
    <row r="21" spans="2:79" ht="18.75" customHeight="1" thickBot="1" x14ac:dyDescent="0.3">
      <c r="B21" s="229" t="s">
        <v>76</v>
      </c>
      <c r="C21" s="234"/>
      <c r="D21" s="239"/>
      <c r="E21" s="239"/>
      <c r="F21" s="239"/>
      <c r="G21" s="288"/>
      <c r="H21" s="306"/>
      <c r="I21" s="288"/>
      <c r="J21" s="387"/>
      <c r="K21" s="388"/>
      <c r="L21" s="297"/>
      <c r="M21" s="288"/>
      <c r="N21" s="306"/>
      <c r="O21" s="307"/>
      <c r="P21" s="297"/>
      <c r="Q21" s="307"/>
      <c r="R21" s="306"/>
      <c r="S21" s="307"/>
      <c r="T21" s="306"/>
      <c r="U21" s="307"/>
      <c r="V21" s="387"/>
      <c r="W21" s="388"/>
      <c r="X21" s="387"/>
      <c r="Y21" s="388"/>
      <c r="Z21" s="323"/>
      <c r="AA21" s="323"/>
      <c r="AB21" s="387"/>
      <c r="AC21" s="388"/>
      <c r="AD21" s="323"/>
      <c r="AE21" s="323"/>
      <c r="AF21" s="306"/>
      <c r="AG21" s="307"/>
      <c r="AH21" s="297"/>
      <c r="AZ21" s="445" t="s">
        <v>236</v>
      </c>
      <c r="BA21" s="446"/>
      <c r="BB21" s="131"/>
      <c r="BC21" s="893">
        <f>BC15-BC20</f>
        <v>395</v>
      </c>
      <c r="BD21" s="447"/>
      <c r="BS21" s="401" t="s">
        <v>1894</v>
      </c>
    </row>
    <row r="22" spans="2:79" ht="18.75" customHeight="1" thickBot="1" x14ac:dyDescent="0.3">
      <c r="B22" s="232" t="s">
        <v>56</v>
      </c>
      <c r="C22" s="234"/>
      <c r="D22" s="236"/>
      <c r="E22" s="236"/>
      <c r="F22" s="236"/>
      <c r="G22" s="285">
        <f>SUM(D22:F22)</f>
        <v>0</v>
      </c>
      <c r="H22" s="304"/>
      <c r="I22" s="325"/>
      <c r="J22" s="384"/>
      <c r="K22" s="379"/>
      <c r="L22" s="295"/>
      <c r="M22" s="325"/>
      <c r="N22" s="304"/>
      <c r="O22" s="305"/>
      <c r="P22" s="295"/>
      <c r="Q22" s="305"/>
      <c r="R22" s="304">
        <f>SUMIF($AT$54:$AT$58,"DR Inventory",$AU$54:$AU$58)</f>
        <v>0</v>
      </c>
      <c r="S22" s="305">
        <f>-SUMIF($AT$54:$AT$58,"CR inventory",$AV$54:$AV$58)</f>
        <v>0</v>
      </c>
      <c r="T22" s="304">
        <f>SUMIF($AT$61:$AT$65,"DR Inventory",$AU$61:$AU$65)</f>
        <v>0</v>
      </c>
      <c r="U22" s="305">
        <f>-SUMIF($AT$61:$AT$65,"CR inventory",$AV$61:$AV$65)</f>
        <v>0</v>
      </c>
      <c r="V22" s="304">
        <f>SUMIF($AT$69:$AT$76,"DR Inventory",$AU$69:$AU$76)</f>
        <v>0</v>
      </c>
      <c r="W22" s="305">
        <f>-SUMIF($AT$69:$AT$76,"CR inventory",$AV$69:$AV$76)</f>
        <v>0</v>
      </c>
      <c r="X22" s="384"/>
      <c r="Y22" s="379"/>
      <c r="Z22" s="321"/>
      <c r="AA22" s="321"/>
      <c r="AB22" s="384"/>
      <c r="AC22" s="379"/>
      <c r="AD22" s="304">
        <f>SUMIF($AT$109:$AT$116,"DR Inventory",$AU$109:$AU$116)</f>
        <v>0</v>
      </c>
      <c r="AE22" s="305">
        <f>-SUMIF($AT$109:$AT$116,"CR inventory",$AV$109:$AV$116)</f>
        <v>0</v>
      </c>
      <c r="AF22" s="304"/>
      <c r="AG22" s="305"/>
      <c r="AH22" s="311">
        <f>SUM(G22:S22)</f>
        <v>0</v>
      </c>
      <c r="AS22" s="270">
        <v>2</v>
      </c>
      <c r="AT22" s="267" t="s">
        <v>821</v>
      </c>
      <c r="AU22" s="274">
        <f>BC30</f>
        <v>0</v>
      </c>
    </row>
    <row r="23" spans="2:79" ht="18.75" customHeight="1" x14ac:dyDescent="0.25">
      <c r="B23" s="232" t="s">
        <v>671</v>
      </c>
      <c r="C23" s="234"/>
      <c r="D23" s="236"/>
      <c r="E23" s="236"/>
      <c r="F23" s="236"/>
      <c r="G23" s="285">
        <f>SUM(D23:F23)</f>
        <v>0</v>
      </c>
      <c r="H23" s="304"/>
      <c r="I23" s="325"/>
      <c r="J23" s="384"/>
      <c r="K23" s="379"/>
      <c r="L23" s="295"/>
      <c r="M23" s="325"/>
      <c r="N23" s="304"/>
      <c r="O23" s="305"/>
      <c r="P23" s="295"/>
      <c r="Q23" s="305"/>
      <c r="R23" s="304">
        <f>SUMIF($AT$54:$AT$58,"DR Trade receivables",$AU$54:$AU$58)</f>
        <v>0</v>
      </c>
      <c r="S23" s="305">
        <f>-SUMIF($AT$54:$AT$82,"CR Trade receivables",$AV$54:$AV$82)</f>
        <v>0</v>
      </c>
      <c r="T23" s="304"/>
      <c r="U23" s="305"/>
      <c r="V23" s="384"/>
      <c r="W23" s="379"/>
      <c r="X23" s="384"/>
      <c r="Y23" s="379"/>
      <c r="Z23" s="321"/>
      <c r="AA23" s="321"/>
      <c r="AB23" s="384"/>
      <c r="AC23" s="379"/>
      <c r="AD23" s="321"/>
      <c r="AE23" s="321"/>
      <c r="AF23" s="304"/>
      <c r="AG23" s="305"/>
      <c r="AH23" s="311">
        <f>SUM(G23:AG23)</f>
        <v>0</v>
      </c>
      <c r="AT23" s="267" t="str">
        <f>IF(BC31&lt;0,"DR Retained earnings","CR Retained Earnings")</f>
        <v>CR Retained Earnings</v>
      </c>
      <c r="AU23" s="275">
        <f>IF(BC31&lt;0,-BC31,0)</f>
        <v>0</v>
      </c>
      <c r="AV23" s="267">
        <f>IF(BC31&gt;0,BC31,0)</f>
        <v>0</v>
      </c>
      <c r="AZ23" s="448" t="s">
        <v>828</v>
      </c>
      <c r="BA23" s="425"/>
      <c r="BB23" s="425"/>
      <c r="BC23" s="425"/>
      <c r="BD23" s="427"/>
    </row>
    <row r="24" spans="2:79" ht="18.75" customHeight="1" x14ac:dyDescent="0.25">
      <c r="B24" s="232" t="s">
        <v>672</v>
      </c>
      <c r="C24" s="234" t="s">
        <v>667</v>
      </c>
      <c r="D24" s="236"/>
      <c r="E24" s="236"/>
      <c r="F24" s="236"/>
      <c r="G24" s="285">
        <f>SUM(D24:F24)</f>
        <v>0</v>
      </c>
      <c r="H24" s="304"/>
      <c r="I24" s="325"/>
      <c r="J24" s="384"/>
      <c r="K24" s="379"/>
      <c r="L24" s="295"/>
      <c r="M24" s="325"/>
      <c r="N24" s="304"/>
      <c r="O24" s="305"/>
      <c r="P24" s="295"/>
      <c r="Q24" s="305"/>
      <c r="R24" s="304"/>
      <c r="S24" s="305"/>
      <c r="T24" s="304"/>
      <c r="U24" s="305"/>
      <c r="V24" s="384"/>
      <c r="W24" s="379"/>
      <c r="X24" s="384"/>
      <c r="Y24" s="379"/>
      <c r="Z24" s="321"/>
      <c r="AA24" s="321"/>
      <c r="AB24" s="384"/>
      <c r="AC24" s="379"/>
      <c r="AD24" s="321"/>
      <c r="AE24" s="321"/>
      <c r="AF24" s="304"/>
      <c r="AG24" s="305"/>
      <c r="AH24" s="311">
        <f>SUM(G24:AG24)</f>
        <v>0</v>
      </c>
      <c r="AT24" s="267" t="s">
        <v>758</v>
      </c>
      <c r="AV24" s="274">
        <f>BC24</f>
        <v>0</v>
      </c>
      <c r="AZ24" s="444" t="s">
        <v>829</v>
      </c>
      <c r="BA24" s="442"/>
      <c r="BB24" s="442"/>
      <c r="BC24" s="70">
        <f>+BC7</f>
        <v>0</v>
      </c>
      <c r="BD24" s="439"/>
      <c r="BG24" s="682"/>
    </row>
    <row r="25" spans="2:79" ht="18.75" customHeight="1" x14ac:dyDescent="0.25">
      <c r="B25" s="232" t="s">
        <v>92</v>
      </c>
      <c r="C25" s="234"/>
      <c r="D25" s="236"/>
      <c r="E25" s="236"/>
      <c r="F25" s="236"/>
      <c r="G25" s="285">
        <f>SUM(D25:F25)</f>
        <v>0</v>
      </c>
      <c r="H25" s="304"/>
      <c r="I25" s="325"/>
      <c r="J25" s="384"/>
      <c r="K25" s="379"/>
      <c r="L25" s="295"/>
      <c r="M25" s="325"/>
      <c r="N25" s="304"/>
      <c r="O25" s="305"/>
      <c r="P25" s="295"/>
      <c r="Q25" s="305"/>
      <c r="R25" s="304">
        <f>SUMIF($AT$54:$AT$58,"DR Cash and cash equivalents",$AU$54:$AU$58)</f>
        <v>0</v>
      </c>
      <c r="S25" s="305">
        <f>-SUMIF($AT$54:$AT$82,"CR Cash and cash equivalents",$AV$54:$AV$82)</f>
        <v>0</v>
      </c>
      <c r="T25" s="304"/>
      <c r="U25" s="305"/>
      <c r="V25" s="384"/>
      <c r="W25" s="379"/>
      <c r="X25" s="384"/>
      <c r="Y25" s="379"/>
      <c r="Z25" s="321"/>
      <c r="AA25" s="321"/>
      <c r="AB25" s="304">
        <f>SUMIF($AT$100:$AT$104,"DR Cash and cash equivalents",$AU$100:$AU$104)</f>
        <v>1950</v>
      </c>
      <c r="AC25" s="305">
        <f>-SUMIF($AT$100:$AT$104,"CR Cash and cash equivalents",$AU$100:$AU$104)</f>
        <v>0</v>
      </c>
      <c r="AD25" s="321"/>
      <c r="AE25" s="321"/>
      <c r="AF25" s="304"/>
      <c r="AG25" s="305"/>
      <c r="AH25" s="311">
        <f>SUM(G25:AG25)</f>
        <v>1950</v>
      </c>
      <c r="AZ25" s="444" t="s">
        <v>830</v>
      </c>
      <c r="BA25" s="894">
        <v>0</v>
      </c>
      <c r="BB25" s="442"/>
      <c r="BC25" s="442"/>
      <c r="BD25" s="439"/>
      <c r="BJ25" s="683"/>
    </row>
    <row r="26" spans="2:79" ht="18.75" customHeight="1" x14ac:dyDescent="0.25">
      <c r="B26" s="232"/>
      <c r="C26" s="234"/>
      <c r="D26" s="238">
        <f>SUM(D22:D25)</f>
        <v>0</v>
      </c>
      <c r="E26" s="238">
        <f>SUM(E22:E25)</f>
        <v>0</v>
      </c>
      <c r="F26" s="238">
        <f>SUM(F22:F25)</f>
        <v>0</v>
      </c>
      <c r="G26" s="287">
        <f>SUM(G22:G25)</f>
        <v>0</v>
      </c>
      <c r="H26" s="302"/>
      <c r="I26" s="284"/>
      <c r="J26" s="382"/>
      <c r="K26" s="383"/>
      <c r="L26" s="294"/>
      <c r="M26" s="284"/>
      <c r="N26" s="317"/>
      <c r="O26" s="318"/>
      <c r="P26" s="296"/>
      <c r="Q26" s="318"/>
      <c r="R26" s="317"/>
      <c r="S26" s="318"/>
      <c r="T26" s="317"/>
      <c r="U26" s="318"/>
      <c r="V26" s="385"/>
      <c r="W26" s="386"/>
      <c r="X26" s="385"/>
      <c r="Y26" s="386"/>
      <c r="Z26" s="322"/>
      <c r="AA26" s="322"/>
      <c r="AB26" s="385"/>
      <c r="AC26" s="386"/>
      <c r="AD26" s="322"/>
      <c r="AE26" s="322"/>
      <c r="AF26" s="317"/>
      <c r="AG26" s="318"/>
      <c r="AH26" s="312">
        <f>SUM(AH22:AH25)</f>
        <v>1950</v>
      </c>
      <c r="AZ26" s="444" t="s">
        <v>831</v>
      </c>
      <c r="BA26" s="895">
        <v>0</v>
      </c>
      <c r="BB26" s="442"/>
      <c r="BC26" s="442"/>
      <c r="BD26" s="439"/>
      <c r="BG26" s="682"/>
      <c r="BK26" s="421"/>
      <c r="BL26" s="421"/>
      <c r="BM26" s="279"/>
    </row>
    <row r="27" spans="2:79" ht="18.75" customHeight="1" thickBot="1" x14ac:dyDescent="0.3">
      <c r="B27" s="229" t="s">
        <v>673</v>
      </c>
      <c r="C27" s="234"/>
      <c r="D27" s="240">
        <f>SUM(D20,D26)</f>
        <v>0</v>
      </c>
      <c r="E27" s="240">
        <f>SUM(E20,E26)</f>
        <v>0</v>
      </c>
      <c r="F27" s="240">
        <f>SUM(F20,F26)</f>
        <v>0</v>
      </c>
      <c r="G27" s="289">
        <f>SUM(G20,G26)</f>
        <v>0</v>
      </c>
      <c r="H27" s="302"/>
      <c r="I27" s="284"/>
      <c r="J27" s="382"/>
      <c r="K27" s="383"/>
      <c r="L27" s="294"/>
      <c r="M27" s="284"/>
      <c r="N27" s="317"/>
      <c r="O27" s="318"/>
      <c r="P27" s="296"/>
      <c r="Q27" s="318"/>
      <c r="R27" s="317"/>
      <c r="S27" s="318"/>
      <c r="T27" s="317"/>
      <c r="U27" s="318"/>
      <c r="V27" s="385"/>
      <c r="W27" s="386"/>
      <c r="X27" s="385"/>
      <c r="Y27" s="386"/>
      <c r="Z27" s="322"/>
      <c r="AA27" s="322"/>
      <c r="AB27" s="385"/>
      <c r="AC27" s="386"/>
      <c r="AD27" s="322"/>
      <c r="AE27" s="322"/>
      <c r="AF27" s="317"/>
      <c r="AG27" s="318"/>
      <c r="AH27" s="313">
        <f>SUM(AH20,AH26)</f>
        <v>75</v>
      </c>
      <c r="AZ27" s="444" t="s">
        <v>832</v>
      </c>
      <c r="BA27" s="896">
        <f>BA26-BA25</f>
        <v>0</v>
      </c>
      <c r="BB27" s="442"/>
      <c r="BC27" s="442"/>
      <c r="BD27" s="439"/>
      <c r="BG27" s="682"/>
      <c r="BK27" s="421"/>
      <c r="BL27" s="489"/>
    </row>
    <row r="28" spans="2:79" ht="18.75" customHeight="1" x14ac:dyDescent="0.25">
      <c r="B28" s="232"/>
      <c r="C28" s="234"/>
      <c r="D28" s="239"/>
      <c r="E28" s="239"/>
      <c r="F28" s="239"/>
      <c r="G28" s="288"/>
      <c r="H28" s="306"/>
      <c r="I28" s="288"/>
      <c r="J28" s="387"/>
      <c r="K28" s="388"/>
      <c r="L28" s="297"/>
      <c r="M28" s="288"/>
      <c r="N28" s="306"/>
      <c r="O28" s="307"/>
      <c r="P28" s="297"/>
      <c r="Q28" s="307"/>
      <c r="R28" s="306"/>
      <c r="S28" s="307"/>
      <c r="T28" s="306"/>
      <c r="U28" s="307"/>
      <c r="V28" s="387"/>
      <c r="W28" s="388"/>
      <c r="X28" s="387"/>
      <c r="Y28" s="388"/>
      <c r="Z28" s="323"/>
      <c r="AA28" s="323"/>
      <c r="AB28" s="387"/>
      <c r="AC28" s="388"/>
      <c r="AD28" s="323"/>
      <c r="AE28" s="323"/>
      <c r="AF28" s="306"/>
      <c r="AG28" s="307"/>
      <c r="AH28" s="297"/>
      <c r="AZ28" s="444" t="s">
        <v>515</v>
      </c>
      <c r="BA28" s="450">
        <v>0</v>
      </c>
      <c r="BB28" s="442"/>
      <c r="BC28" s="442"/>
      <c r="BD28" s="439"/>
    </row>
    <row r="29" spans="2:79" ht="18.75" customHeight="1" x14ac:dyDescent="0.25">
      <c r="B29" s="229" t="s">
        <v>674</v>
      </c>
      <c r="C29" s="234"/>
      <c r="D29" s="235"/>
      <c r="E29" s="235"/>
      <c r="F29" s="235"/>
      <c r="G29" s="284"/>
      <c r="H29" s="302"/>
      <c r="I29" s="284"/>
      <c r="J29" s="382"/>
      <c r="K29" s="383"/>
      <c r="L29" s="294"/>
      <c r="M29" s="284"/>
      <c r="N29" s="302"/>
      <c r="O29" s="303"/>
      <c r="P29" s="294"/>
      <c r="Q29" s="303"/>
      <c r="R29" s="302"/>
      <c r="S29" s="303"/>
      <c r="T29" s="302"/>
      <c r="U29" s="303"/>
      <c r="V29" s="382"/>
      <c r="W29" s="383"/>
      <c r="X29" s="382"/>
      <c r="Y29" s="383"/>
      <c r="Z29" s="320"/>
      <c r="AA29" s="320"/>
      <c r="AB29" s="382"/>
      <c r="AC29" s="383"/>
      <c r="AD29" s="320"/>
      <c r="AE29" s="320"/>
      <c r="AF29" s="302"/>
      <c r="AG29" s="303"/>
      <c r="AH29" s="294"/>
      <c r="AZ29" s="444" t="s">
        <v>863</v>
      </c>
      <c r="BA29" s="450">
        <f>+BB16</f>
        <v>100</v>
      </c>
      <c r="BB29" s="451">
        <f>BA28+BA29</f>
        <v>100</v>
      </c>
      <c r="BC29" s="442"/>
      <c r="BD29" s="439"/>
    </row>
    <row r="30" spans="2:79" ht="18.75" customHeight="1" x14ac:dyDescent="0.25">
      <c r="B30" s="229" t="s">
        <v>675</v>
      </c>
      <c r="C30" s="234"/>
      <c r="D30" s="235"/>
      <c r="E30" s="235"/>
      <c r="F30" s="235"/>
      <c r="G30" s="284"/>
      <c r="H30" s="302"/>
      <c r="I30" s="284"/>
      <c r="J30" s="382"/>
      <c r="K30" s="383"/>
      <c r="L30" s="294"/>
      <c r="M30" s="284"/>
      <c r="N30" s="302"/>
      <c r="O30" s="303"/>
      <c r="P30" s="294"/>
      <c r="Q30" s="303"/>
      <c r="R30" s="302"/>
      <c r="S30" s="303"/>
      <c r="T30" s="302"/>
      <c r="U30" s="303"/>
      <c r="V30" s="382"/>
      <c r="W30" s="383"/>
      <c r="X30" s="382"/>
      <c r="Y30" s="383"/>
      <c r="Z30" s="320"/>
      <c r="AA30" s="320"/>
      <c r="AB30" s="382"/>
      <c r="AC30" s="383"/>
      <c r="AD30" s="320"/>
      <c r="AE30" s="320"/>
      <c r="AF30" s="302"/>
      <c r="AG30" s="303"/>
      <c r="AH30" s="294"/>
      <c r="AZ30" s="444" t="s">
        <v>833</v>
      </c>
      <c r="BA30" s="415"/>
      <c r="BB30" s="415"/>
      <c r="BC30" s="414">
        <f>BB29*BA27</f>
        <v>0</v>
      </c>
      <c r="BD30" s="439"/>
    </row>
    <row r="31" spans="2:79" ht="18.75" customHeight="1" thickBot="1" x14ac:dyDescent="0.3">
      <c r="B31" s="232" t="s">
        <v>676</v>
      </c>
      <c r="C31" s="234"/>
      <c r="D31" s="236"/>
      <c r="E31" s="236"/>
      <c r="F31" s="236"/>
      <c r="G31" s="285">
        <f>SUM(D31:F31)</f>
        <v>0</v>
      </c>
      <c r="H31" s="304">
        <f>SUMIF($AT10:$AT16,"DR Share Capital",$AU10:$AU16)</f>
        <v>100</v>
      </c>
      <c r="I31" s="325">
        <f>-SUMIF($AT10:$AT16,"CR Share Capital",$AV10:$AV16)</f>
        <v>0</v>
      </c>
      <c r="J31" s="384"/>
      <c r="K31" s="379"/>
      <c r="L31" s="295">
        <f>SUMIF($AT33:$AT35,"DR Share Capital",$AU33:$AU35)</f>
        <v>0</v>
      </c>
      <c r="M31" s="325">
        <f>-SUMIF($AT33:$AT35,"CR Share Capital",$AV33:$AV35)</f>
        <v>0</v>
      </c>
      <c r="N31" s="304"/>
      <c r="O31" s="305"/>
      <c r="P31" s="295"/>
      <c r="Q31" s="305"/>
      <c r="R31" s="304"/>
      <c r="S31" s="305"/>
      <c r="T31" s="304"/>
      <c r="U31" s="305"/>
      <c r="V31" s="384"/>
      <c r="W31" s="379"/>
      <c r="X31" s="384"/>
      <c r="Y31" s="379"/>
      <c r="Z31" s="321"/>
      <c r="AA31" s="321"/>
      <c r="AB31" s="384"/>
      <c r="AC31" s="379"/>
      <c r="AD31" s="321"/>
      <c r="AE31" s="321"/>
      <c r="AF31" s="304"/>
      <c r="AG31" s="305"/>
      <c r="AH31" s="311">
        <f>G31-SUM(H31:AG31)</f>
        <v>-100</v>
      </c>
      <c r="AZ31" s="452" t="s">
        <v>834</v>
      </c>
      <c r="BA31" s="442"/>
      <c r="BB31" s="443"/>
      <c r="BC31" s="281">
        <f>BC30-BC24</f>
        <v>0</v>
      </c>
      <c r="BD31" s="439"/>
    </row>
    <row r="32" spans="2:79" ht="18.75" customHeight="1" thickTop="1" thickBot="1" x14ac:dyDescent="0.3">
      <c r="B32" s="232" t="s">
        <v>677</v>
      </c>
      <c r="C32" s="234"/>
      <c r="D32" s="236"/>
      <c r="E32" s="236"/>
      <c r="F32" s="236"/>
      <c r="G32" s="285">
        <f>SUM(D32:F32)</f>
        <v>0</v>
      </c>
      <c r="H32" s="304"/>
      <c r="I32" s="325"/>
      <c r="J32" s="384"/>
      <c r="K32" s="379"/>
      <c r="L32" s="295"/>
      <c r="M32" s="325"/>
      <c r="N32" s="304"/>
      <c r="O32" s="305"/>
      <c r="P32" s="295"/>
      <c r="Q32" s="305"/>
      <c r="R32" s="304"/>
      <c r="S32" s="305"/>
      <c r="T32" s="304"/>
      <c r="U32" s="305"/>
      <c r="V32" s="384"/>
      <c r="W32" s="379"/>
      <c r="X32" s="384"/>
      <c r="Y32" s="379"/>
      <c r="Z32" s="321"/>
      <c r="AA32" s="321"/>
      <c r="AB32" s="384"/>
      <c r="AC32" s="379"/>
      <c r="AD32" s="321"/>
      <c r="AE32" s="321"/>
      <c r="AF32" s="304"/>
      <c r="AG32" s="305"/>
      <c r="AH32" s="311">
        <f>G32-SUM(H32:AG32)</f>
        <v>0</v>
      </c>
      <c r="AZ32" s="453"/>
      <c r="BA32" s="454"/>
      <c r="BB32" s="454"/>
      <c r="BC32" s="454"/>
      <c r="BD32" s="447"/>
    </row>
    <row r="33" spans="2:67" ht="18.75" customHeight="1" thickBot="1" x14ac:dyDescent="0.3">
      <c r="B33" s="232" t="s">
        <v>678</v>
      </c>
      <c r="C33" s="234"/>
      <c r="D33" s="236"/>
      <c r="E33" s="236"/>
      <c r="F33" s="236"/>
      <c r="G33" s="285">
        <f>SUM(D33:F33)</f>
        <v>0</v>
      </c>
      <c r="H33" s="304">
        <f>SUMIF($AT8:$AT14,"DR Share Premium",$AU8:$AU14)</f>
        <v>250</v>
      </c>
      <c r="I33" s="325">
        <f>-SUMIF($AT8:$AT14,"CR Share Premium",AV8:AV14)</f>
        <v>0</v>
      </c>
      <c r="J33" s="384"/>
      <c r="K33" s="379"/>
      <c r="L33" s="295"/>
      <c r="M33" s="325"/>
      <c r="N33" s="304"/>
      <c r="O33" s="305"/>
      <c r="P33" s="295"/>
      <c r="Q33" s="305"/>
      <c r="R33" s="304"/>
      <c r="S33" s="305"/>
      <c r="T33" s="304"/>
      <c r="U33" s="305"/>
      <c r="V33" s="384"/>
      <c r="W33" s="379"/>
      <c r="X33" s="384"/>
      <c r="Y33" s="379"/>
      <c r="Z33" s="321"/>
      <c r="AA33" s="321"/>
      <c r="AB33" s="384"/>
      <c r="AC33" s="379"/>
      <c r="AD33" s="321"/>
      <c r="AE33" s="321"/>
      <c r="AF33" s="304"/>
      <c r="AG33" s="305"/>
      <c r="AH33" s="311">
        <f>G33-SUM(H33:AG33)</f>
        <v>-250</v>
      </c>
      <c r="AS33" s="276">
        <v>3</v>
      </c>
      <c r="AT33" s="267" t="s">
        <v>699</v>
      </c>
      <c r="AU33" s="374">
        <f>BC36</f>
        <v>296.25</v>
      </c>
      <c r="AZ33" s="401" t="s">
        <v>1580</v>
      </c>
      <c r="BJ33" s="279"/>
    </row>
    <row r="34" spans="2:67" ht="18.75" customHeight="1" x14ac:dyDescent="0.25">
      <c r="B34" s="232" t="s">
        <v>679</v>
      </c>
      <c r="C34" s="234"/>
      <c r="D34" s="236"/>
      <c r="E34" s="236"/>
      <c r="F34" s="236"/>
      <c r="G34" s="285">
        <f>SUM(D34:F34)</f>
        <v>0</v>
      </c>
      <c r="H34" s="304">
        <f>SUMIF($AT9:$AT15,"DR Reserves",$AU9:$AU15)+SUMIF($AT9:$AT15,"DR Revaluation surplus",$AU9:$AU15)</f>
        <v>0</v>
      </c>
      <c r="I34" s="325">
        <f>-SUMIF($AT9:$AT15,"CR Reserves",AV9:AV15)-SUMIF($AT9:$AT15,"CR Revaluation surplus",AV9:AV15)</f>
        <v>0</v>
      </c>
      <c r="J34" s="384"/>
      <c r="K34" s="379"/>
      <c r="L34" s="295"/>
      <c r="M34" s="325"/>
      <c r="N34" s="304"/>
      <c r="O34" s="305"/>
      <c r="P34" s="295"/>
      <c r="Q34" s="305"/>
      <c r="R34" s="304"/>
      <c r="S34" s="305"/>
      <c r="T34" s="304"/>
      <c r="U34" s="305"/>
      <c r="V34" s="384"/>
      <c r="W34" s="379"/>
      <c r="X34" s="384"/>
      <c r="Y34" s="379"/>
      <c r="Z34" s="321"/>
      <c r="AA34" s="321"/>
      <c r="AB34" s="384"/>
      <c r="AC34" s="379"/>
      <c r="AD34" s="321"/>
      <c r="AE34" s="321"/>
      <c r="AF34" s="304"/>
      <c r="AG34" s="305"/>
      <c r="AH34" s="311">
        <f>G34-SUM(H34:AG34)</f>
        <v>0</v>
      </c>
      <c r="AT34" s="267" t="s">
        <v>703</v>
      </c>
      <c r="AU34" s="267">
        <f>BC35</f>
        <v>0</v>
      </c>
      <c r="AZ34" s="448" t="s">
        <v>234</v>
      </c>
      <c r="BA34" s="425"/>
      <c r="BB34" s="455"/>
      <c r="BC34" s="455"/>
      <c r="BD34" s="427"/>
      <c r="BJ34" s="490"/>
    </row>
    <row r="35" spans="2:67" ht="18.75" customHeight="1" x14ac:dyDescent="0.25">
      <c r="B35" s="232" t="s">
        <v>515</v>
      </c>
      <c r="C35" s="234"/>
      <c r="D35" s="236"/>
      <c r="E35" s="236"/>
      <c r="F35" s="236"/>
      <c r="G35" s="285">
        <f>SUM(D35:F35)</f>
        <v>0</v>
      </c>
      <c r="H35" s="304">
        <f>SUMIF($AT10:$AT16,"DR Retained Earnings",$AU10:$AU16)</f>
        <v>1500</v>
      </c>
      <c r="I35" s="325">
        <f>-SUMIF($AT10:$AT16,"CR Retained Earnings",AV10:AV16)</f>
        <v>0</v>
      </c>
      <c r="J35" s="304">
        <f>SUMIF($AT22:$AT24,"DR Retained Earnings",$AU22:$AU24)</f>
        <v>0</v>
      </c>
      <c r="K35" s="304">
        <f>SUMIF($AT22:$AT24,"CR Retained Earnings",$AU22:$AU24)</f>
        <v>0</v>
      </c>
      <c r="L35" s="295">
        <f>SUMIF($AT33:$AT35,"DR Retained Earnings",$AU33:$AU35)</f>
        <v>296.25</v>
      </c>
      <c r="M35" s="325">
        <f>-SUMIF($AT33:$AT35,"CR Retained Earnings",AX33:AX35)</f>
        <v>0</v>
      </c>
      <c r="N35" s="304">
        <f>SUMIF($AT$38:$AT$42,"DR Retained Earnings",$AU$38:$AU$42)</f>
        <v>0</v>
      </c>
      <c r="O35" s="305">
        <f>-SUMIF($AT$38:$AT$42,"CR Retained Earnings",$AV$38:$AV$42)</f>
        <v>-12.200000000000001</v>
      </c>
      <c r="P35" s="295"/>
      <c r="Q35" s="305"/>
      <c r="R35" s="304">
        <f>SUMIF($AT$54:$AT$58,"DR Retained Earnings",$AU$54:$AU$58)</f>
        <v>0</v>
      </c>
      <c r="S35" s="305">
        <f>SUMIF($AT$54:$AT$58,"CR Retained Earnings",$AV$54:$AV$58)</f>
        <v>0</v>
      </c>
      <c r="T35" s="304">
        <f>SUMIF($AT$61:$AT$65,"DR Retained Earnings",$AU$61:$AU$65)</f>
        <v>0</v>
      </c>
      <c r="U35" s="304">
        <f>-SUMIF($AT$61:$AT$65,"CR Retained Earnings",$AV$61:$AV$65)</f>
        <v>0</v>
      </c>
      <c r="V35" s="384"/>
      <c r="W35" s="379"/>
      <c r="X35" s="384"/>
      <c r="Y35" s="379"/>
      <c r="Z35" s="321"/>
      <c r="AA35" s="321"/>
      <c r="AB35" s="384"/>
      <c r="AC35" s="379"/>
      <c r="AD35" s="321"/>
      <c r="AE35" s="321"/>
      <c r="AF35" s="304">
        <f>SUMIF($AT$123:$AT$124,"DR Retained Earnings",$AU$123:$AU$124)</f>
        <v>3.9500000000001023</v>
      </c>
      <c r="AG35" s="305">
        <f>-SUMIF($AT$123:$AT$124,"CR Retained Earnings",$AV$123:$AV$124)</f>
        <v>0</v>
      </c>
      <c r="AH35" s="311">
        <f>G35-SUM(H35:AG35)</f>
        <v>-1788</v>
      </c>
      <c r="AT35" s="267" t="s">
        <v>704</v>
      </c>
      <c r="AV35" s="374">
        <f>BC35+BC36</f>
        <v>296.25</v>
      </c>
      <c r="AZ35" s="465" t="s">
        <v>701</v>
      </c>
      <c r="BA35" s="442"/>
      <c r="BB35" s="443"/>
      <c r="BC35" s="897"/>
      <c r="BD35" s="439"/>
    </row>
    <row r="36" spans="2:67" ht="18.75" customHeight="1" thickBot="1" x14ac:dyDescent="0.3">
      <c r="B36" s="232"/>
      <c r="C36" s="234"/>
      <c r="D36" s="235"/>
      <c r="E36" s="235"/>
      <c r="F36" s="235"/>
      <c r="G36" s="284"/>
      <c r="H36" s="302"/>
      <c r="I36" s="284"/>
      <c r="J36" s="382"/>
      <c r="K36" s="383"/>
      <c r="L36" s="294"/>
      <c r="M36" s="284"/>
      <c r="N36" s="302"/>
      <c r="O36" s="303"/>
      <c r="P36" s="294"/>
      <c r="Q36" s="303"/>
      <c r="R36" s="302"/>
      <c r="S36" s="303"/>
      <c r="T36" s="302"/>
      <c r="U36" s="303"/>
      <c r="V36" s="382"/>
      <c r="W36" s="383"/>
      <c r="X36" s="382"/>
      <c r="Y36" s="383"/>
      <c r="Z36" s="320"/>
      <c r="AA36" s="320"/>
      <c r="AB36" s="382"/>
      <c r="AC36" s="383"/>
      <c r="AD36" s="320"/>
      <c r="AE36" s="320"/>
      <c r="AF36" s="302"/>
      <c r="AG36" s="303"/>
      <c r="AH36" s="294"/>
      <c r="AZ36" s="637" t="s">
        <v>702</v>
      </c>
      <c r="BA36" s="454"/>
      <c r="BB36" s="456"/>
      <c r="BC36" s="890">
        <f>0.75*BC21</f>
        <v>296.25</v>
      </c>
      <c r="BD36" s="447"/>
    </row>
    <row r="37" spans="2:67" ht="18.75" customHeight="1" thickBot="1" x14ac:dyDescent="0.3">
      <c r="B37" s="232"/>
      <c r="C37" s="234"/>
      <c r="D37" s="235"/>
      <c r="E37" s="235"/>
      <c r="F37" s="235"/>
      <c r="G37" s="284"/>
      <c r="H37" s="302"/>
      <c r="I37" s="284"/>
      <c r="J37" s="382"/>
      <c r="K37" s="383"/>
      <c r="L37" s="294"/>
      <c r="M37" s="284"/>
      <c r="N37" s="302"/>
      <c r="O37" s="303"/>
      <c r="P37" s="294"/>
      <c r="Q37" s="303"/>
      <c r="R37" s="302"/>
      <c r="S37" s="303"/>
      <c r="T37" s="302"/>
      <c r="U37" s="303"/>
      <c r="V37" s="382"/>
      <c r="W37" s="383"/>
      <c r="X37" s="382"/>
      <c r="Y37" s="383"/>
      <c r="Z37" s="320"/>
      <c r="AA37" s="320"/>
      <c r="AB37" s="382"/>
      <c r="AC37" s="383"/>
      <c r="AD37" s="320"/>
      <c r="AE37" s="320"/>
      <c r="AF37" s="302"/>
      <c r="AG37" s="303"/>
      <c r="AH37" s="294"/>
      <c r="BB37" s="275"/>
      <c r="BC37" s="275"/>
    </row>
    <row r="38" spans="2:67" ht="18.75" customHeight="1" thickBot="1" x14ac:dyDescent="0.3">
      <c r="B38" s="232" t="s">
        <v>680</v>
      </c>
      <c r="C38" s="234" t="s">
        <v>681</v>
      </c>
      <c r="D38" s="236"/>
      <c r="E38" s="236"/>
      <c r="F38" s="236"/>
      <c r="G38" s="285">
        <f>SUM(D38:F38)</f>
        <v>0</v>
      </c>
      <c r="H38" s="304"/>
      <c r="I38" s="325"/>
      <c r="J38" s="384"/>
      <c r="K38" s="379"/>
      <c r="L38" s="295"/>
      <c r="M38" s="325"/>
      <c r="N38" s="304"/>
      <c r="O38" s="305"/>
      <c r="P38" s="295"/>
      <c r="Q38" s="305"/>
      <c r="R38" s="304"/>
      <c r="S38" s="305"/>
      <c r="T38" s="304"/>
      <c r="U38" s="305"/>
      <c r="V38" s="384"/>
      <c r="W38" s="379"/>
      <c r="X38" s="384"/>
      <c r="Y38" s="379"/>
      <c r="Z38" s="321"/>
      <c r="AA38" s="321"/>
      <c r="AB38" s="384"/>
      <c r="AC38" s="379"/>
      <c r="AD38" s="321"/>
      <c r="AE38" s="321"/>
      <c r="AF38" s="304"/>
      <c r="AG38" s="305"/>
      <c r="AH38" s="311">
        <f>G38-SUM(H38:AG38)</f>
        <v>0</v>
      </c>
      <c r="AS38" s="276">
        <v>4</v>
      </c>
      <c r="AT38" s="267" t="str">
        <f>IF(BC44&gt;0,"DR Retained earnings","CR Retained Earnings")</f>
        <v>CR Retained Earnings</v>
      </c>
      <c r="AU38" s="267" t="str">
        <f>IF($BC$44&gt;0,$BC$44," ")</f>
        <v xml:space="preserve"> </v>
      </c>
      <c r="AV38" s="374">
        <f>IF($BC$44&lt;0,-$BC$44," ")</f>
        <v>12.200000000000001</v>
      </c>
      <c r="AZ38" s="636" t="s">
        <v>711</v>
      </c>
      <c r="BA38" s="425"/>
      <c r="BB38" s="455"/>
      <c r="BC38" s="455"/>
      <c r="BD38" s="427"/>
    </row>
    <row r="39" spans="2:67" ht="18.75" customHeight="1" x14ac:dyDescent="0.25">
      <c r="B39" s="232"/>
      <c r="C39" s="234"/>
      <c r="D39" s="241">
        <f>SUM(D31:D38)</f>
        <v>0</v>
      </c>
      <c r="E39" s="241">
        <f>SUM(E31:E38)</f>
        <v>0</v>
      </c>
      <c r="F39" s="241">
        <f>SUM(F31:F38)</f>
        <v>0</v>
      </c>
      <c r="G39" s="290">
        <f>SUM(G31:G38)</f>
        <v>0</v>
      </c>
      <c r="H39" s="302"/>
      <c r="I39" s="284"/>
      <c r="J39" s="387"/>
      <c r="K39" s="388"/>
      <c r="L39" s="297"/>
      <c r="M39" s="288"/>
      <c r="N39" s="306"/>
      <c r="O39" s="307"/>
      <c r="P39" s="297"/>
      <c r="Q39" s="307"/>
      <c r="R39" s="306"/>
      <c r="S39" s="307"/>
      <c r="T39" s="306"/>
      <c r="U39" s="307"/>
      <c r="V39" s="387"/>
      <c r="W39" s="388"/>
      <c r="X39" s="387"/>
      <c r="Y39" s="388"/>
      <c r="Z39" s="323"/>
      <c r="AA39" s="323"/>
      <c r="AB39" s="387"/>
      <c r="AC39" s="388"/>
      <c r="AD39" s="323"/>
      <c r="AE39" s="323"/>
      <c r="AF39" s="306"/>
      <c r="AG39" s="307"/>
      <c r="AH39" s="314">
        <f>SUM(AH31:AH38)</f>
        <v>-2138</v>
      </c>
      <c r="AT39" s="267" t="str">
        <f>IF(BC44&gt;0,"CR SFP - Non-controlling interests","DR SFP - Non-controlling interests")</f>
        <v>DR SFP - Non-controlling interests</v>
      </c>
      <c r="AU39" s="374">
        <f>IF($BC$44&lt;0,-$BC$44," ")</f>
        <v>12.200000000000001</v>
      </c>
      <c r="AV39" s="267" t="str">
        <f>IF($BC$44&gt;0,$BC$44," ")</f>
        <v xml:space="preserve"> </v>
      </c>
      <c r="AZ39" s="465" t="str">
        <f>"Retained earnings "&amp;B8</f>
        <v>Retained earnings as at 31 October 2022</v>
      </c>
      <c r="BA39" s="442"/>
      <c r="BB39" s="443"/>
      <c r="BC39" s="450">
        <f>2213-BB16-BB17</f>
        <v>1863</v>
      </c>
      <c r="BD39" s="439"/>
      <c r="BE39" s="279" t="s">
        <v>2005</v>
      </c>
      <c r="BO39" s="401" t="s">
        <v>766</v>
      </c>
    </row>
    <row r="40" spans="2:67" ht="18.75" customHeight="1" x14ac:dyDescent="0.25">
      <c r="B40" s="229" t="s">
        <v>682</v>
      </c>
      <c r="C40" s="234" t="s">
        <v>683</v>
      </c>
      <c r="D40" s="242"/>
      <c r="E40" s="242"/>
      <c r="F40" s="242"/>
      <c r="G40" s="291">
        <f>SUM(D40:F40)</f>
        <v>0</v>
      </c>
      <c r="H40" s="304">
        <f>SUMIF($AT10:$AT17,"DR SFP - non-controlling interests",$AU10:$AU17)</f>
        <v>0</v>
      </c>
      <c r="I40" s="304">
        <f>-SUMIF($AT10:$AT16,"CR SFP - non-controlling interests",$AV10:$AV16)</f>
        <v>-370</v>
      </c>
      <c r="J40" s="304">
        <f>SUMIF($AT22:$AT24,"DR SFP - non-controlling interestS",$AU$22:$AU$24)</f>
        <v>0</v>
      </c>
      <c r="K40" s="304">
        <f>-SUMIF($AT22:$AT24,"CR SFP - non-controlling interestS",$AU$22:$AU$24)</f>
        <v>0</v>
      </c>
      <c r="L40" s="298"/>
      <c r="M40" s="331"/>
      <c r="N40" s="389">
        <f>-SUMIF($AT$38:$AT$42,"DR SFP - Non-controlling interests",$AU$38:$AU$42)</f>
        <v>-12.200000000000001</v>
      </c>
      <c r="O40" s="305">
        <f>-SUMIF($AT$38:$AT$42,"CR SFP - Non-controlling interests",$AV$38:$AV$42)</f>
        <v>-16</v>
      </c>
      <c r="P40" s="379">
        <f>-SUMIF($AT$48:$AT$49,"DR SFP - Non-controlling interests",$AU$48:$AU$49)</f>
        <v>0</v>
      </c>
      <c r="Q40" s="305">
        <f>-SUMIF($AT$48:$AT$49,"CR SFP - Non-controlling interests",$AV$48:$AV$49)</f>
        <v>-84.800000000000011</v>
      </c>
      <c r="R40" s="304">
        <f>SUMIF($AT$54:$AT$58,"DR SFP - Non-controlling interests",$AU$54:$AU$58)</f>
        <v>0</v>
      </c>
      <c r="S40" s="305">
        <f>-SUMIF($AT$54:$AT$58,"CR SFP - Non-controlling interests",$AV$54:$AV$58)</f>
        <v>0</v>
      </c>
      <c r="T40" s="304">
        <f>SUMIF($AT$61:$AT$65,"DR SFP - Non-controlling interests",$AU$61:$AU$65)</f>
        <v>0</v>
      </c>
      <c r="U40" s="305">
        <f>-SUMIF($AT$61:$AT$65,"CR SFP - Non-controlling interests",$AV$61:$AV$65)</f>
        <v>0</v>
      </c>
      <c r="V40" s="304">
        <f>SUMIF($AT$69:$AT$76,"DR SFP - Non-controlling interests",$AU$69:$AU$76)</f>
        <v>0</v>
      </c>
      <c r="W40" s="305">
        <f>-SUMIF($AT$69:$AT$76,"CR SFP - Non-controlling interests",$AV$69:$AV$76)</f>
        <v>0</v>
      </c>
      <c r="X40" s="304"/>
      <c r="Y40" s="305"/>
      <c r="Z40" s="321">
        <f>SUMIF($AT$86:$AT$97,"DR SFP - Non-controlling interests",AU$86:AU$97)</f>
        <v>0</v>
      </c>
      <c r="AA40" s="321">
        <f>-SUMIF($AT$86:$AT$97,"CR SFP - Non-controlling interests",AV$86:AV$97)</f>
        <v>0</v>
      </c>
      <c r="AB40" s="321">
        <f>SUMIF($AT$100:$AT$104,"DR SFP - Non-controlling interests",AU$100:AU$104)</f>
        <v>442.6</v>
      </c>
      <c r="AC40" s="321">
        <f>-SUMIF($AT$100:$AT$104,"CR SFP - Non-controlling interests",AV$100:AV$104)</f>
        <v>0</v>
      </c>
      <c r="AD40" s="304">
        <f>SUMIF($AT$109:$AT$121,"DR NCI (SFP)",$AU$109:$AU$121)</f>
        <v>0</v>
      </c>
      <c r="AE40" s="305">
        <f>-SUMIF($AT$109:$AT$116,"CR NCI (SFP)",$AV$109:$AV$116)</f>
        <v>0</v>
      </c>
      <c r="AF40" s="304">
        <f>-SUMIF($AT$123:$AT$124,"DR SFP - Non-controlling interests",$AU$123:$AU$124)</f>
        <v>0</v>
      </c>
      <c r="AG40" s="305">
        <f>-SUMIF($AT$123:$AT$124,"CR SFP - Non-controlling interests",$AV$123:$AV$124)</f>
        <v>0</v>
      </c>
      <c r="AH40" s="311">
        <f>G40-SUM(H40:AG40)</f>
        <v>40.399999999999977</v>
      </c>
      <c r="AZ40" s="465" t="s">
        <v>751</v>
      </c>
      <c r="BA40" s="442"/>
      <c r="BB40" s="442"/>
      <c r="BC40" s="450">
        <v>424</v>
      </c>
      <c r="BD40" s="635"/>
      <c r="BO40" s="401" t="s">
        <v>770</v>
      </c>
    </row>
    <row r="41" spans="2:67" ht="18.75" customHeight="1" x14ac:dyDescent="0.25">
      <c r="B41" s="229"/>
      <c r="C41" s="234"/>
      <c r="D41" s="235"/>
      <c r="E41" s="235"/>
      <c r="F41" s="235"/>
      <c r="G41" s="284"/>
      <c r="H41" s="302"/>
      <c r="I41" s="284"/>
      <c r="J41" s="382"/>
      <c r="K41" s="383"/>
      <c r="L41" s="294"/>
      <c r="M41" s="284"/>
      <c r="N41" s="302"/>
      <c r="O41" s="303"/>
      <c r="P41" s="294"/>
      <c r="Q41" s="303"/>
      <c r="R41" s="302"/>
      <c r="S41" s="303"/>
      <c r="T41" s="302"/>
      <c r="U41" s="303"/>
      <c r="V41" s="382"/>
      <c r="W41" s="383"/>
      <c r="X41" s="382"/>
      <c r="Y41" s="383"/>
      <c r="Z41" s="320"/>
      <c r="AA41" s="320"/>
      <c r="AB41" s="382"/>
      <c r="AC41" s="383"/>
      <c r="AD41" s="320"/>
      <c r="AE41" s="320"/>
      <c r="AF41" s="302"/>
      <c r="AG41" s="303"/>
      <c r="AH41" s="294"/>
      <c r="AT41" s="267" t="str">
        <f>IF(AU41&lt;&gt;0,"DR Revaluation surplus","CR Revaluation Surplus")</f>
        <v>DR Revaluation surplus</v>
      </c>
      <c r="AU41" s="267">
        <f>IF($BC$47&gt;0,$BC$47,0)</f>
        <v>16</v>
      </c>
      <c r="AV41" s="267">
        <f>IF($BC$47&lt;0,-$BC$47,0)</f>
        <v>0</v>
      </c>
      <c r="AZ41" s="465" t="s">
        <v>818</v>
      </c>
      <c r="BA41" s="442"/>
      <c r="BB41" s="442"/>
      <c r="BC41" s="450"/>
      <c r="BD41" s="635"/>
      <c r="BO41" s="401" t="s">
        <v>824</v>
      </c>
    </row>
    <row r="42" spans="2:67" ht="18.75" customHeight="1" x14ac:dyDescent="0.25">
      <c r="B42" s="229"/>
      <c r="C42" s="234"/>
      <c r="D42" s="235"/>
      <c r="E42" s="235"/>
      <c r="F42" s="235"/>
      <c r="G42" s="284"/>
      <c r="H42" s="302"/>
      <c r="I42" s="284"/>
      <c r="J42" s="382"/>
      <c r="K42" s="383"/>
      <c r="L42" s="294"/>
      <c r="M42" s="284"/>
      <c r="N42" s="302"/>
      <c r="O42" s="303"/>
      <c r="P42" s="294"/>
      <c r="Q42" s="303"/>
      <c r="R42" s="302"/>
      <c r="S42" s="303"/>
      <c r="T42" s="302"/>
      <c r="U42" s="303"/>
      <c r="V42" s="382"/>
      <c r="W42" s="383"/>
      <c r="X42" s="382"/>
      <c r="Y42" s="383"/>
      <c r="Z42" s="320"/>
      <c r="AA42" s="320"/>
      <c r="AB42" s="382"/>
      <c r="AC42" s="383"/>
      <c r="AD42" s="320"/>
      <c r="AE42" s="320"/>
      <c r="AF42" s="302"/>
      <c r="AG42" s="303"/>
      <c r="AH42" s="294"/>
      <c r="AT42" s="267" t="str">
        <f>IF(AV42&lt;&gt;0,"CR SFP - Non-controlling interests","DR SFP - Non-controlling interests")</f>
        <v>CR SFP - Non-controlling interests</v>
      </c>
      <c r="AU42" s="267">
        <f>IF($BC$47&lt;0,-$BC$47,0)</f>
        <v>0</v>
      </c>
      <c r="AV42" s="267">
        <f>IF($BC$47&gt;0,$BC$47,0)</f>
        <v>16</v>
      </c>
      <c r="AZ42" s="465" t="s">
        <v>706</v>
      </c>
      <c r="BA42" s="442"/>
      <c r="BB42" s="443"/>
      <c r="BC42" s="458">
        <f>BB18</f>
        <v>1500</v>
      </c>
      <c r="BD42" s="439"/>
    </row>
    <row r="43" spans="2:67" ht="18.75" customHeight="1" x14ac:dyDescent="0.25">
      <c r="B43" s="229" t="s">
        <v>684</v>
      </c>
      <c r="C43" s="234"/>
      <c r="D43" s="238">
        <f>D39+D40</f>
        <v>0</v>
      </c>
      <c r="E43" s="238">
        <f>E39+E40</f>
        <v>0</v>
      </c>
      <c r="F43" s="238">
        <f>F39+F40</f>
        <v>0</v>
      </c>
      <c r="G43" s="287">
        <f>G39+G40</f>
        <v>0</v>
      </c>
      <c r="H43" s="302"/>
      <c r="I43" s="284"/>
      <c r="J43" s="385"/>
      <c r="K43" s="386"/>
      <c r="L43" s="296"/>
      <c r="M43" s="403"/>
      <c r="N43" s="317"/>
      <c r="O43" s="318"/>
      <c r="P43" s="296"/>
      <c r="Q43" s="318"/>
      <c r="R43" s="317"/>
      <c r="S43" s="318"/>
      <c r="T43" s="317"/>
      <c r="U43" s="318"/>
      <c r="V43" s="385"/>
      <c r="W43" s="386"/>
      <c r="X43" s="385"/>
      <c r="Y43" s="386"/>
      <c r="Z43" s="322"/>
      <c r="AA43" s="322"/>
      <c r="AB43" s="385"/>
      <c r="AC43" s="386"/>
      <c r="AD43" s="322"/>
      <c r="AE43" s="322"/>
      <c r="AF43" s="317"/>
      <c r="AG43" s="318"/>
      <c r="AH43" s="312">
        <f>AH39+AH40</f>
        <v>-2097.6</v>
      </c>
      <c r="AZ43" s="465" t="s">
        <v>707</v>
      </c>
      <c r="BA43" s="442"/>
      <c r="BB43" s="443"/>
      <c r="BC43" s="443">
        <f>BC39-BC42-BC40+BC41</f>
        <v>-61</v>
      </c>
      <c r="BD43" s="635"/>
      <c r="BO43" s="401" t="s">
        <v>1447</v>
      </c>
    </row>
    <row r="44" spans="2:67" ht="18.75" customHeight="1" thickBot="1" x14ac:dyDescent="0.3">
      <c r="B44" s="232"/>
      <c r="C44" s="234"/>
      <c r="D44" s="235"/>
      <c r="E44" s="235"/>
      <c r="F44" s="235"/>
      <c r="G44" s="284"/>
      <c r="H44" s="302"/>
      <c r="I44" s="284"/>
      <c r="J44" s="382"/>
      <c r="K44" s="383"/>
      <c r="L44" s="294"/>
      <c r="M44" s="284"/>
      <c r="N44" s="302"/>
      <c r="O44" s="303"/>
      <c r="P44" s="294"/>
      <c r="Q44" s="303"/>
      <c r="R44" s="302"/>
      <c r="S44" s="303"/>
      <c r="T44" s="302"/>
      <c r="U44" s="303"/>
      <c r="V44" s="382"/>
      <c r="W44" s="383"/>
      <c r="X44" s="382"/>
      <c r="Y44" s="383"/>
      <c r="Z44" s="320"/>
      <c r="AA44" s="320"/>
      <c r="AB44" s="382"/>
      <c r="AC44" s="383"/>
      <c r="AD44" s="320"/>
      <c r="AE44" s="320"/>
      <c r="AF44" s="302"/>
      <c r="AG44" s="303"/>
      <c r="AH44" s="294"/>
      <c r="AZ44" s="465" t="str">
        <f>"NCI share of historical profit (*"&amp;BC11&amp;")"</f>
        <v>NCI share of historical profit (*0.2)</v>
      </c>
      <c r="BA44" s="442"/>
      <c r="BB44" s="442"/>
      <c r="BC44" s="281">
        <f>IF(SUM(BC39:BC41)=0,0,BC43*BC11)</f>
        <v>-12.200000000000001</v>
      </c>
      <c r="BD44" s="439"/>
    </row>
    <row r="45" spans="2:67" ht="36" customHeight="1" thickTop="1" x14ac:dyDescent="0.25">
      <c r="B45" s="229" t="s">
        <v>82</v>
      </c>
      <c r="C45" s="234"/>
      <c r="D45" s="235"/>
      <c r="E45" s="235"/>
      <c r="F45" s="235"/>
      <c r="G45" s="284"/>
      <c r="H45" s="302"/>
      <c r="I45" s="284"/>
      <c r="J45" s="382"/>
      <c r="K45" s="383"/>
      <c r="L45" s="294"/>
      <c r="M45" s="284"/>
      <c r="N45" s="302"/>
      <c r="O45" s="303"/>
      <c r="P45" s="294"/>
      <c r="Q45" s="303"/>
      <c r="R45" s="302"/>
      <c r="S45" s="303"/>
      <c r="T45" s="302"/>
      <c r="U45" s="303"/>
      <c r="V45" s="382"/>
      <c r="W45" s="383"/>
      <c r="X45" s="382"/>
      <c r="Y45" s="383"/>
      <c r="Z45" s="320"/>
      <c r="AA45" s="320"/>
      <c r="AB45" s="382"/>
      <c r="AC45" s="383"/>
      <c r="AD45" s="382"/>
      <c r="AE45" s="383"/>
      <c r="AF45" s="302"/>
      <c r="AG45" s="303"/>
      <c r="AH45" s="294"/>
      <c r="AZ45" s="444"/>
      <c r="BA45" s="442"/>
      <c r="BB45" s="442"/>
      <c r="BC45" s="442"/>
      <c r="BD45" s="439"/>
    </row>
    <row r="46" spans="2:67" ht="18.75" customHeight="1" x14ac:dyDescent="0.25">
      <c r="B46" s="232" t="s">
        <v>685</v>
      </c>
      <c r="C46" s="234" t="s">
        <v>667</v>
      </c>
      <c r="D46" s="236"/>
      <c r="E46" s="236"/>
      <c r="F46" s="236"/>
      <c r="G46" s="285">
        <f>SUM(D46:F46)</f>
        <v>0</v>
      </c>
      <c r="H46" s="304"/>
      <c r="I46" s="325"/>
      <c r="J46" s="384"/>
      <c r="K46" s="379"/>
      <c r="L46" s="295"/>
      <c r="M46" s="325"/>
      <c r="N46" s="304"/>
      <c r="O46" s="305"/>
      <c r="P46" s="295"/>
      <c r="Q46" s="305"/>
      <c r="R46" s="304"/>
      <c r="S46" s="305"/>
      <c r="T46" s="304"/>
      <c r="U46" s="305"/>
      <c r="V46" s="384"/>
      <c r="W46" s="379"/>
      <c r="X46" s="384"/>
      <c r="Y46" s="379"/>
      <c r="Z46" s="321"/>
      <c r="AA46" s="321"/>
      <c r="AB46" s="384"/>
      <c r="AC46" s="379"/>
      <c r="AD46" s="304">
        <f>SUMIF($AT$109:$AT$116,"DR Bond Liability",$AU$109:$AU$116)</f>
        <v>0</v>
      </c>
      <c r="AE46" s="305">
        <f>-SUMIF($AT$109:$AT$116,"CR Bond liability",$AV$109:$AV$116)</f>
        <v>0</v>
      </c>
      <c r="AF46" s="304"/>
      <c r="AG46" s="305"/>
      <c r="AH46" s="311">
        <f>G46-SUM(H46:AG46)</f>
        <v>0</v>
      </c>
      <c r="AZ46" s="465" t="s">
        <v>868</v>
      </c>
      <c r="BA46" s="442"/>
      <c r="BB46" s="442"/>
      <c r="BC46" s="423">
        <v>80</v>
      </c>
      <c r="BD46" s="439"/>
    </row>
    <row r="47" spans="2:67" ht="18.75" customHeight="1" thickBot="1" x14ac:dyDescent="0.3">
      <c r="B47" s="232" t="s">
        <v>686</v>
      </c>
      <c r="C47" s="234" t="s">
        <v>687</v>
      </c>
      <c r="D47" s="236"/>
      <c r="E47" s="236"/>
      <c r="F47" s="236"/>
      <c r="G47" s="285">
        <f>SUM(D47:F47)</f>
        <v>0</v>
      </c>
      <c r="H47" s="304"/>
      <c r="I47" s="325"/>
      <c r="J47" s="384"/>
      <c r="K47" s="379"/>
      <c r="L47" s="295"/>
      <c r="M47" s="325"/>
      <c r="N47" s="304"/>
      <c r="O47" s="305"/>
      <c r="P47" s="295"/>
      <c r="Q47" s="305"/>
      <c r="R47" s="304"/>
      <c r="S47" s="305"/>
      <c r="T47" s="304"/>
      <c r="U47" s="305"/>
      <c r="V47" s="384"/>
      <c r="W47" s="379"/>
      <c r="X47" s="384"/>
      <c r="Y47" s="379"/>
      <c r="Z47" s="321"/>
      <c r="AA47" s="321"/>
      <c r="AB47" s="384"/>
      <c r="AC47" s="379"/>
      <c r="AD47" s="321"/>
      <c r="AE47" s="321"/>
      <c r="AF47" s="304"/>
      <c r="AG47" s="305"/>
      <c r="AH47" s="311">
        <f>G47-SUM(H47:AG47)</f>
        <v>0</v>
      </c>
      <c r="AZ47" s="465" t="str">
        <f>"NCI share of revaluation reserve (*"&amp;BC11&amp;")"</f>
        <v>NCI share of revaluation reserve (*0.2)</v>
      </c>
      <c r="BA47" s="442"/>
      <c r="BB47" s="442"/>
      <c r="BC47" s="280">
        <f>BC46*BC11</f>
        <v>16</v>
      </c>
      <c r="BD47" s="439"/>
    </row>
    <row r="48" spans="2:67" ht="18.75" customHeight="1" thickTop="1" thickBot="1" x14ac:dyDescent="0.3">
      <c r="B48" s="232" t="s">
        <v>688</v>
      </c>
      <c r="C48" s="234" t="s">
        <v>667</v>
      </c>
      <c r="D48" s="236"/>
      <c r="E48" s="236"/>
      <c r="F48" s="236"/>
      <c r="G48" s="285">
        <f>SUM(D48:F48)</f>
        <v>0</v>
      </c>
      <c r="H48" s="304"/>
      <c r="I48" s="325"/>
      <c r="J48" s="384"/>
      <c r="K48" s="379"/>
      <c r="L48" s="295"/>
      <c r="M48" s="325"/>
      <c r="N48" s="304"/>
      <c r="O48" s="305"/>
      <c r="P48" s="295"/>
      <c r="Q48" s="305"/>
      <c r="R48" s="304"/>
      <c r="S48" s="305"/>
      <c r="T48" s="304"/>
      <c r="U48" s="305"/>
      <c r="V48" s="384"/>
      <c r="W48" s="379"/>
      <c r="X48" s="384"/>
      <c r="Y48" s="379"/>
      <c r="Z48" s="321"/>
      <c r="AA48" s="321"/>
      <c r="AB48" s="384"/>
      <c r="AC48" s="379"/>
      <c r="AD48" s="321"/>
      <c r="AE48" s="321"/>
      <c r="AF48" s="304"/>
      <c r="AG48" s="305"/>
      <c r="AH48" s="311">
        <f>G48-SUM(H48:AG48)</f>
        <v>0</v>
      </c>
      <c r="AS48" s="276">
        <v>5</v>
      </c>
      <c r="AT48" s="267" t="s">
        <v>713</v>
      </c>
      <c r="AU48" s="898">
        <f>BC52</f>
        <v>84.800000000000011</v>
      </c>
      <c r="AV48" s="275"/>
      <c r="AZ48" s="453"/>
      <c r="BA48" s="454"/>
      <c r="BB48" s="454"/>
      <c r="BC48" s="454"/>
      <c r="BD48" s="447"/>
    </row>
    <row r="49" spans="2:67" ht="18.75" customHeight="1" thickBot="1" x14ac:dyDescent="0.3">
      <c r="B49" s="229" t="s">
        <v>689</v>
      </c>
      <c r="C49" s="234"/>
      <c r="D49" s="238">
        <f>SUM(D46:D48)</f>
        <v>0</v>
      </c>
      <c r="E49" s="238">
        <f>SUM(E46:E48)</f>
        <v>0</v>
      </c>
      <c r="F49" s="238">
        <f>SUM(F46:F48)</f>
        <v>0</v>
      </c>
      <c r="G49" s="287">
        <f>SUM(G46:G48)</f>
        <v>0</v>
      </c>
      <c r="H49" s="302"/>
      <c r="I49" s="284"/>
      <c r="J49" s="385"/>
      <c r="K49" s="386"/>
      <c r="L49" s="296"/>
      <c r="M49" s="403"/>
      <c r="N49" s="317"/>
      <c r="O49" s="318"/>
      <c r="P49" s="296"/>
      <c r="Q49" s="318"/>
      <c r="R49" s="317"/>
      <c r="S49" s="318"/>
      <c r="T49" s="317"/>
      <c r="U49" s="318"/>
      <c r="V49" s="385"/>
      <c r="W49" s="386"/>
      <c r="X49" s="385"/>
      <c r="Y49" s="386"/>
      <c r="Z49" s="322"/>
      <c r="AA49" s="322"/>
      <c r="AB49" s="385"/>
      <c r="AC49" s="386"/>
      <c r="AD49" s="322"/>
      <c r="AE49" s="322"/>
      <c r="AF49" s="317"/>
      <c r="AG49" s="318"/>
      <c r="AH49" s="312">
        <f>SUM(AH46:AH48)</f>
        <v>0</v>
      </c>
      <c r="AT49" s="267" t="s">
        <v>709</v>
      </c>
      <c r="AU49" s="275"/>
      <c r="AV49" s="898">
        <f>BC52</f>
        <v>84.800000000000011</v>
      </c>
      <c r="BO49" s="401" t="s">
        <v>749</v>
      </c>
    </row>
    <row r="50" spans="2:67" ht="18.75" customHeight="1" x14ac:dyDescent="0.25">
      <c r="B50" s="232"/>
      <c r="C50" s="234"/>
      <c r="D50" s="235"/>
      <c r="E50" s="235"/>
      <c r="F50" s="235"/>
      <c r="G50" s="284"/>
      <c r="H50" s="302"/>
      <c r="I50" s="284"/>
      <c r="J50" s="382"/>
      <c r="K50" s="383"/>
      <c r="L50" s="294"/>
      <c r="M50" s="284"/>
      <c r="N50" s="302"/>
      <c r="O50" s="303"/>
      <c r="P50" s="294"/>
      <c r="Q50" s="303"/>
      <c r="R50" s="302"/>
      <c r="S50" s="303"/>
      <c r="T50" s="302"/>
      <c r="U50" s="303"/>
      <c r="V50" s="382"/>
      <c r="W50" s="383"/>
      <c r="X50" s="382"/>
      <c r="Y50" s="383"/>
      <c r="Z50" s="320"/>
      <c r="AA50" s="320"/>
      <c r="AB50" s="382"/>
      <c r="AC50" s="383"/>
      <c r="AD50" s="320"/>
      <c r="AE50" s="320"/>
      <c r="AF50" s="302"/>
      <c r="AG50" s="303"/>
      <c r="AH50" s="294"/>
      <c r="AZ50" s="448" t="s">
        <v>710</v>
      </c>
      <c r="BA50" s="425"/>
      <c r="BB50" s="425"/>
      <c r="BC50" s="425"/>
      <c r="BD50" s="427"/>
      <c r="BO50" s="400"/>
    </row>
    <row r="51" spans="2:67" ht="18.75" customHeight="1" x14ac:dyDescent="0.25">
      <c r="B51" s="229" t="s">
        <v>84</v>
      </c>
      <c r="C51" s="234"/>
      <c r="D51" s="235"/>
      <c r="E51" s="235"/>
      <c r="F51" s="235"/>
      <c r="G51" s="284"/>
      <c r="H51" s="302"/>
      <c r="I51" s="284"/>
      <c r="J51" s="382"/>
      <c r="K51" s="383"/>
      <c r="L51" s="294"/>
      <c r="M51" s="284"/>
      <c r="N51" s="302"/>
      <c r="O51" s="303"/>
      <c r="P51" s="294"/>
      <c r="Q51" s="303"/>
      <c r="R51" s="302"/>
      <c r="S51" s="303"/>
      <c r="T51" s="302"/>
      <c r="U51" s="303"/>
      <c r="V51" s="382"/>
      <c r="W51" s="383"/>
      <c r="X51" s="382"/>
      <c r="Y51" s="383"/>
      <c r="Z51" s="320"/>
      <c r="AA51" s="320"/>
      <c r="AB51" s="382"/>
      <c r="AC51" s="383"/>
      <c r="AD51" s="320"/>
      <c r="AE51" s="320"/>
      <c r="AF51" s="302"/>
      <c r="AG51" s="303"/>
      <c r="AH51" s="294"/>
      <c r="AZ51" s="444" t="s">
        <v>712</v>
      </c>
      <c r="BA51" s="442"/>
      <c r="BB51" s="442"/>
      <c r="BC51" s="897">
        <f>+BC40</f>
        <v>424</v>
      </c>
      <c r="BD51" s="439"/>
      <c r="BO51" s="400"/>
    </row>
    <row r="52" spans="2:67" ht="18.75" customHeight="1" thickBot="1" x14ac:dyDescent="0.3">
      <c r="B52" s="232" t="s">
        <v>86</v>
      </c>
      <c r="C52" s="234"/>
      <c r="D52" s="244"/>
      <c r="E52" s="244"/>
      <c r="F52" s="244"/>
      <c r="G52" s="292">
        <f>SUM(D52:F52)</f>
        <v>0</v>
      </c>
      <c r="H52" s="304"/>
      <c r="I52" s="325"/>
      <c r="J52" s="384"/>
      <c r="K52" s="379"/>
      <c r="L52" s="295"/>
      <c r="M52" s="325"/>
      <c r="N52" s="304"/>
      <c r="O52" s="305"/>
      <c r="P52" s="295"/>
      <c r="Q52" s="305"/>
      <c r="R52" s="304">
        <f>SUMIF($AT$54:$AT$58,"DR Trade payables",$AU$54:$AU$58)</f>
        <v>0</v>
      </c>
      <c r="S52" s="305">
        <f>-SUMIF($AT$54:$AT$82,"CR Trade payables",$AV$54:$AV$82)</f>
        <v>0</v>
      </c>
      <c r="T52" s="304"/>
      <c r="U52" s="305"/>
      <c r="V52" s="384"/>
      <c r="W52" s="379"/>
      <c r="X52" s="384"/>
      <c r="Y52" s="379"/>
      <c r="Z52" s="321"/>
      <c r="AA52" s="321"/>
      <c r="AB52" s="384"/>
      <c r="AC52" s="379"/>
      <c r="AD52" s="321"/>
      <c r="AE52" s="321"/>
      <c r="AF52" s="304"/>
      <c r="AG52" s="305"/>
      <c r="AH52" s="311">
        <f>G52-SUM(H52:AG52)</f>
        <v>0</v>
      </c>
      <c r="AZ52" s="444" t="str">
        <f>"NCI share of current year profit (*"&amp;BC11&amp;")"</f>
        <v>NCI share of current year profit (*0.2)</v>
      </c>
      <c r="BA52" s="442"/>
      <c r="BB52" s="442"/>
      <c r="BC52" s="899">
        <f>BC51*BC11</f>
        <v>84.800000000000011</v>
      </c>
      <c r="BD52" s="439"/>
      <c r="BF52" s="279"/>
      <c r="BO52" s="401" t="s">
        <v>1448</v>
      </c>
    </row>
    <row r="53" spans="2:67" ht="18.75" customHeight="1" thickTop="1" thickBot="1" x14ac:dyDescent="0.3">
      <c r="B53" s="232" t="s">
        <v>690</v>
      </c>
      <c r="C53" s="234" t="s">
        <v>667</v>
      </c>
      <c r="D53" s="244"/>
      <c r="E53" s="244"/>
      <c r="F53" s="244"/>
      <c r="G53" s="292">
        <f>SUM(D53:F53)</f>
        <v>0</v>
      </c>
      <c r="H53" s="304"/>
      <c r="I53" s="325"/>
      <c r="J53" s="384"/>
      <c r="K53" s="379"/>
      <c r="L53" s="295"/>
      <c r="M53" s="325"/>
      <c r="N53" s="304"/>
      <c r="O53" s="305"/>
      <c r="P53" s="295"/>
      <c r="Q53" s="305"/>
      <c r="R53" s="304"/>
      <c r="S53" s="305"/>
      <c r="T53" s="304"/>
      <c r="U53" s="305"/>
      <c r="V53" s="384"/>
      <c r="W53" s="379"/>
      <c r="X53" s="384"/>
      <c r="Y53" s="379"/>
      <c r="Z53" s="321"/>
      <c r="AA53" s="321"/>
      <c r="AB53" s="384"/>
      <c r="AC53" s="379"/>
      <c r="AD53" s="321"/>
      <c r="AE53" s="321"/>
      <c r="AF53" s="304"/>
      <c r="AG53" s="305"/>
      <c r="AH53" s="311">
        <f>G53-SUM(H53:AG53)</f>
        <v>0</v>
      </c>
      <c r="AZ53" s="453"/>
      <c r="BA53" s="454"/>
      <c r="BB53" s="454"/>
      <c r="BC53" s="454"/>
      <c r="BD53" s="447"/>
      <c r="BF53" s="275"/>
      <c r="BO53" s="401" t="s">
        <v>772</v>
      </c>
    </row>
    <row r="54" spans="2:67" ht="18.75" customHeight="1" thickBot="1" x14ac:dyDescent="0.3">
      <c r="B54" s="232" t="s">
        <v>691</v>
      </c>
      <c r="C54" s="234" t="s">
        <v>667</v>
      </c>
      <c r="D54" s="244"/>
      <c r="E54" s="244"/>
      <c r="F54" s="244"/>
      <c r="G54" s="292">
        <f>SUM(D54:F54)</f>
        <v>0</v>
      </c>
      <c r="H54" s="304"/>
      <c r="I54" s="325"/>
      <c r="J54" s="384"/>
      <c r="K54" s="379"/>
      <c r="L54" s="295"/>
      <c r="M54" s="325"/>
      <c r="N54" s="304"/>
      <c r="O54" s="305"/>
      <c r="P54" s="295"/>
      <c r="Q54" s="305"/>
      <c r="R54" s="304"/>
      <c r="S54" s="305"/>
      <c r="T54" s="304"/>
      <c r="U54" s="305"/>
      <c r="V54" s="384"/>
      <c r="W54" s="379"/>
      <c r="X54" s="384"/>
      <c r="Y54" s="379"/>
      <c r="Z54" s="321"/>
      <c r="AA54" s="321"/>
      <c r="AB54" s="384"/>
      <c r="AC54" s="379"/>
      <c r="AD54" s="321"/>
      <c r="AE54" s="321"/>
      <c r="AF54" s="304"/>
      <c r="AG54" s="305"/>
      <c r="AH54" s="311">
        <f>G54-SUM(H54:AG54)</f>
        <v>0</v>
      </c>
      <c r="AS54" s="276">
        <v>6</v>
      </c>
      <c r="AT54" s="247" t="s">
        <v>823</v>
      </c>
      <c r="AU54" s="374">
        <f>BC56</f>
        <v>0</v>
      </c>
    </row>
    <row r="55" spans="2:67" ht="18.75" customHeight="1" x14ac:dyDescent="0.25">
      <c r="B55" s="232" t="s">
        <v>87</v>
      </c>
      <c r="C55" s="234"/>
      <c r="D55" s="244"/>
      <c r="E55" s="244"/>
      <c r="F55" s="244"/>
      <c r="G55" s="292">
        <f>SUM(D55:F55)</f>
        <v>0</v>
      </c>
      <c r="H55" s="304"/>
      <c r="I55" s="325"/>
      <c r="J55" s="384"/>
      <c r="K55" s="379"/>
      <c r="L55" s="295"/>
      <c r="M55" s="325"/>
      <c r="N55" s="304"/>
      <c r="O55" s="305"/>
      <c r="P55" s="295"/>
      <c r="Q55" s="305"/>
      <c r="R55" s="304"/>
      <c r="S55" s="305"/>
      <c r="T55" s="304"/>
      <c r="U55" s="305"/>
      <c r="V55" s="384"/>
      <c r="W55" s="379"/>
      <c r="X55" s="384"/>
      <c r="Y55" s="379"/>
      <c r="Z55" s="321"/>
      <c r="AA55" s="321"/>
      <c r="AB55" s="384"/>
      <c r="AC55" s="379"/>
      <c r="AD55" s="321"/>
      <c r="AE55" s="321"/>
      <c r="AF55" s="304"/>
      <c r="AG55" s="305"/>
      <c r="AH55" s="311">
        <f>G55-SUM(H55:AG55)</f>
        <v>0</v>
      </c>
      <c r="AT55" s="247" t="s">
        <v>813</v>
      </c>
      <c r="AV55" s="374">
        <f>BC56</f>
        <v>0</v>
      </c>
      <c r="AZ55" s="448" t="s">
        <v>767</v>
      </c>
      <c r="BA55" s="425"/>
      <c r="BB55" s="425"/>
      <c r="BC55" s="425"/>
      <c r="BD55" s="427"/>
    </row>
    <row r="56" spans="2:67" ht="18.75" customHeight="1" x14ac:dyDescent="0.25">
      <c r="B56" s="232" t="s">
        <v>692</v>
      </c>
      <c r="C56" s="234" t="s">
        <v>667</v>
      </c>
      <c r="D56" s="244"/>
      <c r="E56" s="244"/>
      <c r="F56" s="244"/>
      <c r="G56" s="292">
        <f>SUM(D56:F56)</f>
        <v>0</v>
      </c>
      <c r="H56" s="304"/>
      <c r="I56" s="325"/>
      <c r="J56" s="384"/>
      <c r="K56" s="379"/>
      <c r="L56" s="295"/>
      <c r="M56" s="325"/>
      <c r="N56" s="304"/>
      <c r="O56" s="305"/>
      <c r="P56" s="295"/>
      <c r="Q56" s="305"/>
      <c r="R56" s="304"/>
      <c r="S56" s="305"/>
      <c r="T56" s="304"/>
      <c r="U56" s="305"/>
      <c r="V56" s="384"/>
      <c r="W56" s="379"/>
      <c r="X56" s="384"/>
      <c r="Y56" s="379"/>
      <c r="Z56" s="321"/>
      <c r="AA56" s="321"/>
      <c r="AB56" s="384"/>
      <c r="AC56" s="379"/>
      <c r="AD56" s="321"/>
      <c r="AE56" s="321"/>
      <c r="AF56" s="304"/>
      <c r="AG56" s="305"/>
      <c r="AH56" s="311">
        <f>G56-SUM(H56:AG56)</f>
        <v>0</v>
      </c>
      <c r="AZ56" s="444" t="s">
        <v>768</v>
      </c>
      <c r="BA56" s="442"/>
      <c r="BB56" s="442"/>
      <c r="BC56" s="459"/>
      <c r="BD56" s="439"/>
    </row>
    <row r="57" spans="2:67" ht="18.75" customHeight="1" x14ac:dyDescent="0.25">
      <c r="B57" s="229" t="s">
        <v>693</v>
      </c>
      <c r="C57" s="234"/>
      <c r="D57" s="238">
        <f>SUM(D52:D56)</f>
        <v>0</v>
      </c>
      <c r="E57" s="238">
        <f>SUM(E52:E56)</f>
        <v>0</v>
      </c>
      <c r="F57" s="238">
        <f>SUM(F52:F56)</f>
        <v>0</v>
      </c>
      <c r="G57" s="287">
        <f>SUM(G52:G56)</f>
        <v>0</v>
      </c>
      <c r="H57" s="302"/>
      <c r="I57" s="284"/>
      <c r="J57" s="382"/>
      <c r="K57" s="383"/>
      <c r="L57" s="294"/>
      <c r="M57" s="284"/>
      <c r="N57" s="302"/>
      <c r="O57" s="303"/>
      <c r="P57" s="294"/>
      <c r="Q57" s="303"/>
      <c r="R57" s="302"/>
      <c r="S57" s="303"/>
      <c r="T57" s="302"/>
      <c r="U57" s="303"/>
      <c r="V57" s="382"/>
      <c r="W57" s="383"/>
      <c r="X57" s="382"/>
      <c r="Y57" s="383"/>
      <c r="Z57" s="320"/>
      <c r="AA57" s="320"/>
      <c r="AB57" s="382"/>
      <c r="AC57" s="383"/>
      <c r="AD57" s="320"/>
      <c r="AE57" s="320"/>
      <c r="AF57" s="302"/>
      <c r="AG57" s="303"/>
      <c r="AH57" s="312">
        <f>SUM(AH52:AH56)</f>
        <v>0</v>
      </c>
      <c r="AT57" s="247" t="s">
        <v>814</v>
      </c>
      <c r="AU57" s="275">
        <f>BC57</f>
        <v>0</v>
      </c>
      <c r="AV57" s="275"/>
      <c r="AZ57" s="444" t="s">
        <v>815</v>
      </c>
      <c r="BA57" s="442"/>
      <c r="BB57" s="442"/>
      <c r="BC57" s="450">
        <v>0</v>
      </c>
      <c r="BD57" s="439"/>
    </row>
    <row r="58" spans="2:67" ht="18.75" customHeight="1" thickBot="1" x14ac:dyDescent="0.3">
      <c r="B58" s="229" t="s">
        <v>694</v>
      </c>
      <c r="C58" s="234"/>
      <c r="D58" s="238">
        <f>SUM(D49,D57)</f>
        <v>0</v>
      </c>
      <c r="E58" s="238">
        <f>SUM(E49,E57)</f>
        <v>0</v>
      </c>
      <c r="F58" s="238">
        <f>SUM(F49,F57)</f>
        <v>0</v>
      </c>
      <c r="G58" s="287">
        <f>SUM(G49,G57)</f>
        <v>0</v>
      </c>
      <c r="H58" s="302"/>
      <c r="I58" s="284"/>
      <c r="J58" s="382"/>
      <c r="K58" s="383"/>
      <c r="L58" s="294"/>
      <c r="M58" s="284"/>
      <c r="N58" s="302"/>
      <c r="O58" s="303"/>
      <c r="P58" s="294"/>
      <c r="Q58" s="303"/>
      <c r="R58" s="302"/>
      <c r="S58" s="303"/>
      <c r="T58" s="302"/>
      <c r="U58" s="303"/>
      <c r="V58" s="382"/>
      <c r="W58" s="383"/>
      <c r="X58" s="382"/>
      <c r="Y58" s="383"/>
      <c r="Z58" s="320"/>
      <c r="AA58" s="320"/>
      <c r="AB58" s="382"/>
      <c r="AC58" s="383"/>
      <c r="AD58" s="320"/>
      <c r="AE58" s="320"/>
      <c r="AF58" s="302"/>
      <c r="AG58" s="303"/>
      <c r="AH58" s="312">
        <f>SUM(AH49,AH57)</f>
        <v>0</v>
      </c>
      <c r="AT58" s="247" t="s">
        <v>813</v>
      </c>
      <c r="AU58" s="275"/>
      <c r="AV58" s="275">
        <f>BC57</f>
        <v>0</v>
      </c>
      <c r="AZ58" s="453"/>
      <c r="BA58" s="454"/>
      <c r="BB58" s="454"/>
      <c r="BC58" s="454"/>
      <c r="BD58" s="447"/>
    </row>
    <row r="59" spans="2:67" ht="18.75" customHeight="1" thickBot="1" x14ac:dyDescent="0.3">
      <c r="B59" s="229" t="s">
        <v>695</v>
      </c>
      <c r="C59" s="234"/>
      <c r="D59" s="240">
        <f>SUM(D43,D58)</f>
        <v>0</v>
      </c>
      <c r="E59" s="240">
        <f>SUM(E43,E58)</f>
        <v>0</v>
      </c>
      <c r="F59" s="240">
        <f>SUM(F43,F58)</f>
        <v>0</v>
      </c>
      <c r="G59" s="289">
        <f>SUM(G43,G58)</f>
        <v>0</v>
      </c>
      <c r="H59" s="308"/>
      <c r="I59" s="354"/>
      <c r="J59" s="390"/>
      <c r="K59" s="391"/>
      <c r="L59" s="333"/>
      <c r="M59" s="354"/>
      <c r="N59" s="308"/>
      <c r="O59" s="309"/>
      <c r="P59" s="333"/>
      <c r="Q59" s="309"/>
      <c r="R59" s="308"/>
      <c r="S59" s="309"/>
      <c r="T59" s="308"/>
      <c r="U59" s="309"/>
      <c r="V59" s="390"/>
      <c r="W59" s="391"/>
      <c r="X59" s="390"/>
      <c r="Y59" s="391"/>
      <c r="Z59" s="378"/>
      <c r="AA59" s="378"/>
      <c r="AB59" s="390"/>
      <c r="AC59" s="391"/>
      <c r="AD59" s="378"/>
      <c r="AE59" s="378"/>
      <c r="AF59" s="308"/>
      <c r="AG59" s="309"/>
      <c r="AH59" s="313">
        <f>SUM(AH43,AH58)</f>
        <v>-2097.6</v>
      </c>
    </row>
    <row r="60" spans="2:67" ht="15.75" thickBot="1" x14ac:dyDescent="0.3">
      <c r="H60" s="393"/>
      <c r="I60" s="397"/>
      <c r="J60" s="393"/>
      <c r="K60" s="394"/>
      <c r="L60" s="397"/>
      <c r="M60" s="397"/>
      <c r="N60" s="393"/>
      <c r="O60" s="394"/>
      <c r="AB60" s="393"/>
      <c r="AC60" s="394"/>
    </row>
    <row r="61" spans="2:67" ht="16.5" thickBot="1" x14ac:dyDescent="0.3">
      <c r="H61" s="393"/>
      <c r="I61" s="397"/>
      <c r="J61" s="393"/>
      <c r="K61" s="394"/>
      <c r="L61" s="397"/>
      <c r="M61" s="397"/>
      <c r="N61" s="393"/>
      <c r="O61" s="394"/>
      <c r="AB61" s="393"/>
      <c r="AC61" s="394"/>
      <c r="AS61" s="276">
        <v>7</v>
      </c>
      <c r="AT61" s="267" t="s">
        <v>776</v>
      </c>
      <c r="AU61" s="275">
        <f>BC65</f>
        <v>0</v>
      </c>
      <c r="AV61" s="275"/>
    </row>
    <row r="62" spans="2:67" ht="15.75" x14ac:dyDescent="0.25">
      <c r="H62" s="393"/>
      <c r="I62" s="397"/>
      <c r="J62" s="393"/>
      <c r="K62" s="394"/>
      <c r="L62" s="397"/>
      <c r="M62" s="397"/>
      <c r="N62" s="393"/>
      <c r="O62" s="394"/>
      <c r="AB62" s="393"/>
      <c r="AC62" s="394"/>
      <c r="AT62" s="267" t="s">
        <v>609</v>
      </c>
      <c r="AU62" s="275"/>
      <c r="AV62" s="275">
        <f>BC65</f>
        <v>0</v>
      </c>
      <c r="AZ62" s="448" t="s">
        <v>769</v>
      </c>
      <c r="BA62" s="425"/>
      <c r="BB62" s="425"/>
      <c r="BC62" s="425"/>
      <c r="BD62" s="427"/>
    </row>
    <row r="63" spans="2:67" ht="15.75" x14ac:dyDescent="0.25">
      <c r="B63" s="226" t="str">
        <f>B6</f>
        <v>Hawkins plc</v>
      </c>
      <c r="C63" s="808" t="s">
        <v>655</v>
      </c>
      <c r="D63" s="231" t="s">
        <v>761</v>
      </c>
      <c r="E63" s="324">
        <f>3/12</f>
        <v>0.25</v>
      </c>
      <c r="F63" s="282"/>
      <c r="G63" s="282"/>
      <c r="H63" s="395"/>
      <c r="I63" s="398"/>
      <c r="J63" s="418"/>
      <c r="K63" s="419"/>
      <c r="L63" s="392"/>
      <c r="M63" s="398"/>
      <c r="N63" s="395"/>
      <c r="O63" s="396"/>
      <c r="P63" s="392"/>
      <c r="Q63" s="299"/>
      <c r="R63" s="299"/>
      <c r="S63" s="299"/>
      <c r="T63" s="299"/>
      <c r="U63" s="299"/>
      <c r="V63" s="299"/>
      <c r="W63" s="299"/>
      <c r="X63" s="299"/>
      <c r="Y63" s="299"/>
      <c r="Z63" s="299"/>
      <c r="AA63" s="398"/>
      <c r="AB63" s="395"/>
      <c r="AC63" s="396"/>
      <c r="AD63" s="392"/>
      <c r="AE63" s="299"/>
      <c r="AF63" s="299"/>
      <c r="AG63" s="299"/>
      <c r="AH63" s="227"/>
      <c r="AU63" s="275"/>
      <c r="AV63" s="275"/>
      <c r="AZ63" s="444" t="s">
        <v>775</v>
      </c>
      <c r="BA63" s="442"/>
      <c r="BB63" s="442"/>
      <c r="BC63" s="450"/>
      <c r="BD63" s="439"/>
      <c r="BF63" s="279"/>
    </row>
    <row r="64" spans="2:67" ht="15.75" x14ac:dyDescent="0.25">
      <c r="B64" s="229" t="s">
        <v>13</v>
      </c>
      <c r="C64" s="813"/>
      <c r="D64" s="227"/>
      <c r="E64" s="227"/>
      <c r="F64" s="227"/>
      <c r="G64" s="282"/>
      <c r="H64" s="806">
        <v>1</v>
      </c>
      <c r="I64" s="811"/>
      <c r="J64" s="806">
        <v>2</v>
      </c>
      <c r="K64" s="807"/>
      <c r="L64" s="811">
        <v>3</v>
      </c>
      <c r="M64" s="811"/>
      <c r="N64" s="806">
        <v>4</v>
      </c>
      <c r="O64" s="807"/>
      <c r="P64" s="811">
        <v>5</v>
      </c>
      <c r="Q64" s="807"/>
      <c r="R64" s="806">
        <v>6</v>
      </c>
      <c r="S64" s="807"/>
      <c r="T64" s="806">
        <v>7</v>
      </c>
      <c r="U64" s="807"/>
      <c r="V64" s="806">
        <v>8</v>
      </c>
      <c r="W64" s="807"/>
      <c r="X64" s="817">
        <v>9</v>
      </c>
      <c r="Y64" s="817"/>
      <c r="Z64" s="811">
        <v>10</v>
      </c>
      <c r="AA64" s="811"/>
      <c r="AB64" s="806">
        <v>11</v>
      </c>
      <c r="AC64" s="807"/>
      <c r="AD64" s="811">
        <v>12</v>
      </c>
      <c r="AE64" s="807"/>
      <c r="AF64" s="806">
        <v>13</v>
      </c>
      <c r="AG64" s="807"/>
      <c r="AH64" s="310"/>
      <c r="AT64" s="267" t="s">
        <v>777</v>
      </c>
      <c r="AU64" s="275">
        <f>BC66</f>
        <v>0</v>
      </c>
      <c r="AV64" s="275"/>
      <c r="AZ64" s="444"/>
      <c r="BA64" s="442"/>
      <c r="BB64" s="442"/>
      <c r="BC64" s="442"/>
      <c r="BD64" s="439"/>
    </row>
    <row r="65" spans="2:67" ht="16.5" thickBot="1" x14ac:dyDescent="0.3">
      <c r="B65" s="230" t="s">
        <v>717</v>
      </c>
      <c r="C65" s="814"/>
      <c r="D65" s="231" t="s">
        <v>657</v>
      </c>
      <c r="E65" s="231" t="s">
        <v>658</v>
      </c>
      <c r="F65" s="231" t="s">
        <v>658</v>
      </c>
      <c r="G65" s="283" t="s">
        <v>659</v>
      </c>
      <c r="H65" s="300" t="s">
        <v>718</v>
      </c>
      <c r="I65" s="283" t="s">
        <v>719</v>
      </c>
      <c r="J65" s="300" t="s">
        <v>718</v>
      </c>
      <c r="K65" s="283" t="s">
        <v>719</v>
      </c>
      <c r="L65" s="293" t="s">
        <v>718</v>
      </c>
      <c r="M65" s="283" t="s">
        <v>719</v>
      </c>
      <c r="N65" s="300" t="s">
        <v>718</v>
      </c>
      <c r="O65" s="301" t="s">
        <v>719</v>
      </c>
      <c r="P65" s="293" t="s">
        <v>718</v>
      </c>
      <c r="Q65" s="301" t="s">
        <v>719</v>
      </c>
      <c r="R65" s="300" t="s">
        <v>718</v>
      </c>
      <c r="S65" s="301" t="s">
        <v>719</v>
      </c>
      <c r="T65" s="300" t="s">
        <v>718</v>
      </c>
      <c r="U65" s="301" t="s">
        <v>719</v>
      </c>
      <c r="V65" s="300" t="s">
        <v>718</v>
      </c>
      <c r="W65" s="301" t="s">
        <v>719</v>
      </c>
      <c r="X65" s="471" t="s">
        <v>718</v>
      </c>
      <c r="Y65" s="472" t="s">
        <v>719</v>
      </c>
      <c r="Z65" s="293" t="s">
        <v>718</v>
      </c>
      <c r="AA65" s="283" t="s">
        <v>719</v>
      </c>
      <c r="AB65" s="293" t="s">
        <v>718</v>
      </c>
      <c r="AC65" s="283" t="s">
        <v>719</v>
      </c>
      <c r="AD65" s="293" t="s">
        <v>718</v>
      </c>
      <c r="AE65" s="283" t="s">
        <v>719</v>
      </c>
      <c r="AF65" s="300" t="s">
        <v>718</v>
      </c>
      <c r="AG65" s="301" t="s">
        <v>719</v>
      </c>
      <c r="AH65" s="293" t="s">
        <v>662</v>
      </c>
      <c r="AT65" s="267" t="s">
        <v>609</v>
      </c>
      <c r="AU65" s="275"/>
      <c r="AV65" s="275">
        <f>BC66</f>
        <v>0</v>
      </c>
      <c r="AZ65" s="444" t="s">
        <v>773</v>
      </c>
      <c r="BA65" s="442"/>
      <c r="BB65" s="442"/>
      <c r="BC65" s="443">
        <f>BC63-BC66</f>
        <v>0</v>
      </c>
      <c r="BD65" s="439"/>
    </row>
    <row r="66" spans="2:67" ht="15.75" x14ac:dyDescent="0.25">
      <c r="B66" s="232"/>
      <c r="C66" s="233" t="s">
        <v>663</v>
      </c>
      <c r="D66" s="231" t="s">
        <v>10</v>
      </c>
      <c r="E66" s="231" t="s">
        <v>10</v>
      </c>
      <c r="F66" s="231" t="s">
        <v>10</v>
      </c>
      <c r="G66" s="283" t="s">
        <v>10</v>
      </c>
      <c r="H66" s="300" t="s">
        <v>10</v>
      </c>
      <c r="I66" s="283" t="s">
        <v>10</v>
      </c>
      <c r="J66" s="300" t="s">
        <v>10</v>
      </c>
      <c r="K66" s="283" t="s">
        <v>10</v>
      </c>
      <c r="L66" s="293" t="s">
        <v>10</v>
      </c>
      <c r="M66" s="283" t="s">
        <v>10</v>
      </c>
      <c r="N66" s="300" t="s">
        <v>10</v>
      </c>
      <c r="O66" s="301" t="s">
        <v>10</v>
      </c>
      <c r="P66" s="293" t="s">
        <v>10</v>
      </c>
      <c r="Q66" s="301" t="s">
        <v>10</v>
      </c>
      <c r="R66" s="300" t="s">
        <v>10</v>
      </c>
      <c r="S66" s="301" t="s">
        <v>10</v>
      </c>
      <c r="T66" s="300" t="s">
        <v>10</v>
      </c>
      <c r="U66" s="301" t="s">
        <v>10</v>
      </c>
      <c r="V66" s="300" t="s">
        <v>10</v>
      </c>
      <c r="W66" s="301" t="s">
        <v>10</v>
      </c>
      <c r="X66" s="300" t="s">
        <v>10</v>
      </c>
      <c r="Y66" s="301" t="s">
        <v>10</v>
      </c>
      <c r="Z66" s="293" t="s">
        <v>10</v>
      </c>
      <c r="AA66" s="283" t="s">
        <v>10</v>
      </c>
      <c r="AB66" s="293" t="s">
        <v>10</v>
      </c>
      <c r="AC66" s="283" t="s">
        <v>10</v>
      </c>
      <c r="AD66" s="293" t="s">
        <v>10</v>
      </c>
      <c r="AE66" s="283" t="s">
        <v>10</v>
      </c>
      <c r="AF66" s="300" t="s">
        <v>10</v>
      </c>
      <c r="AG66" s="301" t="s">
        <v>10</v>
      </c>
      <c r="AH66" s="293" t="s">
        <v>10</v>
      </c>
      <c r="AZ66" s="444" t="s">
        <v>774</v>
      </c>
      <c r="BA66" s="442"/>
      <c r="BB66" s="442"/>
      <c r="BC66" s="443">
        <f>BC63*BC11</f>
        <v>0</v>
      </c>
      <c r="BD66" s="439"/>
    </row>
    <row r="67" spans="2:67" ht="16.5" thickBot="1" x14ac:dyDescent="0.3">
      <c r="B67" s="229" t="s">
        <v>58</v>
      </c>
      <c r="C67" s="234"/>
      <c r="D67" s="236"/>
      <c r="E67" s="236"/>
      <c r="F67" s="236"/>
      <c r="G67" s="285">
        <f>SUM(D67:F67)</f>
        <v>0</v>
      </c>
      <c r="H67" s="304"/>
      <c r="I67" s="325"/>
      <c r="J67" s="384"/>
      <c r="K67" s="379"/>
      <c r="L67" s="295"/>
      <c r="M67" s="325"/>
      <c r="N67" s="304"/>
      <c r="O67" s="305"/>
      <c r="P67" s="295"/>
      <c r="Q67" s="305"/>
      <c r="R67" s="304">
        <f>SUMIF($AT$54:$AT$58,"DR SPL - Revenue",$AU$54:$AU$58)</f>
        <v>0</v>
      </c>
      <c r="S67" s="305">
        <f>SUMIF($AT$54:$AT$58,"CR SPL - Revenue",$AV$54:$AV$58)</f>
        <v>0</v>
      </c>
      <c r="T67" s="304">
        <f>SUMIF($AT$61:$AT$65,"DR SPL - Revenue",$AU$61:$AU$65)</f>
        <v>0</v>
      </c>
      <c r="U67" s="305">
        <f>SUMIF($AT$61:$AT$65,"CR SPL - Revenue",$AV$61:$AV$65)</f>
        <v>0</v>
      </c>
      <c r="V67" s="304">
        <f>SUMIF($AT$69:$AT$76,"DR SPL - Revenue",$AU$69:$AU$76)</f>
        <v>0</v>
      </c>
      <c r="W67" s="305">
        <f>SUMIF($AT$69:$AT$76,"CR SPL - Revenue",$AV$69:$AV$76)</f>
        <v>0</v>
      </c>
      <c r="X67" s="384"/>
      <c r="Y67" s="379"/>
      <c r="Z67" s="321"/>
      <c r="AA67" s="321"/>
      <c r="AB67" s="384"/>
      <c r="AC67" s="379"/>
      <c r="AD67" s="321"/>
      <c r="AE67" s="321"/>
      <c r="AF67" s="304"/>
      <c r="AG67" s="305"/>
      <c r="AH67" s="311">
        <f>G67-SUM(H67:AG67)</f>
        <v>0</v>
      </c>
      <c r="AZ67" s="453"/>
      <c r="BA67" s="454"/>
      <c r="BB67" s="454"/>
      <c r="BC67" s="454"/>
      <c r="BD67" s="447"/>
    </row>
    <row r="68" spans="2:67" ht="16.5" thickBot="1" x14ac:dyDescent="0.3">
      <c r="B68" s="229"/>
      <c r="C68" s="234"/>
      <c r="D68" s="248"/>
      <c r="E68" s="248"/>
      <c r="F68" s="248"/>
      <c r="G68" s="330"/>
      <c r="H68" s="304"/>
      <c r="I68" s="325"/>
      <c r="J68" s="384"/>
      <c r="K68" s="379"/>
      <c r="L68" s="295"/>
      <c r="M68" s="325"/>
      <c r="N68" s="304"/>
      <c r="O68" s="305"/>
      <c r="P68" s="295"/>
      <c r="Q68" s="305"/>
      <c r="R68" s="304"/>
      <c r="S68" s="305"/>
      <c r="T68" s="304"/>
      <c r="U68" s="305"/>
      <c r="V68" s="384"/>
      <c r="W68" s="379"/>
      <c r="X68" s="384"/>
      <c r="Y68" s="379"/>
      <c r="Z68" s="321"/>
      <c r="AA68" s="321"/>
      <c r="AB68" s="384"/>
      <c r="AC68" s="379"/>
      <c r="AD68" s="321"/>
      <c r="AE68" s="321"/>
      <c r="AF68" s="304"/>
      <c r="AG68" s="305"/>
      <c r="AH68" s="294"/>
    </row>
    <row r="69" spans="2:67" ht="16.5" thickBot="1" x14ac:dyDescent="0.3">
      <c r="B69" s="229"/>
      <c r="C69" s="234"/>
      <c r="D69" s="248"/>
      <c r="E69" s="248"/>
      <c r="F69" s="248"/>
      <c r="G69" s="330"/>
      <c r="H69" s="304"/>
      <c r="I69" s="325"/>
      <c r="J69" s="384"/>
      <c r="K69" s="379"/>
      <c r="L69" s="295"/>
      <c r="M69" s="325"/>
      <c r="N69" s="304"/>
      <c r="O69" s="305"/>
      <c r="P69" s="295"/>
      <c r="Q69" s="305"/>
      <c r="R69" s="304"/>
      <c r="S69" s="305"/>
      <c r="T69" s="304"/>
      <c r="U69" s="305"/>
      <c r="V69" s="384"/>
      <c r="W69" s="379"/>
      <c r="X69" s="384"/>
      <c r="Y69" s="379"/>
      <c r="Z69" s="321"/>
      <c r="AA69" s="321"/>
      <c r="AB69" s="384"/>
      <c r="AC69" s="379"/>
      <c r="AD69" s="321"/>
      <c r="AE69" s="321"/>
      <c r="AF69" s="304"/>
      <c r="AG69" s="305"/>
      <c r="AH69" s="294"/>
      <c r="AS69" s="276">
        <v>8</v>
      </c>
      <c r="AT69" s="267" t="s">
        <v>779</v>
      </c>
      <c r="AU69" s="275">
        <f>BC71</f>
        <v>0</v>
      </c>
      <c r="AZ69" s="636" t="s">
        <v>778</v>
      </c>
      <c r="BA69" s="425"/>
      <c r="BB69" s="425"/>
      <c r="BC69" s="425"/>
      <c r="BD69" s="427"/>
    </row>
    <row r="70" spans="2:67" ht="15.75" x14ac:dyDescent="0.25">
      <c r="B70" s="232" t="s">
        <v>67</v>
      </c>
      <c r="C70" s="234"/>
      <c r="D70" s="237"/>
      <c r="E70" s="237"/>
      <c r="F70" s="237"/>
      <c r="G70" s="285">
        <f>SUM(D70:F70)</f>
        <v>0</v>
      </c>
      <c r="H70" s="304"/>
      <c r="I70" s="325"/>
      <c r="J70" s="384"/>
      <c r="K70" s="379"/>
      <c r="L70" s="295"/>
      <c r="M70" s="325"/>
      <c r="N70" s="304"/>
      <c r="O70" s="305"/>
      <c r="P70" s="295"/>
      <c r="Q70" s="305"/>
      <c r="R70" s="304">
        <f>SUMIF($AT$54:$AT$58,"DR SPL - Cost of sales",$AU$54:$AU$58)</f>
        <v>0</v>
      </c>
      <c r="S70" s="305">
        <f>-SUMIF($AT$54:$AT$58,"CR SPL - Cost of sales",$AV$54:$AV$58)</f>
        <v>0</v>
      </c>
      <c r="T70" s="304">
        <f>SUMIF($AT$61:$AT$65,"DR SPL - Cost of sales",$AU$61:$AU$65)</f>
        <v>0</v>
      </c>
      <c r="U70" s="305">
        <f>-SUMIF($AT$61:$AT$65,"CR SPL - Cost of sales",$AV$61:$AV$65)</f>
        <v>0</v>
      </c>
      <c r="V70" s="304">
        <f>SUMIF($AT$69:$AT$76,"DR SPL - Cost of sales",$AU$69:$AU$76)</f>
        <v>0</v>
      </c>
      <c r="W70" s="305">
        <f>-SUMIF($AT$69:$AT$76,"CR SPL - Cost of sales",$AV$69:$AV$76)</f>
        <v>0</v>
      </c>
      <c r="X70" s="384"/>
      <c r="Y70" s="379"/>
      <c r="Z70" s="321"/>
      <c r="AA70" s="321"/>
      <c r="AB70" s="384"/>
      <c r="AC70" s="379"/>
      <c r="AD70" s="304">
        <f>SUMIF($AT$109:$AT$116,"DR SPL - cost of sales",$AU$109:$AU$116)</f>
        <v>0</v>
      </c>
      <c r="AE70" s="305">
        <f>-SUMIF($AT$109:$AT$116,"CR SPL - cost of sales",$AV$109:$AV$116)</f>
        <v>0</v>
      </c>
      <c r="AF70" s="304"/>
      <c r="AG70" s="305"/>
      <c r="AH70" s="311">
        <f>G70+SUM(H70:AG70)</f>
        <v>0</v>
      </c>
      <c r="AT70" s="267" t="s">
        <v>787</v>
      </c>
      <c r="AV70" s="274">
        <f>BC71</f>
        <v>0</v>
      </c>
      <c r="AZ70" s="460" t="s">
        <v>799</v>
      </c>
      <c r="BA70" s="442"/>
      <c r="BB70" s="442"/>
      <c r="BC70" s="442"/>
      <c r="BD70" s="439"/>
      <c r="BJ70" s="279"/>
      <c r="BO70" s="401" t="s">
        <v>780</v>
      </c>
    </row>
    <row r="71" spans="2:67" x14ac:dyDescent="0.25">
      <c r="B71" s="232"/>
      <c r="C71" s="234"/>
      <c r="D71" s="235"/>
      <c r="E71" s="235"/>
      <c r="F71" s="235"/>
      <c r="G71" s="284"/>
      <c r="H71" s="304"/>
      <c r="I71" s="325"/>
      <c r="J71" s="384"/>
      <c r="K71" s="379"/>
      <c r="L71" s="295"/>
      <c r="M71" s="325"/>
      <c r="N71" s="304"/>
      <c r="O71" s="305"/>
      <c r="P71" s="295"/>
      <c r="Q71" s="305"/>
      <c r="R71" s="304"/>
      <c r="S71" s="305"/>
      <c r="T71" s="304"/>
      <c r="U71" s="305"/>
      <c r="V71" s="384"/>
      <c r="W71" s="379"/>
      <c r="X71" s="384"/>
      <c r="Y71" s="379"/>
      <c r="Z71" s="321"/>
      <c r="AA71" s="321"/>
      <c r="AB71" s="384"/>
      <c r="AC71" s="379"/>
      <c r="AD71" s="304"/>
      <c r="AE71" s="305"/>
      <c r="AF71" s="304"/>
      <c r="AG71" s="305"/>
      <c r="AH71" s="294"/>
      <c r="AT71" s="267" t="s">
        <v>322</v>
      </c>
      <c r="AU71" s="274">
        <f>BC76</f>
        <v>0</v>
      </c>
      <c r="AZ71" s="444" t="s">
        <v>781</v>
      </c>
      <c r="BA71" s="442"/>
      <c r="BB71" s="442"/>
      <c r="BC71" s="450">
        <v>0</v>
      </c>
      <c r="BD71" s="439"/>
      <c r="BJ71" s="279"/>
    </row>
    <row r="72" spans="2:67" x14ac:dyDescent="0.25">
      <c r="B72" s="232"/>
      <c r="C72" s="234"/>
      <c r="D72" s="248"/>
      <c r="E72" s="248"/>
      <c r="F72" s="248"/>
      <c r="G72" s="330"/>
      <c r="H72" s="304"/>
      <c r="I72" s="325"/>
      <c r="J72" s="384"/>
      <c r="K72" s="379"/>
      <c r="L72" s="295"/>
      <c r="M72" s="325"/>
      <c r="N72" s="304"/>
      <c r="O72" s="305"/>
      <c r="P72" s="295"/>
      <c r="Q72" s="305"/>
      <c r="R72" s="304"/>
      <c r="S72" s="305"/>
      <c r="T72" s="304"/>
      <c r="U72" s="305"/>
      <c r="V72" s="384"/>
      <c r="W72" s="379"/>
      <c r="X72" s="384"/>
      <c r="Y72" s="379"/>
      <c r="Z72" s="321"/>
      <c r="AA72" s="321"/>
      <c r="AB72" s="384"/>
      <c r="AC72" s="379"/>
      <c r="AD72" s="321"/>
      <c r="AE72" s="321"/>
      <c r="AF72" s="304"/>
      <c r="AG72" s="305"/>
      <c r="AH72" s="332"/>
      <c r="AT72" s="267" t="s">
        <v>819</v>
      </c>
      <c r="AV72" s="274">
        <f>BC76</f>
        <v>0</v>
      </c>
      <c r="AZ72" s="444" t="s">
        <v>782</v>
      </c>
      <c r="BA72" s="438"/>
      <c r="BB72" s="438"/>
      <c r="BC72" s="450">
        <v>0</v>
      </c>
      <c r="BD72" s="439"/>
    </row>
    <row r="73" spans="2:67" x14ac:dyDescent="0.25">
      <c r="B73" s="232" t="s">
        <v>720</v>
      </c>
      <c r="C73" s="234"/>
      <c r="D73" s="241">
        <f>D67-D70</f>
        <v>0</v>
      </c>
      <c r="E73" s="241">
        <f>E67-E70</f>
        <v>0</v>
      </c>
      <c r="F73" s="241">
        <f>F67-F70</f>
        <v>0</v>
      </c>
      <c r="G73" s="290">
        <f>G67-G70</f>
        <v>0</v>
      </c>
      <c r="H73" s="302"/>
      <c r="I73" s="284"/>
      <c r="J73" s="382"/>
      <c r="K73" s="383"/>
      <c r="L73" s="294"/>
      <c r="M73" s="284"/>
      <c r="N73" s="302"/>
      <c r="O73" s="303"/>
      <c r="P73" s="294"/>
      <c r="Q73" s="303"/>
      <c r="R73" s="302"/>
      <c r="S73" s="303"/>
      <c r="T73" s="302"/>
      <c r="U73" s="303"/>
      <c r="V73" s="382"/>
      <c r="W73" s="383"/>
      <c r="X73" s="382"/>
      <c r="Y73" s="383"/>
      <c r="Z73" s="320"/>
      <c r="AA73" s="320"/>
      <c r="AB73" s="382"/>
      <c r="AC73" s="383"/>
      <c r="AD73" s="320"/>
      <c r="AE73" s="320"/>
      <c r="AF73" s="302"/>
      <c r="AG73" s="303"/>
      <c r="AH73" s="314">
        <f>AH67-AH70</f>
        <v>0</v>
      </c>
      <c r="AZ73" s="444" t="s">
        <v>783</v>
      </c>
      <c r="BA73" s="442"/>
      <c r="BB73" s="442"/>
      <c r="BC73" s="363">
        <f>BC71-BC72</f>
        <v>0</v>
      </c>
      <c r="BD73" s="439"/>
    </row>
    <row r="74" spans="2:67" x14ac:dyDescent="0.25">
      <c r="B74" s="232" t="s">
        <v>95</v>
      </c>
      <c r="C74" s="234"/>
      <c r="D74" s="237"/>
      <c r="E74" s="237"/>
      <c r="F74" s="237"/>
      <c r="G74" s="285">
        <f>SUM(D74:F74)</f>
        <v>0</v>
      </c>
      <c r="H74" s="304"/>
      <c r="I74" s="325"/>
      <c r="J74" s="384"/>
      <c r="K74" s="379"/>
      <c r="L74" s="295"/>
      <c r="M74" s="325"/>
      <c r="N74" s="304"/>
      <c r="O74" s="305"/>
      <c r="P74" s="295"/>
      <c r="Q74" s="305"/>
      <c r="R74" s="304"/>
      <c r="S74" s="305"/>
      <c r="T74" s="304"/>
      <c r="U74" s="305"/>
      <c r="V74" s="384"/>
      <c r="W74" s="379"/>
      <c r="X74" s="384">
        <f>SUMIF($AT$81:$AT$82,"DR SPL - Other income",$AU$81:$AU$82)</f>
        <v>0</v>
      </c>
      <c r="Y74" s="379"/>
      <c r="Z74" s="321">
        <f>SUMIF($AT$86:$AT$97,"DR SPL - gain on sale",AU$86:AU$97)</f>
        <v>0</v>
      </c>
      <c r="AA74" s="321">
        <f>SUMIF($AT$86:$AT$97,"CR SPL - gain on sale",AV$86:AV$97)</f>
        <v>0</v>
      </c>
      <c r="AB74" s="384"/>
      <c r="AC74" s="379"/>
      <c r="AD74" s="321"/>
      <c r="AE74" s="321"/>
      <c r="AF74" s="304"/>
      <c r="AG74" s="305"/>
      <c r="AH74" s="311">
        <f>G74-H74-H75-H76+I76+I75+I74</f>
        <v>0</v>
      </c>
      <c r="AZ74" s="437"/>
      <c r="BA74" s="438"/>
      <c r="BB74" s="438"/>
      <c r="BC74" s="438"/>
      <c r="BD74" s="439"/>
    </row>
    <row r="75" spans="2:67" x14ac:dyDescent="0.25">
      <c r="B75" s="232"/>
      <c r="C75" s="234"/>
      <c r="D75" s="235"/>
      <c r="E75" s="235"/>
      <c r="F75" s="235"/>
      <c r="G75" s="284"/>
      <c r="H75" s="304"/>
      <c r="I75" s="325"/>
      <c r="J75" s="384"/>
      <c r="K75" s="379"/>
      <c r="L75" s="295"/>
      <c r="M75" s="325"/>
      <c r="N75" s="304"/>
      <c r="O75" s="305"/>
      <c r="P75" s="295"/>
      <c r="Q75" s="305"/>
      <c r="R75" s="304"/>
      <c r="S75" s="305"/>
      <c r="T75" s="304"/>
      <c r="U75" s="305"/>
      <c r="V75" s="384"/>
      <c r="W75" s="379"/>
      <c r="X75" s="384"/>
      <c r="Y75" s="379"/>
      <c r="Z75" s="321"/>
      <c r="AA75" s="321"/>
      <c r="AB75" s="384"/>
      <c r="AC75" s="379"/>
      <c r="AD75" s="321"/>
      <c r="AE75" s="321"/>
      <c r="AF75" s="304"/>
      <c r="AG75" s="305"/>
      <c r="AH75" s="294"/>
      <c r="AT75" s="267" t="s">
        <v>777</v>
      </c>
      <c r="AU75" s="274">
        <f>BC79</f>
        <v>0</v>
      </c>
      <c r="AZ75" s="444" t="s">
        <v>784</v>
      </c>
      <c r="BA75" s="438"/>
      <c r="BB75" s="438"/>
      <c r="BC75" s="52">
        <v>0</v>
      </c>
      <c r="BD75" s="439"/>
    </row>
    <row r="76" spans="2:67" ht="15.75" thickBot="1" x14ac:dyDescent="0.3">
      <c r="B76" s="232"/>
      <c r="C76" s="234"/>
      <c r="D76" s="235"/>
      <c r="E76" s="235"/>
      <c r="F76" s="235"/>
      <c r="G76" s="284"/>
      <c r="H76" s="304"/>
      <c r="I76" s="325"/>
      <c r="J76" s="384"/>
      <c r="K76" s="379"/>
      <c r="L76" s="295"/>
      <c r="M76" s="325"/>
      <c r="N76" s="304"/>
      <c r="O76" s="305"/>
      <c r="P76" s="295"/>
      <c r="Q76" s="305"/>
      <c r="R76" s="304"/>
      <c r="S76" s="305"/>
      <c r="T76" s="304"/>
      <c r="U76" s="305"/>
      <c r="V76" s="384"/>
      <c r="W76" s="379"/>
      <c r="X76" s="384"/>
      <c r="Y76" s="379"/>
      <c r="Z76" s="321"/>
      <c r="AA76" s="321"/>
      <c r="AB76" s="384"/>
      <c r="AC76" s="379"/>
      <c r="AD76" s="321"/>
      <c r="AE76" s="321"/>
      <c r="AF76" s="304"/>
      <c r="AG76" s="305"/>
      <c r="AH76" s="294"/>
      <c r="AT76" s="267" t="s">
        <v>713</v>
      </c>
      <c r="AV76" s="274">
        <f>BC79</f>
        <v>0</v>
      </c>
      <c r="AZ76" s="444" t="s">
        <v>785</v>
      </c>
      <c r="BA76" s="438"/>
      <c r="BB76" s="438"/>
      <c r="BC76" s="366">
        <f>BC73-BC75</f>
        <v>0</v>
      </c>
      <c r="BD76" s="439"/>
      <c r="BE76" s="401" t="s">
        <v>1581</v>
      </c>
    </row>
    <row r="77" spans="2:67" ht="15.75" thickTop="1" x14ac:dyDescent="0.25">
      <c r="B77" s="232" t="s">
        <v>721</v>
      </c>
      <c r="C77" s="234"/>
      <c r="D77" s="249"/>
      <c r="E77" s="249"/>
      <c r="F77" s="249"/>
      <c r="G77" s="285">
        <f>SUM(D77:F77)</f>
        <v>0</v>
      </c>
      <c r="H77" s="304"/>
      <c r="I77" s="325"/>
      <c r="J77" s="384"/>
      <c r="K77" s="379"/>
      <c r="L77" s="295"/>
      <c r="M77" s="325"/>
      <c r="N77" s="304"/>
      <c r="O77" s="305"/>
      <c r="P77" s="295"/>
      <c r="Q77" s="305"/>
      <c r="R77" s="304"/>
      <c r="S77" s="305"/>
      <c r="T77" s="304"/>
      <c r="U77" s="305"/>
      <c r="V77" s="384"/>
      <c r="W77" s="379"/>
      <c r="X77" s="384"/>
      <c r="Y77" s="379"/>
      <c r="Z77" s="321"/>
      <c r="AA77" s="321"/>
      <c r="AB77" s="384"/>
      <c r="AC77" s="379"/>
      <c r="AD77" s="321"/>
      <c r="AE77" s="321"/>
      <c r="AF77" s="304"/>
      <c r="AG77" s="305"/>
      <c r="AH77" s="311">
        <f>G77+H77+H78+H79-I79-I78-I77</f>
        <v>0</v>
      </c>
      <c r="AZ77" s="437"/>
      <c r="BA77" s="438"/>
      <c r="BB77" s="438"/>
      <c r="BC77" s="438"/>
      <c r="BD77" s="439"/>
      <c r="BE77" s="401" t="s">
        <v>1582</v>
      </c>
    </row>
    <row r="78" spans="2:67" x14ac:dyDescent="0.25">
      <c r="B78" s="232"/>
      <c r="C78" s="234"/>
      <c r="D78" s="235"/>
      <c r="E78" s="235"/>
      <c r="F78" s="235"/>
      <c r="G78" s="284"/>
      <c r="H78" s="304"/>
      <c r="I78" s="325"/>
      <c r="J78" s="384"/>
      <c r="K78" s="379"/>
      <c r="L78" s="295"/>
      <c r="M78" s="325"/>
      <c r="N78" s="304"/>
      <c r="O78" s="305"/>
      <c r="P78" s="295"/>
      <c r="Q78" s="305"/>
      <c r="R78" s="304"/>
      <c r="S78" s="305"/>
      <c r="T78" s="304"/>
      <c r="U78" s="305"/>
      <c r="V78" s="384"/>
      <c r="W78" s="379"/>
      <c r="X78" s="384"/>
      <c r="Y78" s="379"/>
      <c r="Z78" s="321"/>
      <c r="AA78" s="321"/>
      <c r="AB78" s="384"/>
      <c r="AC78" s="379"/>
      <c r="AD78" s="321"/>
      <c r="AE78" s="321"/>
      <c r="AF78" s="304"/>
      <c r="AG78" s="305"/>
      <c r="AH78" s="294"/>
      <c r="AZ78" s="444"/>
      <c r="BA78" s="442"/>
      <c r="BB78" s="442"/>
      <c r="BC78" s="442"/>
      <c r="BD78" s="439"/>
    </row>
    <row r="79" spans="2:67" ht="15.75" thickBot="1" x14ac:dyDescent="0.3">
      <c r="B79" s="232"/>
      <c r="C79" s="234"/>
      <c r="D79" s="235"/>
      <c r="E79" s="235"/>
      <c r="F79" s="235"/>
      <c r="G79" s="284"/>
      <c r="H79" s="304"/>
      <c r="I79" s="325"/>
      <c r="J79" s="384"/>
      <c r="K79" s="379"/>
      <c r="L79" s="295"/>
      <c r="M79" s="325"/>
      <c r="N79" s="304"/>
      <c r="O79" s="305"/>
      <c r="P79" s="295"/>
      <c r="Q79" s="305"/>
      <c r="R79" s="304"/>
      <c r="S79" s="305"/>
      <c r="T79" s="304"/>
      <c r="U79" s="305"/>
      <c r="V79" s="384"/>
      <c r="W79" s="379"/>
      <c r="X79" s="384"/>
      <c r="Y79" s="379"/>
      <c r="Z79" s="321"/>
      <c r="AA79" s="321"/>
      <c r="AB79" s="384"/>
      <c r="AC79" s="379"/>
      <c r="AD79" s="321"/>
      <c r="AE79" s="321"/>
      <c r="AF79" s="304"/>
      <c r="AG79" s="305"/>
      <c r="AH79" s="294"/>
      <c r="AZ79" s="453" t="s">
        <v>786</v>
      </c>
      <c r="BA79" s="454"/>
      <c r="BB79" s="454"/>
      <c r="BC79" s="461">
        <f>IF(AZ70="Sub -&gt; Parent",BC76*BC11,0)</f>
        <v>0</v>
      </c>
      <c r="BD79" s="447"/>
      <c r="BE79" s="401" t="s">
        <v>1583</v>
      </c>
    </row>
    <row r="80" spans="2:67" ht="15.75" thickBot="1" x14ac:dyDescent="0.3">
      <c r="B80" s="232" t="s">
        <v>722</v>
      </c>
      <c r="C80" s="234"/>
      <c r="D80" s="249"/>
      <c r="E80" s="249"/>
      <c r="F80" s="249"/>
      <c r="G80" s="285">
        <f>SUM(D80:F80)</f>
        <v>0</v>
      </c>
      <c r="H80" s="304"/>
      <c r="I80" s="325"/>
      <c r="J80" s="384"/>
      <c r="K80" s="379"/>
      <c r="L80" s="295"/>
      <c r="M80" s="325"/>
      <c r="N80" s="304"/>
      <c r="O80" s="305"/>
      <c r="P80" s="295"/>
      <c r="Q80" s="305"/>
      <c r="R80" s="304">
        <f>SUMIF($AT$33:$AT$35,"DR SPL - Impairment loss",$AU$33:$AU$35)</f>
        <v>0</v>
      </c>
      <c r="S80" s="305">
        <f>SUMIF($AT$33:$AT$35,"CR SPL - Impairment loss",$AU$33:$AU$35)</f>
        <v>0</v>
      </c>
      <c r="T80" s="304">
        <f>SUMIF($AT$61:$AT$65,"DR SPL - Impairment loss",$AU$61:$AU$65)+SUMIF($AT$61:$AT$65,"DR SPL - Administrative Expenses",$AU$61:$AU$65)</f>
        <v>0</v>
      </c>
      <c r="U80" s="305">
        <f>SUMIF($AT$61:$AT$65,"CR SPL - Impairment loss",$AV$61:$AV$65)+SUMIF($AT$61:$AT$65,"CR SPL - Administrative Expenses",$AV$61:$AV$65)</f>
        <v>0</v>
      </c>
      <c r="V80" s="384"/>
      <c r="W80" s="379"/>
      <c r="X80" s="384"/>
      <c r="Y80" s="379">
        <f>-SUMIF($AT$81:$AT$82,"CR SPL - Administrative expenses",$AV$81:$AV$82)</f>
        <v>0</v>
      </c>
      <c r="Z80" s="321">
        <f>SUMIF($AT$86:$AT$97,"DR SPL - depreciation charge",AU$86:AU$97)</f>
        <v>0</v>
      </c>
      <c r="AA80" s="321">
        <f>SUMIF($AT$86:$AT$97,"CR SPL - depreciation charge",AV$86:AV$97)</f>
        <v>0</v>
      </c>
      <c r="AB80" s="384"/>
      <c r="AC80" s="379"/>
      <c r="AD80" s="304">
        <f>SUMIF($AT$109:$AT$116,"DR SPL - depreciation charge",$AU$109:$AU$116)</f>
        <v>0</v>
      </c>
      <c r="AE80" s="305">
        <f>-SUMIF($AT$109:$AT$116,"CR SPL - depreciation charge",$AV$109:$AV$116)</f>
        <v>0</v>
      </c>
      <c r="AF80" s="304"/>
      <c r="AG80" s="305"/>
      <c r="AH80" s="311">
        <f>G80+SUM(H80:AG80)</f>
        <v>0</v>
      </c>
    </row>
    <row r="81" spans="2:67" ht="16.5" thickBot="1" x14ac:dyDescent="0.3">
      <c r="B81" s="232"/>
      <c r="C81" s="234"/>
      <c r="D81" s="235"/>
      <c r="E81" s="235"/>
      <c r="F81" s="235"/>
      <c r="G81" s="284"/>
      <c r="H81" s="304"/>
      <c r="I81" s="325"/>
      <c r="J81" s="384"/>
      <c r="K81" s="379"/>
      <c r="L81" s="295"/>
      <c r="M81" s="325"/>
      <c r="N81" s="304"/>
      <c r="O81" s="305"/>
      <c r="P81" s="295"/>
      <c r="Q81" s="305"/>
      <c r="R81" s="304"/>
      <c r="S81" s="305"/>
      <c r="T81" s="304"/>
      <c r="U81" s="305"/>
      <c r="V81" s="384"/>
      <c r="W81" s="379"/>
      <c r="X81" s="384"/>
      <c r="Y81" s="379"/>
      <c r="Z81" s="321"/>
      <c r="AA81" s="321"/>
      <c r="AB81" s="384"/>
      <c r="AC81" s="379"/>
      <c r="AD81" s="321"/>
      <c r="AE81" s="321"/>
      <c r="AF81" s="304"/>
      <c r="AG81" s="305"/>
      <c r="AH81" s="294"/>
      <c r="AS81" s="276">
        <v>9</v>
      </c>
      <c r="AT81" s="267" t="s">
        <v>1093</v>
      </c>
      <c r="AU81" s="274">
        <f>BC82</f>
        <v>0</v>
      </c>
      <c r="AZ81" s="448" t="s">
        <v>790</v>
      </c>
      <c r="BA81" s="425"/>
      <c r="BB81" s="425"/>
      <c r="BC81" s="425"/>
      <c r="BD81" s="427"/>
    </row>
    <row r="82" spans="2:67" x14ac:dyDescent="0.25">
      <c r="B82" s="232" t="s">
        <v>939</v>
      </c>
      <c r="C82" s="234"/>
      <c r="D82" s="235"/>
      <c r="E82" s="235"/>
      <c r="F82" s="235"/>
      <c r="G82" s="284"/>
      <c r="H82" s="304"/>
      <c r="I82" s="325"/>
      <c r="J82" s="384"/>
      <c r="K82" s="379"/>
      <c r="L82" s="295"/>
      <c r="M82" s="325"/>
      <c r="N82" s="304"/>
      <c r="O82" s="305"/>
      <c r="P82" s="295"/>
      <c r="Q82" s="305"/>
      <c r="R82" s="304"/>
      <c r="S82" s="305"/>
      <c r="T82" s="304"/>
      <c r="U82" s="305"/>
      <c r="V82" s="384"/>
      <c r="W82" s="379"/>
      <c r="X82" s="384"/>
      <c r="Y82" s="379"/>
      <c r="Z82" s="321"/>
      <c r="AA82" s="321"/>
      <c r="AB82" s="384">
        <f>SUMIF($AT$100:$AT$104,"DR SPL - Loss on disposal",$AU$100:$AU$104)</f>
        <v>0</v>
      </c>
      <c r="AC82" s="379">
        <f>-SUMIF($AT$100:$AT$104,"CR SPL - gain on disposal",$AU$100:$AU$104)</f>
        <v>0</v>
      </c>
      <c r="AD82" s="321"/>
      <c r="AE82" s="321"/>
      <c r="AF82" s="304"/>
      <c r="AG82" s="305"/>
      <c r="AH82" s="294"/>
      <c r="AT82" s="267" t="s">
        <v>1094</v>
      </c>
      <c r="AV82" s="274">
        <f>BC82</f>
        <v>0</v>
      </c>
      <c r="AZ82" s="444" t="s">
        <v>1092</v>
      </c>
      <c r="BA82" s="442"/>
      <c r="BB82" s="442"/>
      <c r="BC82" s="450"/>
      <c r="BD82" s="439"/>
    </row>
    <row r="83" spans="2:67" ht="15.75" thickBot="1" x14ac:dyDescent="0.3">
      <c r="B83" s="232"/>
      <c r="C83" s="234"/>
      <c r="D83" s="235"/>
      <c r="E83" s="235"/>
      <c r="F83" s="235"/>
      <c r="G83" s="284"/>
      <c r="H83" s="304"/>
      <c r="I83" s="325"/>
      <c r="J83" s="384"/>
      <c r="K83" s="379"/>
      <c r="L83" s="295"/>
      <c r="M83" s="325"/>
      <c r="N83" s="304"/>
      <c r="O83" s="305"/>
      <c r="P83" s="295"/>
      <c r="Q83" s="305"/>
      <c r="R83" s="304"/>
      <c r="S83" s="305"/>
      <c r="T83" s="304"/>
      <c r="U83" s="305"/>
      <c r="V83" s="384"/>
      <c r="W83" s="379"/>
      <c r="X83" s="384"/>
      <c r="Y83" s="379"/>
      <c r="Z83" s="321"/>
      <c r="AA83" s="321"/>
      <c r="AB83" s="384"/>
      <c r="AC83" s="379"/>
      <c r="AD83" s="321"/>
      <c r="AE83" s="321"/>
      <c r="AF83" s="304"/>
      <c r="AG83" s="305"/>
      <c r="AH83" s="294"/>
      <c r="AZ83" s="453"/>
      <c r="BA83" s="454"/>
      <c r="BB83" s="454"/>
      <c r="BC83" s="454"/>
      <c r="BD83" s="447"/>
    </row>
    <row r="84" spans="2:67" ht="15.75" thickBot="1" x14ac:dyDescent="0.3">
      <c r="B84" s="232"/>
      <c r="C84" s="234"/>
      <c r="D84" s="235"/>
      <c r="E84" s="235"/>
      <c r="F84" s="235"/>
      <c r="G84" s="284"/>
      <c r="H84" s="304"/>
      <c r="I84" s="325"/>
      <c r="J84" s="384"/>
      <c r="K84" s="379"/>
      <c r="L84" s="295"/>
      <c r="M84" s="325"/>
      <c r="N84" s="304"/>
      <c r="O84" s="305"/>
      <c r="P84" s="295"/>
      <c r="Q84" s="305"/>
      <c r="R84" s="304"/>
      <c r="S84" s="305"/>
      <c r="T84" s="304"/>
      <c r="U84" s="305"/>
      <c r="V84" s="384"/>
      <c r="W84" s="379"/>
      <c r="X84" s="384"/>
      <c r="Y84" s="379"/>
      <c r="Z84" s="321"/>
      <c r="AA84" s="321"/>
      <c r="AB84" s="384"/>
      <c r="AC84" s="379"/>
      <c r="AD84" s="321"/>
      <c r="AE84" s="321"/>
      <c r="AF84" s="304"/>
      <c r="AG84" s="305"/>
      <c r="AH84" s="294"/>
    </row>
    <row r="85" spans="2:67" ht="16.5" thickBot="1" x14ac:dyDescent="0.3">
      <c r="B85" s="232" t="s">
        <v>723</v>
      </c>
      <c r="C85" s="234"/>
      <c r="D85" s="236"/>
      <c r="E85" s="236"/>
      <c r="F85" s="236"/>
      <c r="G85" s="285">
        <f>SUM(D85:F85)</f>
        <v>0</v>
      </c>
      <c r="H85" s="304"/>
      <c r="I85" s="325"/>
      <c r="J85" s="384"/>
      <c r="K85" s="379"/>
      <c r="L85" s="295"/>
      <c r="M85" s="325"/>
      <c r="N85" s="304"/>
      <c r="O85" s="305"/>
      <c r="P85" s="295"/>
      <c r="Q85" s="305"/>
      <c r="R85" s="304"/>
      <c r="S85" s="305"/>
      <c r="T85" s="304"/>
      <c r="U85" s="305"/>
      <c r="V85" s="384"/>
      <c r="W85" s="379"/>
      <c r="X85" s="384"/>
      <c r="Y85" s="379"/>
      <c r="Z85" s="321"/>
      <c r="AA85" s="321"/>
      <c r="AB85" s="384"/>
      <c r="AC85" s="379"/>
      <c r="AD85" s="321"/>
      <c r="AE85" s="321"/>
      <c r="AF85" s="304"/>
      <c r="AG85" s="305"/>
      <c r="AH85" s="311">
        <f>G85+H85+H86+H87-I87-I86-I85</f>
        <v>0</v>
      </c>
      <c r="AZ85" s="448" t="s">
        <v>793</v>
      </c>
      <c r="BA85" s="425"/>
      <c r="BB85" s="425"/>
      <c r="BC85" s="425"/>
      <c r="BD85" s="427"/>
      <c r="BE85" s="401" t="s">
        <v>794</v>
      </c>
    </row>
    <row r="86" spans="2:67" ht="16.5" thickBot="1" x14ac:dyDescent="0.3">
      <c r="B86" s="232"/>
      <c r="C86" s="234"/>
      <c r="D86" s="235"/>
      <c r="E86" s="235"/>
      <c r="F86" s="235"/>
      <c r="G86" s="284"/>
      <c r="H86" s="304"/>
      <c r="I86" s="325"/>
      <c r="J86" s="384"/>
      <c r="K86" s="379"/>
      <c r="L86" s="295"/>
      <c r="M86" s="325"/>
      <c r="N86" s="304"/>
      <c r="O86" s="305"/>
      <c r="P86" s="295"/>
      <c r="Q86" s="305"/>
      <c r="R86" s="304"/>
      <c r="S86" s="305"/>
      <c r="T86" s="304"/>
      <c r="U86" s="305"/>
      <c r="V86" s="384"/>
      <c r="W86" s="379"/>
      <c r="X86" s="384"/>
      <c r="Y86" s="379"/>
      <c r="Z86" s="321"/>
      <c r="AA86" s="321"/>
      <c r="AB86" s="384"/>
      <c r="AC86" s="379"/>
      <c r="AD86" s="321"/>
      <c r="AE86" s="321"/>
      <c r="AF86" s="304"/>
      <c r="AG86" s="305"/>
      <c r="AH86" s="294"/>
      <c r="AS86" s="276">
        <v>10</v>
      </c>
      <c r="AT86" s="267" t="s">
        <v>801</v>
      </c>
      <c r="AU86" s="274">
        <f>BC92</f>
        <v>0</v>
      </c>
      <c r="AZ86" s="460" t="s">
        <v>799</v>
      </c>
      <c r="BA86" s="442"/>
      <c r="BB86" s="442"/>
      <c r="BC86" s="442"/>
      <c r="BD86" s="439"/>
      <c r="BE86" s="401" t="s">
        <v>795</v>
      </c>
    </row>
    <row r="87" spans="2:67" x14ac:dyDescent="0.25">
      <c r="B87" s="232"/>
      <c r="C87" s="234"/>
      <c r="D87" s="235"/>
      <c r="E87" s="235"/>
      <c r="F87" s="235"/>
      <c r="G87" s="284"/>
      <c r="H87" s="304"/>
      <c r="I87" s="325"/>
      <c r="J87" s="384"/>
      <c r="K87" s="379"/>
      <c r="L87" s="295"/>
      <c r="M87" s="325"/>
      <c r="N87" s="304"/>
      <c r="O87" s="305"/>
      <c r="P87" s="295"/>
      <c r="Q87" s="305"/>
      <c r="R87" s="304"/>
      <c r="S87" s="305"/>
      <c r="T87" s="304"/>
      <c r="U87" s="305"/>
      <c r="V87" s="384"/>
      <c r="W87" s="379"/>
      <c r="X87" s="384"/>
      <c r="Y87" s="379"/>
      <c r="Z87" s="321"/>
      <c r="AA87" s="321"/>
      <c r="AB87" s="384"/>
      <c r="AC87" s="379"/>
      <c r="AD87" s="321"/>
      <c r="AE87" s="321"/>
      <c r="AF87" s="304"/>
      <c r="AG87" s="305"/>
      <c r="AH87" s="294"/>
      <c r="AT87" s="267" t="str">
        <f>IF(AU86-AV88&gt;0,"CR PPE - Cost","DR PPE - Cost")</f>
        <v>DR PPE - Cost</v>
      </c>
      <c r="AU87" s="274">
        <f>IF($AU$86-$AV$88&gt;0,0,$AV$88-$AU$86)</f>
        <v>0</v>
      </c>
      <c r="AV87" s="274">
        <f>IF($AU$86-$AV$88&lt;0,0,$AU$86-$AV$88)</f>
        <v>0</v>
      </c>
      <c r="AZ87" s="444" t="s">
        <v>797</v>
      </c>
      <c r="BA87" s="442"/>
      <c r="BB87" s="442"/>
      <c r="BC87" s="459"/>
      <c r="BD87" s="439"/>
      <c r="BE87" s="401" t="s">
        <v>796</v>
      </c>
    </row>
    <row r="88" spans="2:67" x14ac:dyDescent="0.25">
      <c r="B88" s="232" t="s">
        <v>631</v>
      </c>
      <c r="C88" s="234"/>
      <c r="D88" s="249"/>
      <c r="E88" s="249"/>
      <c r="F88" s="249"/>
      <c r="G88" s="285">
        <f>SUM(D88:F88)</f>
        <v>0</v>
      </c>
      <c r="H88" s="304"/>
      <c r="I88" s="325"/>
      <c r="J88" s="384"/>
      <c r="K88" s="379"/>
      <c r="L88" s="295"/>
      <c r="M88" s="325"/>
      <c r="N88" s="304"/>
      <c r="O88" s="305"/>
      <c r="P88" s="295"/>
      <c r="Q88" s="305"/>
      <c r="R88" s="304"/>
      <c r="S88" s="305"/>
      <c r="T88" s="304"/>
      <c r="U88" s="305"/>
      <c r="V88" s="384"/>
      <c r="W88" s="379"/>
      <c r="X88" s="384"/>
      <c r="Y88" s="379"/>
      <c r="Z88" s="321"/>
      <c r="AA88" s="321"/>
      <c r="AB88" s="384"/>
      <c r="AC88" s="379"/>
      <c r="AD88" s="304">
        <f>SUMIF($AT$109:$AT$116,"DR SPL - Finance costs",$AU$109:$AU$116)</f>
        <v>0</v>
      </c>
      <c r="AE88" s="305">
        <f>-SUMIF($AT$109:$AT$116,"CR SPL - Finance costs",$AV$109:$AV$116)</f>
        <v>0</v>
      </c>
      <c r="AF88" s="304"/>
      <c r="AG88" s="305"/>
      <c r="AH88" s="311">
        <f>G88+H88+H89+H90-I90-I89-I88</f>
        <v>0</v>
      </c>
      <c r="AT88" s="267" t="s">
        <v>802</v>
      </c>
      <c r="AV88" s="274">
        <f>BC90</f>
        <v>0</v>
      </c>
      <c r="AZ88" s="444"/>
      <c r="BA88" s="442"/>
      <c r="BB88" s="442"/>
      <c r="BC88" s="442"/>
      <c r="BD88" s="439"/>
      <c r="BE88" s="401" t="s">
        <v>812</v>
      </c>
    </row>
    <row r="89" spans="2:67" x14ac:dyDescent="0.25">
      <c r="B89" s="232"/>
      <c r="C89" s="234"/>
      <c r="D89" s="235"/>
      <c r="E89" s="235"/>
      <c r="F89" s="235"/>
      <c r="G89" s="284"/>
      <c r="H89" s="304"/>
      <c r="I89" s="325"/>
      <c r="J89" s="384"/>
      <c r="K89" s="379"/>
      <c r="L89" s="295"/>
      <c r="M89" s="325"/>
      <c r="N89" s="304"/>
      <c r="O89" s="305"/>
      <c r="P89" s="295"/>
      <c r="Q89" s="305"/>
      <c r="R89" s="304"/>
      <c r="S89" s="305"/>
      <c r="T89" s="304"/>
      <c r="U89" s="305"/>
      <c r="V89" s="384"/>
      <c r="W89" s="379"/>
      <c r="X89" s="384"/>
      <c r="Y89" s="379"/>
      <c r="Z89" s="321"/>
      <c r="AA89" s="321"/>
      <c r="AB89" s="384"/>
      <c r="AC89" s="379"/>
      <c r="AD89" s="321"/>
      <c r="AE89" s="321"/>
      <c r="AF89" s="304"/>
      <c r="AG89" s="305"/>
      <c r="AH89" s="294"/>
      <c r="AZ89" s="444" t="s">
        <v>193</v>
      </c>
      <c r="BA89" s="442"/>
      <c r="BB89" s="442"/>
      <c r="BC89" s="450"/>
      <c r="BD89" s="439"/>
      <c r="BO89" s="400"/>
    </row>
    <row r="90" spans="2:67" x14ac:dyDescent="0.25">
      <c r="B90" s="232"/>
      <c r="C90" s="234"/>
      <c r="D90" s="235"/>
      <c r="E90" s="235"/>
      <c r="F90" s="235"/>
      <c r="G90" s="284"/>
      <c r="H90" s="304"/>
      <c r="I90" s="325"/>
      <c r="J90" s="384"/>
      <c r="K90" s="379"/>
      <c r="L90" s="295"/>
      <c r="M90" s="325"/>
      <c r="N90" s="304"/>
      <c r="O90" s="305"/>
      <c r="P90" s="295"/>
      <c r="Q90" s="305"/>
      <c r="R90" s="304"/>
      <c r="S90" s="305"/>
      <c r="T90" s="304"/>
      <c r="U90" s="305"/>
      <c r="V90" s="384"/>
      <c r="W90" s="379"/>
      <c r="X90" s="384"/>
      <c r="Y90" s="379"/>
      <c r="Z90" s="321"/>
      <c r="AA90" s="321"/>
      <c r="AB90" s="384"/>
      <c r="AC90" s="379"/>
      <c r="AD90" s="321"/>
      <c r="AE90" s="321"/>
      <c r="AF90" s="304"/>
      <c r="AG90" s="305"/>
      <c r="AH90" s="294"/>
      <c r="AT90" s="267" t="s">
        <v>821</v>
      </c>
      <c r="AU90" s="274">
        <f>BC93</f>
        <v>0</v>
      </c>
      <c r="AZ90" s="444" t="s">
        <v>806</v>
      </c>
      <c r="BA90" s="442"/>
      <c r="BB90" s="442"/>
      <c r="BC90" s="450"/>
      <c r="BD90" s="439"/>
      <c r="BO90" s="400"/>
    </row>
    <row r="91" spans="2:67" x14ac:dyDescent="0.25">
      <c r="B91" s="232" t="s">
        <v>647</v>
      </c>
      <c r="C91" s="234"/>
      <c r="D91" s="236"/>
      <c r="E91" s="236"/>
      <c r="F91" s="236"/>
      <c r="G91" s="285">
        <f>SUM(D91:F91)</f>
        <v>0</v>
      </c>
      <c r="H91" s="304"/>
      <c r="I91" s="325"/>
      <c r="J91" s="384"/>
      <c r="K91" s="379"/>
      <c r="L91" s="295"/>
      <c r="M91" s="325"/>
      <c r="N91" s="304"/>
      <c r="O91" s="305"/>
      <c r="P91" s="295"/>
      <c r="Q91" s="305"/>
      <c r="R91" s="304">
        <f>SUMIF($AT$54:$AT$58,"DR Finance Income",$AU$54:$AU$58)</f>
        <v>0</v>
      </c>
      <c r="S91" s="305">
        <f>-SUMIF($AT$54:$AT$58,"CR Finance Income",$AV$54:$AV$58)</f>
        <v>0</v>
      </c>
      <c r="T91" s="304">
        <f>SUMIF($AT$61:$AT$65,"DR Finance Income",$AU$61:$AU$65)</f>
        <v>0</v>
      </c>
      <c r="U91" s="305">
        <f>-SUMIF($AT$61:$AT$65,"CR Finance Income",$AV$61:$AV$65)</f>
        <v>0</v>
      </c>
      <c r="V91" s="384"/>
      <c r="W91" s="379"/>
      <c r="X91" s="384"/>
      <c r="Y91" s="379"/>
      <c r="Z91" s="321"/>
      <c r="AA91" s="321"/>
      <c r="AB91" s="384"/>
      <c r="AC91" s="379"/>
      <c r="AD91" s="321"/>
      <c r="AE91" s="321"/>
      <c r="AF91" s="304"/>
      <c r="AG91" s="305"/>
      <c r="AH91" s="311">
        <f>G91-SUM(H91:AG91)</f>
        <v>0</v>
      </c>
      <c r="AT91" s="267" t="s">
        <v>822</v>
      </c>
      <c r="AV91" s="274">
        <f>BC93</f>
        <v>0</v>
      </c>
      <c r="AZ91" s="444" t="s">
        <v>798</v>
      </c>
      <c r="BA91" s="442"/>
      <c r="BB91" s="442"/>
      <c r="BC91" s="376">
        <f>BC89-BC90</f>
        <v>0</v>
      </c>
      <c r="BD91" s="439"/>
      <c r="BO91" s="400"/>
    </row>
    <row r="92" spans="2:67" x14ac:dyDescent="0.25">
      <c r="B92" s="232"/>
      <c r="C92" s="234"/>
      <c r="D92" s="235"/>
      <c r="E92" s="235"/>
      <c r="F92" s="235"/>
      <c r="G92" s="284"/>
      <c r="H92" s="304"/>
      <c r="I92" s="325"/>
      <c r="J92" s="384"/>
      <c r="K92" s="379"/>
      <c r="L92" s="295"/>
      <c r="M92" s="325"/>
      <c r="N92" s="304"/>
      <c r="O92" s="305"/>
      <c r="P92" s="295"/>
      <c r="Q92" s="305"/>
      <c r="R92" s="304"/>
      <c r="S92" s="305"/>
      <c r="T92" s="304"/>
      <c r="U92" s="305"/>
      <c r="V92" s="384"/>
      <c r="W92" s="379"/>
      <c r="X92" s="384"/>
      <c r="Y92" s="379"/>
      <c r="Z92" s="321"/>
      <c r="AA92" s="321"/>
      <c r="AB92" s="384"/>
      <c r="AC92" s="379"/>
      <c r="AD92" s="321"/>
      <c r="AE92" s="321"/>
      <c r="AF92" s="304"/>
      <c r="AG92" s="305"/>
      <c r="AH92" s="294"/>
      <c r="AZ92" s="444" t="s">
        <v>800</v>
      </c>
      <c r="BA92" s="442"/>
      <c r="BB92" s="442"/>
      <c r="BC92" s="363">
        <f>BC87-BC91</f>
        <v>0</v>
      </c>
      <c r="BD92" s="439"/>
      <c r="BO92" s="400"/>
    </row>
    <row r="93" spans="2:67" ht="15.75" x14ac:dyDescent="0.25">
      <c r="B93" s="232"/>
      <c r="C93" s="234"/>
      <c r="D93" s="250"/>
      <c r="E93" s="250"/>
      <c r="F93" s="250"/>
      <c r="G93" s="354"/>
      <c r="H93" s="304"/>
      <c r="I93" s="325"/>
      <c r="J93" s="384"/>
      <c r="K93" s="379"/>
      <c r="L93" s="295"/>
      <c r="M93" s="325"/>
      <c r="N93" s="304"/>
      <c r="O93" s="305"/>
      <c r="P93" s="295"/>
      <c r="Q93" s="305"/>
      <c r="R93" s="304"/>
      <c r="S93" s="305"/>
      <c r="T93" s="304"/>
      <c r="U93" s="305"/>
      <c r="V93" s="384"/>
      <c r="W93" s="379"/>
      <c r="X93" s="384"/>
      <c r="Y93" s="379"/>
      <c r="Z93" s="321"/>
      <c r="AA93" s="321"/>
      <c r="AB93" s="384"/>
      <c r="AC93" s="379"/>
      <c r="AD93" s="321"/>
      <c r="AE93" s="321"/>
      <c r="AF93" s="304"/>
      <c r="AG93" s="305"/>
      <c r="AH93" s="333"/>
      <c r="AT93" s="267" t="s">
        <v>808</v>
      </c>
      <c r="AU93" s="274">
        <f>BC96</f>
        <v>0</v>
      </c>
      <c r="AZ93" s="774" t="s">
        <v>820</v>
      </c>
      <c r="BA93" s="442"/>
      <c r="BB93" s="442"/>
      <c r="BC93" s="451">
        <f>BC92*BC11</f>
        <v>0</v>
      </c>
      <c r="BD93" s="439"/>
      <c r="BE93" s="401" t="s">
        <v>872</v>
      </c>
      <c r="BO93" s="400"/>
    </row>
    <row r="94" spans="2:67" ht="15.75" x14ac:dyDescent="0.25">
      <c r="B94" s="229" t="s">
        <v>724</v>
      </c>
      <c r="C94" s="234" t="s">
        <v>725</v>
      </c>
      <c r="D94" s="243">
        <f>D73+D74-D77-D80-D85-D88+D91</f>
        <v>0</v>
      </c>
      <c r="E94" s="243">
        <f>E73+E74-E77-E80-E85-E88+E91</f>
        <v>0</v>
      </c>
      <c r="F94" s="243">
        <f>F73+F74-F77-F80-F85-F88+F91</f>
        <v>0</v>
      </c>
      <c r="G94" s="291">
        <f>G73+G74-G77-G80-G85-G88+G91</f>
        <v>0</v>
      </c>
      <c r="H94" s="302"/>
      <c r="I94" s="284"/>
      <c r="J94" s="382"/>
      <c r="K94" s="383"/>
      <c r="L94" s="294"/>
      <c r="M94" s="284"/>
      <c r="N94" s="302"/>
      <c r="O94" s="303"/>
      <c r="P94" s="294"/>
      <c r="Q94" s="303"/>
      <c r="R94" s="302"/>
      <c r="S94" s="303"/>
      <c r="T94" s="302"/>
      <c r="U94" s="303"/>
      <c r="V94" s="382"/>
      <c r="W94" s="383"/>
      <c r="X94" s="382"/>
      <c r="Y94" s="383"/>
      <c r="Z94" s="320"/>
      <c r="AA94" s="320"/>
      <c r="AB94" s="382"/>
      <c r="AC94" s="383"/>
      <c r="AD94" s="320"/>
      <c r="AE94" s="320"/>
      <c r="AF94" s="302"/>
      <c r="AG94" s="303"/>
      <c r="AH94" s="315">
        <f>AH73+AH74-AH77-AH80-AH85-AH88+AH91</f>
        <v>0</v>
      </c>
      <c r="AT94" s="267" t="s">
        <v>809</v>
      </c>
      <c r="AV94" s="274">
        <f>BC96</f>
        <v>0</v>
      </c>
      <c r="AZ94" s="444" t="s">
        <v>803</v>
      </c>
      <c r="BA94" s="442"/>
      <c r="BB94" s="442"/>
      <c r="BC94" s="450"/>
      <c r="BD94" s="439"/>
    </row>
    <row r="95" spans="2:67" x14ac:dyDescent="0.25">
      <c r="B95" s="232" t="s">
        <v>1</v>
      </c>
      <c r="C95" s="234" t="s">
        <v>726</v>
      </c>
      <c r="D95" s="251"/>
      <c r="E95" s="251"/>
      <c r="F95" s="251"/>
      <c r="G95" s="355">
        <f>SUM(D95:F95)</f>
        <v>0</v>
      </c>
      <c r="H95" s="343"/>
      <c r="I95" s="326"/>
      <c r="J95" s="404"/>
      <c r="K95" s="405"/>
      <c r="L95" s="360"/>
      <c r="M95" s="326"/>
      <c r="N95" s="343"/>
      <c r="O95" s="344"/>
      <c r="P95" s="360"/>
      <c r="Q95" s="344"/>
      <c r="R95" s="343"/>
      <c r="S95" s="344"/>
      <c r="T95" s="343"/>
      <c r="U95" s="344"/>
      <c r="V95" s="404"/>
      <c r="W95" s="405"/>
      <c r="X95" s="404"/>
      <c r="Y95" s="405"/>
      <c r="Z95" s="368"/>
      <c r="AA95" s="368"/>
      <c r="AB95" s="404"/>
      <c r="AC95" s="405"/>
      <c r="AD95" s="368"/>
      <c r="AE95" s="368"/>
      <c r="AF95" s="343"/>
      <c r="AG95" s="344"/>
      <c r="AH95" s="334">
        <f>G95+H95+H96+H97-I97-I96-I95</f>
        <v>0</v>
      </c>
      <c r="AZ95" s="444" t="s">
        <v>804</v>
      </c>
      <c r="BA95" s="442"/>
      <c r="BB95" s="442"/>
      <c r="BC95" s="450"/>
      <c r="BD95" s="439"/>
      <c r="BO95" s="400"/>
    </row>
    <row r="96" spans="2:67" x14ac:dyDescent="0.25">
      <c r="B96" s="252"/>
      <c r="C96" s="234"/>
      <c r="D96" s="239"/>
      <c r="E96" s="239"/>
      <c r="F96" s="239"/>
      <c r="G96" s="288"/>
      <c r="H96" s="343"/>
      <c r="I96" s="326"/>
      <c r="J96" s="404"/>
      <c r="K96" s="405"/>
      <c r="L96" s="360"/>
      <c r="M96" s="326"/>
      <c r="N96" s="343"/>
      <c r="O96" s="344"/>
      <c r="P96" s="360"/>
      <c r="Q96" s="344"/>
      <c r="R96" s="343"/>
      <c r="S96" s="344"/>
      <c r="T96" s="343"/>
      <c r="U96" s="344"/>
      <c r="V96" s="404"/>
      <c r="W96" s="405"/>
      <c r="X96" s="404"/>
      <c r="Y96" s="405"/>
      <c r="Z96" s="368"/>
      <c r="AA96" s="368"/>
      <c r="AB96" s="404"/>
      <c r="AC96" s="405"/>
      <c r="AD96" s="368"/>
      <c r="AE96" s="368"/>
      <c r="AF96" s="343"/>
      <c r="AG96" s="344"/>
      <c r="AH96" s="297"/>
      <c r="AT96" s="267" t="s">
        <v>810</v>
      </c>
      <c r="AU96" s="274">
        <f>BC97</f>
        <v>0</v>
      </c>
      <c r="AZ96" s="444" t="s">
        <v>805</v>
      </c>
      <c r="BA96" s="442"/>
      <c r="BB96" s="442"/>
      <c r="BC96" s="376">
        <f>-(BC94-BC95)</f>
        <v>0</v>
      </c>
      <c r="BD96" s="439"/>
      <c r="BO96" s="400"/>
    </row>
    <row r="97" spans="2:67" ht="16.5" thickBot="1" x14ac:dyDescent="0.3">
      <c r="B97" s="252"/>
      <c r="C97" s="234"/>
      <c r="D97" s="235"/>
      <c r="E97" s="235"/>
      <c r="F97" s="235"/>
      <c r="G97" s="284"/>
      <c r="H97" s="343"/>
      <c r="I97" s="326"/>
      <c r="J97" s="404"/>
      <c r="K97" s="405"/>
      <c r="L97" s="360"/>
      <c r="M97" s="326"/>
      <c r="N97" s="343"/>
      <c r="O97" s="344"/>
      <c r="P97" s="360"/>
      <c r="Q97" s="344"/>
      <c r="R97" s="343"/>
      <c r="S97" s="344"/>
      <c r="T97" s="343"/>
      <c r="U97" s="344"/>
      <c r="V97" s="404"/>
      <c r="W97" s="405"/>
      <c r="X97" s="404"/>
      <c r="Y97" s="405"/>
      <c r="Z97" s="368"/>
      <c r="AA97" s="368"/>
      <c r="AB97" s="404"/>
      <c r="AC97" s="405"/>
      <c r="AD97" s="368"/>
      <c r="AE97" s="368"/>
      <c r="AF97" s="343"/>
      <c r="AG97" s="344"/>
      <c r="AH97" s="294"/>
      <c r="AT97" s="267" t="s">
        <v>700</v>
      </c>
      <c r="AV97" s="274">
        <f>BC97</f>
        <v>0</v>
      </c>
      <c r="AZ97" s="452" t="s">
        <v>807</v>
      </c>
      <c r="BA97" s="442"/>
      <c r="BB97" s="442"/>
      <c r="BC97" s="377">
        <f>IF(AZ86="Parent -&gt; Sub",BC96*BC11,0)</f>
        <v>0</v>
      </c>
      <c r="BD97" s="439"/>
      <c r="BO97" s="400"/>
    </row>
    <row r="98" spans="2:67" ht="17.25" thickTop="1" thickBot="1" x14ac:dyDescent="0.3">
      <c r="B98" s="253" t="s">
        <v>727</v>
      </c>
      <c r="C98" s="234" t="s">
        <v>725</v>
      </c>
      <c r="D98" s="254">
        <f>D94-D95</f>
        <v>0</v>
      </c>
      <c r="E98" s="254">
        <f>E94-E95</f>
        <v>0</v>
      </c>
      <c r="F98" s="254">
        <f>F94-F95</f>
        <v>0</v>
      </c>
      <c r="G98" s="356">
        <f>G94-G95</f>
        <v>0</v>
      </c>
      <c r="H98" s="345"/>
      <c r="I98" s="327"/>
      <c r="J98" s="406"/>
      <c r="K98" s="407"/>
      <c r="L98" s="361"/>
      <c r="M98" s="327"/>
      <c r="N98" s="345"/>
      <c r="O98" s="346"/>
      <c r="P98" s="361"/>
      <c r="Q98" s="346"/>
      <c r="R98" s="345"/>
      <c r="S98" s="346"/>
      <c r="T98" s="345"/>
      <c r="U98" s="346"/>
      <c r="V98" s="406"/>
      <c r="W98" s="407"/>
      <c r="X98" s="406"/>
      <c r="Y98" s="407"/>
      <c r="Z98" s="369"/>
      <c r="AA98" s="369"/>
      <c r="AB98" s="406"/>
      <c r="AC98" s="407"/>
      <c r="AD98" s="369"/>
      <c r="AE98" s="369"/>
      <c r="AF98" s="345"/>
      <c r="AG98" s="346"/>
      <c r="AH98" s="316">
        <f>AH94-AH95</f>
        <v>0</v>
      </c>
      <c r="AZ98" s="453"/>
      <c r="BA98" s="454"/>
      <c r="BB98" s="454"/>
      <c r="BC98" s="454"/>
      <c r="BD98" s="447"/>
      <c r="BO98" s="400"/>
    </row>
    <row r="99" spans="2:67" ht="15.75" thickBot="1" x14ac:dyDescent="0.3">
      <c r="B99" s="232" t="s">
        <v>728</v>
      </c>
      <c r="C99" s="234" t="s">
        <v>729</v>
      </c>
      <c r="D99" s="255"/>
      <c r="E99" s="255"/>
      <c r="F99" s="255"/>
      <c r="G99" s="357">
        <f>SUM(D99:F99)</f>
        <v>0</v>
      </c>
      <c r="H99" s="347"/>
      <c r="I99" s="328"/>
      <c r="J99" s="408"/>
      <c r="K99" s="409"/>
      <c r="L99" s="362"/>
      <c r="M99" s="328"/>
      <c r="N99" s="347"/>
      <c r="O99" s="348"/>
      <c r="P99" s="362"/>
      <c r="Q99" s="348"/>
      <c r="R99" s="347"/>
      <c r="S99" s="348"/>
      <c r="T99" s="347"/>
      <c r="U99" s="348"/>
      <c r="V99" s="408"/>
      <c r="W99" s="409"/>
      <c r="X99" s="408"/>
      <c r="Y99" s="409"/>
      <c r="Z99" s="371"/>
      <c r="AA99" s="371"/>
      <c r="AB99" s="408"/>
      <c r="AC99" s="409"/>
      <c r="AD99" s="371"/>
      <c r="AE99" s="371"/>
      <c r="AF99" s="347"/>
      <c r="AG99" s="348"/>
      <c r="AH99" s="335">
        <f>G99+H99-I99</f>
        <v>0</v>
      </c>
      <c r="BO99" s="400"/>
    </row>
    <row r="100" spans="2:67" ht="16.5" thickBot="1" x14ac:dyDescent="0.3">
      <c r="B100" s="229" t="s">
        <v>730</v>
      </c>
      <c r="C100" s="234" t="s">
        <v>725</v>
      </c>
      <c r="D100" s="257">
        <f>D98-D99</f>
        <v>0</v>
      </c>
      <c r="E100" s="257">
        <f>E98-E99</f>
        <v>0</v>
      </c>
      <c r="F100" s="257">
        <f>F98-F99</f>
        <v>0</v>
      </c>
      <c r="G100" s="358">
        <f>G98-G99</f>
        <v>0</v>
      </c>
      <c r="H100" s="349"/>
      <c r="I100" s="329"/>
      <c r="J100" s="410"/>
      <c r="K100" s="411"/>
      <c r="L100" s="337"/>
      <c r="M100" s="329"/>
      <c r="N100" s="349"/>
      <c r="O100" s="350"/>
      <c r="P100" s="337"/>
      <c r="Q100" s="350"/>
      <c r="R100" s="349"/>
      <c r="S100" s="350"/>
      <c r="T100" s="349"/>
      <c r="U100" s="350"/>
      <c r="V100" s="410"/>
      <c r="W100" s="411"/>
      <c r="X100" s="410"/>
      <c r="Y100" s="411"/>
      <c r="Z100" s="370"/>
      <c r="AA100" s="370"/>
      <c r="AB100" s="410"/>
      <c r="AC100" s="411"/>
      <c r="AD100" s="370"/>
      <c r="AE100" s="370"/>
      <c r="AF100" s="349"/>
      <c r="AG100" s="350"/>
      <c r="AH100" s="336">
        <f>AH98-AH99</f>
        <v>0</v>
      </c>
      <c r="AS100" s="276">
        <v>11</v>
      </c>
      <c r="AT100" s="247" t="s">
        <v>823</v>
      </c>
      <c r="AU100" s="274">
        <f>BC102</f>
        <v>1950</v>
      </c>
      <c r="AV100" s="274"/>
    </row>
    <row r="101" spans="2:67" ht="15.75" x14ac:dyDescent="0.25">
      <c r="B101" s="232"/>
      <c r="C101" s="234"/>
      <c r="D101" s="258"/>
      <c r="E101" s="258"/>
      <c r="F101" s="258"/>
      <c r="G101" s="329"/>
      <c r="H101" s="349"/>
      <c r="I101" s="329"/>
      <c r="J101" s="410"/>
      <c r="K101" s="411"/>
      <c r="L101" s="337"/>
      <c r="M101" s="329"/>
      <c r="N101" s="349"/>
      <c r="O101" s="350"/>
      <c r="P101" s="337"/>
      <c r="Q101" s="350"/>
      <c r="R101" s="349"/>
      <c r="S101" s="350"/>
      <c r="T101" s="349"/>
      <c r="U101" s="350"/>
      <c r="V101" s="410"/>
      <c r="W101" s="411"/>
      <c r="X101" s="410"/>
      <c r="Y101" s="411"/>
      <c r="Z101" s="370"/>
      <c r="AA101" s="370"/>
      <c r="AB101" s="410"/>
      <c r="AC101" s="411"/>
      <c r="AD101" s="370"/>
      <c r="AE101" s="370"/>
      <c r="AF101" s="349"/>
      <c r="AG101" s="350"/>
      <c r="AH101" s="337"/>
      <c r="AT101" s="267" t="s">
        <v>821</v>
      </c>
      <c r="AU101" s="274">
        <f>BC105</f>
        <v>442.6</v>
      </c>
      <c r="AV101" s="274"/>
      <c r="AZ101" s="448" t="s">
        <v>836</v>
      </c>
      <c r="BA101" s="425"/>
      <c r="BB101" s="425"/>
      <c r="BC101" s="425"/>
      <c r="BD101" s="427"/>
    </row>
    <row r="102" spans="2:67" ht="15.75" x14ac:dyDescent="0.25">
      <c r="B102" s="229" t="s">
        <v>3</v>
      </c>
      <c r="C102" s="234"/>
      <c r="D102" s="258"/>
      <c r="E102" s="258"/>
      <c r="F102" s="258"/>
      <c r="G102" s="329"/>
      <c r="H102" s="349"/>
      <c r="I102" s="329"/>
      <c r="J102" s="410"/>
      <c r="K102" s="411"/>
      <c r="L102" s="337"/>
      <c r="M102" s="329"/>
      <c r="N102" s="349"/>
      <c r="O102" s="350"/>
      <c r="P102" s="337"/>
      <c r="Q102" s="350"/>
      <c r="R102" s="349"/>
      <c r="S102" s="350"/>
      <c r="T102" s="349"/>
      <c r="U102" s="350"/>
      <c r="V102" s="410"/>
      <c r="W102" s="411"/>
      <c r="X102" s="410"/>
      <c r="Y102" s="411"/>
      <c r="Z102" s="370"/>
      <c r="AA102" s="370"/>
      <c r="AB102" s="410"/>
      <c r="AC102" s="411"/>
      <c r="AD102" s="370"/>
      <c r="AE102" s="370"/>
      <c r="AF102" s="349"/>
      <c r="AG102" s="350"/>
      <c r="AH102" s="337"/>
      <c r="AT102" s="267" t="s">
        <v>704</v>
      </c>
      <c r="AU102" s="274"/>
      <c r="AV102" s="274">
        <f>BC103</f>
        <v>98.75</v>
      </c>
      <c r="AZ102" s="444" t="s">
        <v>154</v>
      </c>
      <c r="BA102" s="442"/>
      <c r="BB102" s="442"/>
      <c r="BC102" s="897">
        <v>1950</v>
      </c>
      <c r="BD102" s="439"/>
    </row>
    <row r="103" spans="2:67" ht="15.75" x14ac:dyDescent="0.25">
      <c r="B103" s="229" t="s">
        <v>4</v>
      </c>
      <c r="C103" s="234"/>
      <c r="D103" s="258"/>
      <c r="E103" s="258"/>
      <c r="F103" s="258"/>
      <c r="G103" s="329"/>
      <c r="H103" s="349"/>
      <c r="I103" s="329"/>
      <c r="J103" s="410"/>
      <c r="K103" s="411"/>
      <c r="L103" s="337"/>
      <c r="M103" s="329"/>
      <c r="N103" s="349"/>
      <c r="O103" s="350"/>
      <c r="P103" s="337"/>
      <c r="Q103" s="350"/>
      <c r="R103" s="349"/>
      <c r="S103" s="350"/>
      <c r="T103" s="349"/>
      <c r="U103" s="350"/>
      <c r="V103" s="410"/>
      <c r="W103" s="411"/>
      <c r="X103" s="410"/>
      <c r="Y103" s="411"/>
      <c r="Z103" s="370"/>
      <c r="AA103" s="370"/>
      <c r="AB103" s="410"/>
      <c r="AC103" s="411"/>
      <c r="AD103" s="370"/>
      <c r="AE103" s="370"/>
      <c r="AF103" s="349"/>
      <c r="AG103" s="350"/>
      <c r="AH103" s="337"/>
      <c r="AK103" s="401" t="s">
        <v>1337</v>
      </c>
      <c r="AO103" s="279"/>
      <c r="AT103" s="267" t="s">
        <v>839</v>
      </c>
      <c r="AU103" s="274"/>
      <c r="AV103" s="274">
        <f>BC104</f>
        <v>2213</v>
      </c>
      <c r="AZ103" s="444" t="s">
        <v>837</v>
      </c>
      <c r="BA103" s="442"/>
      <c r="BB103" s="442"/>
      <c r="BC103" s="900">
        <f>IF(BC102&lt;&gt;0,BC21-BC35-BC36,0)</f>
        <v>98.75</v>
      </c>
      <c r="BD103" s="439"/>
      <c r="BF103" s="401" t="s">
        <v>1942</v>
      </c>
    </row>
    <row r="104" spans="2:67" x14ac:dyDescent="0.25">
      <c r="B104" s="232" t="s">
        <v>731</v>
      </c>
      <c r="C104" s="234" t="s">
        <v>732</v>
      </c>
      <c r="D104" s="244"/>
      <c r="E104" s="244"/>
      <c r="F104" s="244"/>
      <c r="G104" s="292">
        <f>SUM(D104:F104)</f>
        <v>0</v>
      </c>
      <c r="H104" s="347"/>
      <c r="I104" s="328"/>
      <c r="J104" s="408"/>
      <c r="K104" s="409"/>
      <c r="L104" s="362"/>
      <c r="M104" s="328"/>
      <c r="N104" s="347"/>
      <c r="O104" s="348"/>
      <c r="P104" s="362"/>
      <c r="Q104" s="348"/>
      <c r="R104" s="347"/>
      <c r="S104" s="348"/>
      <c r="T104" s="347"/>
      <c r="U104" s="348"/>
      <c r="V104" s="408"/>
      <c r="W104" s="409"/>
      <c r="X104" s="408"/>
      <c r="Y104" s="409"/>
      <c r="Z104" s="371"/>
      <c r="AA104" s="371"/>
      <c r="AB104" s="408"/>
      <c r="AC104" s="409"/>
      <c r="AD104" s="371"/>
      <c r="AE104" s="371"/>
      <c r="AF104" s="347"/>
      <c r="AG104" s="348"/>
      <c r="AH104" s="316">
        <f>G104-H104+I104</f>
        <v>0</v>
      </c>
      <c r="AT104" s="267" t="str">
        <f>IF(BC107&gt;0,"CR SPL - gain on disposal","DR SPL - loss on disposal")</f>
        <v>CR SPL - gain on disposal</v>
      </c>
      <c r="AU104" s="274">
        <f>IF(BC107&lt;0,-BC107,0)</f>
        <v>0</v>
      </c>
      <c r="AV104" s="274">
        <f>IF(BC107&gt;0,BC107,0)</f>
        <v>80.849999999999909</v>
      </c>
      <c r="AZ104" s="444" t="s">
        <v>865</v>
      </c>
      <c r="BA104" s="442"/>
      <c r="BB104" s="442"/>
      <c r="BC104" s="897">
        <v>2213</v>
      </c>
      <c r="BD104" s="439"/>
      <c r="BF104" s="401" t="s">
        <v>1943</v>
      </c>
    </row>
    <row r="105" spans="2:67" ht="30" x14ac:dyDescent="0.25">
      <c r="B105" s="232" t="s">
        <v>733</v>
      </c>
      <c r="C105" s="234" t="s">
        <v>732</v>
      </c>
      <c r="D105" s="244"/>
      <c r="E105" s="244"/>
      <c r="F105" s="244"/>
      <c r="G105" s="292">
        <f>SUM(D105:F105)</f>
        <v>0</v>
      </c>
      <c r="H105" s="347"/>
      <c r="I105" s="328"/>
      <c r="J105" s="408"/>
      <c r="K105" s="409"/>
      <c r="L105" s="362"/>
      <c r="M105" s="328"/>
      <c r="N105" s="347"/>
      <c r="O105" s="348"/>
      <c r="P105" s="362"/>
      <c r="Q105" s="348"/>
      <c r="R105" s="347"/>
      <c r="S105" s="348"/>
      <c r="T105" s="347"/>
      <c r="U105" s="348"/>
      <c r="V105" s="408"/>
      <c r="W105" s="409"/>
      <c r="X105" s="408"/>
      <c r="Y105" s="409"/>
      <c r="Z105" s="371"/>
      <c r="AA105" s="371"/>
      <c r="AB105" s="408"/>
      <c r="AC105" s="409"/>
      <c r="AD105" s="371"/>
      <c r="AE105" s="371"/>
      <c r="AF105" s="347"/>
      <c r="AG105" s="348"/>
      <c r="AH105" s="316">
        <f>G105-H105+I105</f>
        <v>0</v>
      </c>
      <c r="AZ105" s="444" t="s">
        <v>867</v>
      </c>
      <c r="BA105" s="442"/>
      <c r="BB105" s="442"/>
      <c r="BC105" s="901">
        <f>BC104*BC11</f>
        <v>442.6</v>
      </c>
      <c r="BD105" s="462" t="s">
        <v>864</v>
      </c>
      <c r="BF105" s="401" t="s">
        <v>1944</v>
      </c>
      <c r="BO105" s="400"/>
    </row>
    <row r="106" spans="2:67" ht="30" x14ac:dyDescent="0.25">
      <c r="B106" s="232" t="s">
        <v>734</v>
      </c>
      <c r="C106" s="234" t="s">
        <v>735</v>
      </c>
      <c r="D106" s="244"/>
      <c r="E106" s="244"/>
      <c r="F106" s="244"/>
      <c r="G106" s="292">
        <f>SUM(D106:F106)</f>
        <v>0</v>
      </c>
      <c r="H106" s="347"/>
      <c r="I106" s="328"/>
      <c r="J106" s="408"/>
      <c r="K106" s="409"/>
      <c r="L106" s="362"/>
      <c r="M106" s="328"/>
      <c r="N106" s="347"/>
      <c r="O106" s="348"/>
      <c r="P106" s="362"/>
      <c r="Q106" s="348"/>
      <c r="R106" s="347"/>
      <c r="S106" s="348"/>
      <c r="T106" s="347"/>
      <c r="U106" s="348"/>
      <c r="V106" s="408"/>
      <c r="W106" s="409"/>
      <c r="X106" s="408"/>
      <c r="Y106" s="409"/>
      <c r="Z106" s="371"/>
      <c r="AA106" s="371"/>
      <c r="AB106" s="408"/>
      <c r="AC106" s="409"/>
      <c r="AD106" s="371"/>
      <c r="AE106" s="371"/>
      <c r="AF106" s="347"/>
      <c r="AG106" s="348"/>
      <c r="AH106" s="316">
        <f>G106-H106+I106</f>
        <v>0</v>
      </c>
      <c r="AZ106" s="444" t="s">
        <v>866</v>
      </c>
      <c r="BA106" s="442"/>
      <c r="BB106" s="442"/>
      <c r="BC106" s="902">
        <f>BC104-BC105</f>
        <v>1770.4</v>
      </c>
      <c r="BD106" s="439"/>
      <c r="BF106" s="401" t="s">
        <v>1800</v>
      </c>
      <c r="BO106" s="400"/>
    </row>
    <row r="107" spans="2:67" ht="15.75" thickBot="1" x14ac:dyDescent="0.3">
      <c r="B107" s="232" t="s">
        <v>736</v>
      </c>
      <c r="C107" s="234" t="s">
        <v>726</v>
      </c>
      <c r="D107" s="255"/>
      <c r="E107" s="255"/>
      <c r="F107" s="255"/>
      <c r="G107" s="469">
        <f>SUM(D107:F107)</f>
        <v>0</v>
      </c>
      <c r="H107" s="347"/>
      <c r="I107" s="328"/>
      <c r="J107" s="408"/>
      <c r="K107" s="409"/>
      <c r="L107" s="362"/>
      <c r="M107" s="328"/>
      <c r="N107" s="347"/>
      <c r="O107" s="348"/>
      <c r="P107" s="362"/>
      <c r="Q107" s="348"/>
      <c r="R107" s="347"/>
      <c r="S107" s="348"/>
      <c r="T107" s="347"/>
      <c r="U107" s="348"/>
      <c r="V107" s="408"/>
      <c r="W107" s="409"/>
      <c r="X107" s="408"/>
      <c r="Y107" s="409"/>
      <c r="Z107" s="371"/>
      <c r="AA107" s="371"/>
      <c r="AB107" s="408"/>
      <c r="AC107" s="409"/>
      <c r="AD107" s="371"/>
      <c r="AE107" s="371"/>
      <c r="AF107" s="347"/>
      <c r="AG107" s="348"/>
      <c r="AH107" s="335">
        <f>G107+H107-I107</f>
        <v>0</v>
      </c>
      <c r="AZ107" s="444" t="s">
        <v>871</v>
      </c>
      <c r="BA107" s="442"/>
      <c r="BB107" s="442"/>
      <c r="BC107" s="899">
        <f>BC102-BC103-BC106</f>
        <v>80.849999999999909</v>
      </c>
      <c r="BD107" s="439"/>
      <c r="BF107" s="401" t="s">
        <v>840</v>
      </c>
      <c r="BO107" s="400"/>
    </row>
    <row r="108" spans="2:67" ht="16.5" thickTop="1" thickBot="1" x14ac:dyDescent="0.3">
      <c r="B108" s="232"/>
      <c r="C108" s="234"/>
      <c r="D108" s="257">
        <f>D104+D105+D106-D107</f>
        <v>0</v>
      </c>
      <c r="E108" s="257">
        <f>E104+E105+E106-E107</f>
        <v>0</v>
      </c>
      <c r="F108" s="257">
        <f>F104+F105+F106-F107</f>
        <v>0</v>
      </c>
      <c r="G108" s="470">
        <f>G104+G105+G106-G107</f>
        <v>0</v>
      </c>
      <c r="H108" s="349"/>
      <c r="I108" s="329"/>
      <c r="J108" s="410"/>
      <c r="K108" s="411"/>
      <c r="L108" s="337"/>
      <c r="M108" s="329"/>
      <c r="N108" s="349"/>
      <c r="O108" s="350"/>
      <c r="P108" s="337"/>
      <c r="Q108" s="350"/>
      <c r="R108" s="349"/>
      <c r="S108" s="350"/>
      <c r="T108" s="349"/>
      <c r="U108" s="350"/>
      <c r="V108" s="410"/>
      <c r="W108" s="411"/>
      <c r="X108" s="410"/>
      <c r="Y108" s="411"/>
      <c r="Z108" s="370"/>
      <c r="AA108" s="370"/>
      <c r="AB108" s="410"/>
      <c r="AC108" s="411"/>
      <c r="AD108" s="370"/>
      <c r="AE108" s="370"/>
      <c r="AF108" s="349"/>
      <c r="AG108" s="350"/>
      <c r="AH108" s="336">
        <f>AH104+AH105+AH106-AH107</f>
        <v>0</v>
      </c>
      <c r="AZ108" s="453"/>
      <c r="BA108" s="454"/>
      <c r="BB108" s="454"/>
      <c r="BC108" s="454"/>
      <c r="BD108" s="447"/>
      <c r="BF108" s="401" t="s">
        <v>1691</v>
      </c>
      <c r="BO108" s="400"/>
    </row>
    <row r="109" spans="2:67" ht="16.5" thickBot="1" x14ac:dyDescent="0.3">
      <c r="B109" s="229" t="s">
        <v>30</v>
      </c>
      <c r="C109" s="234"/>
      <c r="D109" s="258"/>
      <c r="E109" s="258"/>
      <c r="F109" s="258"/>
      <c r="G109" s="329"/>
      <c r="H109" s="349"/>
      <c r="I109" s="329"/>
      <c r="J109" s="410"/>
      <c r="K109" s="411"/>
      <c r="L109" s="337"/>
      <c r="M109" s="329"/>
      <c r="N109" s="349"/>
      <c r="O109" s="350"/>
      <c r="P109" s="337"/>
      <c r="Q109" s="350"/>
      <c r="R109" s="349"/>
      <c r="S109" s="350"/>
      <c r="T109" s="349"/>
      <c r="U109" s="350"/>
      <c r="V109" s="410"/>
      <c r="W109" s="411"/>
      <c r="X109" s="410"/>
      <c r="Y109" s="411"/>
      <c r="Z109" s="370"/>
      <c r="AA109" s="370"/>
      <c r="AB109" s="410"/>
      <c r="AC109" s="411"/>
      <c r="AD109" s="370"/>
      <c r="AE109" s="370"/>
      <c r="AF109" s="349"/>
      <c r="AG109" s="350"/>
      <c r="AH109" s="337"/>
      <c r="AS109" s="276">
        <v>12</v>
      </c>
      <c r="AT109" s="267" t="s">
        <v>1080</v>
      </c>
      <c r="AU109" s="536">
        <f>BC114</f>
        <v>0</v>
      </c>
      <c r="BF109" s="279" t="s">
        <v>1690</v>
      </c>
      <c r="BO109" s="400"/>
    </row>
    <row r="110" spans="2:67" ht="15.75" x14ac:dyDescent="0.25">
      <c r="B110" s="232" t="s">
        <v>32</v>
      </c>
      <c r="C110" s="234" t="s">
        <v>732</v>
      </c>
      <c r="D110" s="244"/>
      <c r="E110" s="244"/>
      <c r="F110" s="244"/>
      <c r="G110" s="292">
        <f>SUM(D110:F110)</f>
        <v>0</v>
      </c>
      <c r="H110" s="347"/>
      <c r="I110" s="328"/>
      <c r="J110" s="408"/>
      <c r="K110" s="409"/>
      <c r="L110" s="362"/>
      <c r="M110" s="328"/>
      <c r="N110" s="347"/>
      <c r="O110" s="348"/>
      <c r="P110" s="362"/>
      <c r="Q110" s="348"/>
      <c r="R110" s="347"/>
      <c r="S110" s="348"/>
      <c r="T110" s="347"/>
      <c r="U110" s="348"/>
      <c r="V110" s="408"/>
      <c r="W110" s="409"/>
      <c r="X110" s="408"/>
      <c r="Y110" s="409"/>
      <c r="Z110" s="371"/>
      <c r="AA110" s="371"/>
      <c r="AB110" s="408"/>
      <c r="AC110" s="409"/>
      <c r="AD110" s="371"/>
      <c r="AE110" s="371"/>
      <c r="AF110" s="347"/>
      <c r="AG110" s="348"/>
      <c r="AH110" s="316">
        <f>G110-H110+I110</f>
        <v>0</v>
      </c>
      <c r="AT110" s="267" t="s">
        <v>802</v>
      </c>
      <c r="AV110" s="536">
        <f>BC114</f>
        <v>0</v>
      </c>
      <c r="AZ110" s="448" t="s">
        <v>1041</v>
      </c>
      <c r="BA110" s="425"/>
      <c r="BB110" s="425"/>
      <c r="BC110" s="425"/>
      <c r="BD110" s="427"/>
      <c r="BO110" s="400"/>
    </row>
    <row r="111" spans="2:67" ht="15.75" x14ac:dyDescent="0.25">
      <c r="B111" s="232" t="s">
        <v>737</v>
      </c>
      <c r="C111" s="234" t="s">
        <v>726</v>
      </c>
      <c r="D111" s="255"/>
      <c r="E111" s="255"/>
      <c r="F111" s="255"/>
      <c r="G111" s="357">
        <f>SUM(D111:F111)</f>
        <v>0</v>
      </c>
      <c r="H111" s="347"/>
      <c r="I111" s="328"/>
      <c r="J111" s="408"/>
      <c r="K111" s="409"/>
      <c r="L111" s="362"/>
      <c r="M111" s="328"/>
      <c r="N111" s="347"/>
      <c r="O111" s="348"/>
      <c r="P111" s="362"/>
      <c r="Q111" s="348"/>
      <c r="R111" s="347"/>
      <c r="S111" s="348"/>
      <c r="T111" s="347"/>
      <c r="U111" s="348"/>
      <c r="V111" s="408"/>
      <c r="W111" s="409"/>
      <c r="X111" s="408"/>
      <c r="Y111" s="409"/>
      <c r="Z111" s="371"/>
      <c r="AA111" s="371"/>
      <c r="AB111" s="408"/>
      <c r="AC111" s="409"/>
      <c r="AD111" s="371"/>
      <c r="AE111" s="371"/>
      <c r="AF111" s="347"/>
      <c r="AG111" s="348"/>
      <c r="AH111" s="335">
        <f>G111+H111-I111</f>
        <v>0</v>
      </c>
      <c r="AZ111" s="452" t="s">
        <v>1075</v>
      </c>
      <c r="BA111" s="442"/>
      <c r="BB111" s="442"/>
      <c r="BC111" s="442"/>
      <c r="BD111" s="439"/>
      <c r="BO111" s="400"/>
    </row>
    <row r="112" spans="2:67" x14ac:dyDescent="0.25">
      <c r="B112" s="232"/>
      <c r="C112" s="234"/>
      <c r="D112" s="256">
        <f>D110-D111</f>
        <v>0</v>
      </c>
      <c r="E112" s="256">
        <f>E110-E111</f>
        <v>0</v>
      </c>
      <c r="F112" s="256">
        <f>F110-F111</f>
        <v>0</v>
      </c>
      <c r="G112" s="357">
        <f>G110-G111</f>
        <v>0</v>
      </c>
      <c r="H112" s="349"/>
      <c r="I112" s="329"/>
      <c r="J112" s="410"/>
      <c r="K112" s="411"/>
      <c r="L112" s="337"/>
      <c r="M112" s="329"/>
      <c r="N112" s="349"/>
      <c r="O112" s="350"/>
      <c r="P112" s="337"/>
      <c r="Q112" s="350"/>
      <c r="R112" s="349"/>
      <c r="S112" s="350"/>
      <c r="T112" s="349"/>
      <c r="U112" s="350"/>
      <c r="V112" s="410"/>
      <c r="W112" s="411"/>
      <c r="X112" s="410"/>
      <c r="Y112" s="411"/>
      <c r="Z112" s="370"/>
      <c r="AA112" s="370"/>
      <c r="AB112" s="410"/>
      <c r="AC112" s="411"/>
      <c r="AD112" s="370"/>
      <c r="AE112" s="370"/>
      <c r="AF112" s="349"/>
      <c r="AG112" s="350"/>
      <c r="AH112" s="335">
        <f>AH110-AH111</f>
        <v>0</v>
      </c>
      <c r="AT112" s="267" t="str">
        <f>IF(AU112&lt;&gt;0,"DR Bond Liability","CR Bond Liability")</f>
        <v>CR Bond Liability</v>
      </c>
      <c r="AU112" s="267">
        <f>IF($BC$118&lt;0,-$BC$118,0)</f>
        <v>0</v>
      </c>
      <c r="AV112" s="274">
        <f>IF($BC$118&gt;0,$BC$118,0)</f>
        <v>0</v>
      </c>
      <c r="AZ112" s="444" t="s">
        <v>1076</v>
      </c>
      <c r="BA112" s="442" t="s">
        <v>1077</v>
      </c>
      <c r="BB112" s="442"/>
      <c r="BC112" s="451">
        <f>'FV adjustments (consol)'!F44</f>
        <v>0</v>
      </c>
      <c r="BD112" s="439"/>
      <c r="BE112" s="401" t="s">
        <v>1574</v>
      </c>
      <c r="BO112" s="400"/>
    </row>
    <row r="113" spans="2:58" ht="15.75" x14ac:dyDescent="0.25">
      <c r="B113" s="229" t="s">
        <v>8</v>
      </c>
      <c r="C113" s="234"/>
      <c r="D113" s="256">
        <f>SUM(D108,D112)</f>
        <v>0</v>
      </c>
      <c r="E113" s="256">
        <f>SUM(E108,E112)</f>
        <v>0</v>
      </c>
      <c r="F113" s="256">
        <f>SUM(F108,F112)</f>
        <v>0</v>
      </c>
      <c r="G113" s="357">
        <f>SUM(G108,G112)</f>
        <v>0</v>
      </c>
      <c r="H113" s="349"/>
      <c r="I113" s="329"/>
      <c r="J113" s="410"/>
      <c r="K113" s="411"/>
      <c r="L113" s="337"/>
      <c r="M113" s="329"/>
      <c r="N113" s="349"/>
      <c r="O113" s="350"/>
      <c r="P113" s="337"/>
      <c r="Q113" s="350"/>
      <c r="R113" s="349"/>
      <c r="S113" s="350"/>
      <c r="T113" s="349"/>
      <c r="U113" s="350"/>
      <c r="V113" s="410"/>
      <c r="W113" s="411"/>
      <c r="X113" s="410"/>
      <c r="Y113" s="411"/>
      <c r="Z113" s="370"/>
      <c r="AA113" s="370"/>
      <c r="AB113" s="410"/>
      <c r="AC113" s="411"/>
      <c r="AD113" s="370"/>
      <c r="AE113" s="370"/>
      <c r="AF113" s="349"/>
      <c r="AG113" s="350"/>
      <c r="AH113" s="335">
        <f>AH108+AH112</f>
        <v>0</v>
      </c>
      <c r="AT113" s="267" t="str">
        <f>IF(AV113&lt;&gt;0,"CR SPL - Finance costs","DR SPL - Finance costs")</f>
        <v>DR SPL - Finance costs</v>
      </c>
      <c r="AU113" s="274">
        <f>IF($BC$118&gt;0,$BC$118,0)</f>
        <v>0</v>
      </c>
      <c r="AV113" s="267">
        <f>IF($BC$118&lt;0,-$BC$118,0)</f>
        <v>0</v>
      </c>
      <c r="AZ113" s="444" t="s">
        <v>1078</v>
      </c>
      <c r="BA113" s="442"/>
      <c r="BB113" s="442"/>
      <c r="BC113" s="449"/>
      <c r="BD113" s="439"/>
      <c r="BE113" s="401" t="str">
        <f>"Increase of £"&amp;BC112&amp;" over remaining useful life of … = £"&amp;BC114&amp;" increase in the depreciation charge"</f>
        <v>Increase of £0 over remaining useful life of … = £0 increase in the depreciation charge</v>
      </c>
    </row>
    <row r="114" spans="2:58" ht="16.5" thickBot="1" x14ac:dyDescent="0.3">
      <c r="B114" s="253" t="s">
        <v>9</v>
      </c>
      <c r="C114" s="259"/>
      <c r="D114" s="260">
        <f>D100+D113</f>
        <v>0</v>
      </c>
      <c r="E114" s="260">
        <f>E100+E113</f>
        <v>0</v>
      </c>
      <c r="F114" s="260">
        <f>F100+F113</f>
        <v>0</v>
      </c>
      <c r="G114" s="359">
        <f>G100+G113</f>
        <v>0</v>
      </c>
      <c r="H114" s="345"/>
      <c r="I114" s="327"/>
      <c r="J114" s="406"/>
      <c r="K114" s="407"/>
      <c r="L114" s="361"/>
      <c r="M114" s="327"/>
      <c r="N114" s="345"/>
      <c r="O114" s="346"/>
      <c r="P114" s="361"/>
      <c r="Q114" s="346"/>
      <c r="R114" s="345"/>
      <c r="S114" s="346"/>
      <c r="T114" s="345"/>
      <c r="U114" s="346"/>
      <c r="V114" s="406"/>
      <c r="W114" s="407"/>
      <c r="X114" s="406"/>
      <c r="Y114" s="407"/>
      <c r="Z114" s="369"/>
      <c r="AA114" s="369"/>
      <c r="AB114" s="406"/>
      <c r="AC114" s="407"/>
      <c r="AD114" s="369"/>
      <c r="AE114" s="369"/>
      <c r="AF114" s="345"/>
      <c r="AG114" s="346"/>
      <c r="AH114" s="338">
        <f>AH100+AH113</f>
        <v>0</v>
      </c>
      <c r="AZ114" s="444" t="s">
        <v>1079</v>
      </c>
      <c r="BA114" s="442" t="str">
        <f>"=("&amp;BC113&amp;"*"&amp;BC112&amp;")"</f>
        <v>=(*0)</v>
      </c>
      <c r="BB114" s="442"/>
      <c r="BC114" s="538">
        <f>BC113*BC112</f>
        <v>0</v>
      </c>
      <c r="BD114" s="439"/>
    </row>
    <row r="115" spans="2:58" ht="15.75" x14ac:dyDescent="0.25">
      <c r="B115" s="232"/>
      <c r="C115" s="259"/>
      <c r="D115" s="239"/>
      <c r="E115" s="239"/>
      <c r="F115" s="239"/>
      <c r="G115" s="288"/>
      <c r="H115" s="302"/>
      <c r="I115" s="284"/>
      <c r="J115" s="382"/>
      <c r="K115" s="383"/>
      <c r="L115" s="294"/>
      <c r="M115" s="284"/>
      <c r="N115" s="302"/>
      <c r="O115" s="303"/>
      <c r="P115" s="294"/>
      <c r="Q115" s="303"/>
      <c r="R115" s="302"/>
      <c r="S115" s="303"/>
      <c r="T115" s="302"/>
      <c r="U115" s="303"/>
      <c r="V115" s="382"/>
      <c r="W115" s="383"/>
      <c r="X115" s="382"/>
      <c r="Y115" s="383"/>
      <c r="Z115" s="320"/>
      <c r="AA115" s="320"/>
      <c r="AB115" s="382"/>
      <c r="AC115" s="383"/>
      <c r="AD115" s="320"/>
      <c r="AE115" s="320"/>
      <c r="AF115" s="302"/>
      <c r="AG115" s="303"/>
      <c r="AH115" s="297"/>
      <c r="AT115" s="267" t="str">
        <f>IF(BC121&gt;0,"DR SPL - Cost of sales","CR SPL - Cost of sales")</f>
        <v>CR SPL - Cost of sales</v>
      </c>
      <c r="AU115" s="274">
        <f>IF($BC$121&gt;0,$BC$121,0)</f>
        <v>0</v>
      </c>
      <c r="AV115" s="267">
        <f>IF($BC$121&lt;0,-$BC$121,0)</f>
        <v>0</v>
      </c>
      <c r="AZ115" s="452" t="s">
        <v>1081</v>
      </c>
      <c r="BA115" s="442"/>
      <c r="BB115" s="442"/>
      <c r="BC115" s="537"/>
      <c r="BD115" s="439"/>
    </row>
    <row r="116" spans="2:58" x14ac:dyDescent="0.25">
      <c r="B116" s="232" t="s">
        <v>738</v>
      </c>
      <c r="C116" s="234" t="s">
        <v>725</v>
      </c>
      <c r="D116" s="235"/>
      <c r="E116" s="235"/>
      <c r="F116" s="235"/>
      <c r="G116" s="284"/>
      <c r="H116" s="302"/>
      <c r="I116" s="284"/>
      <c r="J116" s="382"/>
      <c r="K116" s="383"/>
      <c r="L116" s="294"/>
      <c r="M116" s="284"/>
      <c r="N116" s="302"/>
      <c r="O116" s="303"/>
      <c r="P116" s="294"/>
      <c r="Q116" s="303"/>
      <c r="R116" s="302"/>
      <c r="S116" s="303"/>
      <c r="T116" s="302"/>
      <c r="U116" s="303"/>
      <c r="V116" s="382"/>
      <c r="W116" s="383"/>
      <c r="X116" s="382"/>
      <c r="Y116" s="383"/>
      <c r="Z116" s="320"/>
      <c r="AA116" s="320"/>
      <c r="AB116" s="382"/>
      <c r="AC116" s="383"/>
      <c r="AD116" s="320"/>
      <c r="AE116" s="320"/>
      <c r="AF116" s="302"/>
      <c r="AG116" s="303"/>
      <c r="AH116" s="294"/>
      <c r="AT116" s="267" t="str">
        <f>IF(BC121&gt;0,"CR Inventory","DR Inventory")</f>
        <v>DR Inventory</v>
      </c>
      <c r="AU116" s="267">
        <f>IF($BC$121&lt;0,-$BC$121,0)</f>
        <v>0</v>
      </c>
      <c r="AV116" s="274">
        <f>IF($BC$121&gt;0,$BC$121,0)</f>
        <v>0</v>
      </c>
      <c r="AZ116" s="444" t="s">
        <v>1082</v>
      </c>
      <c r="BA116" s="442"/>
      <c r="BB116" s="442"/>
      <c r="BC116" s="449"/>
      <c r="BD116" s="439"/>
      <c r="BE116" s="401" t="s">
        <v>1575</v>
      </c>
    </row>
    <row r="117" spans="2:58" x14ac:dyDescent="0.25">
      <c r="B117" s="261" t="s">
        <v>739</v>
      </c>
      <c r="C117" s="259"/>
      <c r="D117" s="235"/>
      <c r="E117" s="235"/>
      <c r="F117" s="235"/>
      <c r="G117" s="284"/>
      <c r="H117" s="351"/>
      <c r="I117" s="330"/>
      <c r="J117" s="412"/>
      <c r="K117" s="413"/>
      <c r="L117" s="332"/>
      <c r="M117" s="330"/>
      <c r="N117" s="351"/>
      <c r="O117" s="352"/>
      <c r="P117" s="332"/>
      <c r="Q117" s="352"/>
      <c r="R117" s="351"/>
      <c r="S117" s="352"/>
      <c r="T117" s="351"/>
      <c r="U117" s="352"/>
      <c r="V117" s="412"/>
      <c r="W117" s="413"/>
      <c r="X117" s="412"/>
      <c r="Y117" s="413"/>
      <c r="Z117" s="320"/>
      <c r="AA117" s="320"/>
      <c r="AB117" s="382"/>
      <c r="AC117" s="383"/>
      <c r="AD117" s="320"/>
      <c r="AE117" s="320"/>
      <c r="AF117" s="351"/>
      <c r="AG117" s="352"/>
      <c r="AH117" s="334">
        <f>AH119-AH118</f>
        <v>-84.800000000000011</v>
      </c>
      <c r="AZ117" s="444" t="s">
        <v>1083</v>
      </c>
      <c r="BA117" s="442"/>
      <c r="BB117" s="442"/>
      <c r="BC117" s="449"/>
      <c r="BD117" s="439"/>
    </row>
    <row r="118" spans="2:58" x14ac:dyDescent="0.25">
      <c r="B118" s="262" t="s">
        <v>682</v>
      </c>
      <c r="C118" s="259"/>
      <c r="D118" s="235"/>
      <c r="E118" s="235"/>
      <c r="F118" s="235"/>
      <c r="G118" s="284"/>
      <c r="H118" s="304"/>
      <c r="I118" s="325"/>
      <c r="J118" s="384"/>
      <c r="K118" s="379"/>
      <c r="L118" s="295"/>
      <c r="M118" s="325"/>
      <c r="N118" s="304"/>
      <c r="O118" s="305"/>
      <c r="P118" s="304">
        <f>SUMIF($AT$48:$AT$49,"DR SPL - Non-controlling interests",$AU$48:$AU$49)</f>
        <v>84.800000000000011</v>
      </c>
      <c r="Q118" s="305">
        <f>-SUMIF($AT$48:$AT$49,"DR SPL - Non-controlling interests",$AV$48:$AV$49)</f>
        <v>0</v>
      </c>
      <c r="R118" s="304">
        <f>SUMIF($AT$54:$AT$76,"DR SPL - Non-controlling interests",$AU$54:$AU$76)</f>
        <v>0</v>
      </c>
      <c r="S118" s="305">
        <f>-SUMIF($AT$54:$AT$76,"DR SPL - Non-controlling interests",$AV$54:$AV$76)</f>
        <v>0</v>
      </c>
      <c r="T118" s="304">
        <f>SUMIF($AT$54:$AT$76,"DR SPL - Non-controlling interests",$AU$54:$AU$76)</f>
        <v>0</v>
      </c>
      <c r="U118" s="305">
        <f>-SUMIF($AT$54:$AT$76,"DR SPL - Non-controlling interests",$AV$54:$AV$76)</f>
        <v>0</v>
      </c>
      <c r="V118" s="304">
        <f>SUMIF($AT$69:$AT$76,"DR SPL - Non-controlling interests",$AU$69:$AU$76)</f>
        <v>0</v>
      </c>
      <c r="W118" s="305">
        <f>-SUMIF($AT$69:$AT$76,"DR SPL - Non-controlling interests",$AV$69:$AV$76)</f>
        <v>0</v>
      </c>
      <c r="X118" s="384"/>
      <c r="Y118" s="379"/>
      <c r="Z118" s="295">
        <f>SUMIF($AT$86:$AT$97,"DR SPL - Non-controlling interests",$AU$86:$AU$97)</f>
        <v>0</v>
      </c>
      <c r="AA118" s="325">
        <f>-SUMIF($AT$86:$AT$97,"CR SPL - Non-controlling interests",$AV$86:$AV$97)</f>
        <v>0</v>
      </c>
      <c r="AB118" s="304"/>
      <c r="AC118" s="305"/>
      <c r="AD118" s="304">
        <f>SUMIF($AT$109:$AT$121,"DR NCI (SPL)",$AU$109:$AU$121)</f>
        <v>0</v>
      </c>
      <c r="AE118" s="305">
        <f>-SUMIF($AT$109:$AT$121,"CR NCI (SPL)",$AV$109:$AV$121)</f>
        <v>0</v>
      </c>
      <c r="AF118" s="304"/>
      <c r="AG118" s="305"/>
      <c r="AH118" s="297">
        <f>SUM(H118:AG118)</f>
        <v>84.800000000000011</v>
      </c>
      <c r="AR118" s="401" t="s">
        <v>1576</v>
      </c>
      <c r="AZ118" s="444" t="s">
        <v>1084</v>
      </c>
      <c r="BA118" s="539" t="str">
        <f>"=("&amp;BC116&amp;" * "&amp;'FV adjustments (consol)'!E57&amp;") - ("&amp;'Consol New'!BC117&amp;" * "&amp;'FV adjustments (consol)'!E58&amp;")"</f>
        <v>=( * ) - ( * )</v>
      </c>
      <c r="BB118" s="442"/>
      <c r="BC118" s="442">
        <f>'FV adjustments (consol)'!E58*'Consol New'!BC117-'Consol New'!BC116*'FV adjustments (consol)'!E57</f>
        <v>0</v>
      </c>
      <c r="BD118" s="439"/>
    </row>
    <row r="119" spans="2:58" ht="16.5" thickBot="1" x14ac:dyDescent="0.3">
      <c r="B119" s="232"/>
      <c r="C119" s="259"/>
      <c r="D119" s="235"/>
      <c r="E119" s="235"/>
      <c r="F119" s="235"/>
      <c r="G119" s="284"/>
      <c r="H119" s="302"/>
      <c r="I119" s="284"/>
      <c r="J119" s="382"/>
      <c r="K119" s="383"/>
      <c r="L119" s="294"/>
      <c r="M119" s="284"/>
      <c r="N119" s="302"/>
      <c r="O119" s="303"/>
      <c r="P119" s="294"/>
      <c r="Q119" s="303"/>
      <c r="R119" s="302"/>
      <c r="S119" s="303"/>
      <c r="T119" s="302"/>
      <c r="U119" s="303"/>
      <c r="V119" s="382"/>
      <c r="W119" s="383"/>
      <c r="X119" s="382"/>
      <c r="Y119" s="383"/>
      <c r="Z119" s="320"/>
      <c r="AA119" s="320"/>
      <c r="AB119" s="382"/>
      <c r="AC119" s="383"/>
      <c r="AD119" s="320"/>
      <c r="AE119" s="320"/>
      <c r="AF119" s="302"/>
      <c r="AG119" s="303"/>
      <c r="AH119" s="313">
        <f>AH114</f>
        <v>0</v>
      </c>
      <c r="AT119" s="267" t="s">
        <v>1579</v>
      </c>
      <c r="AU119" s="274">
        <f>AU109+AU113+AU115-AV109-AV113-AV115</f>
        <v>0</v>
      </c>
      <c r="AV119" s="267" t="str">
        <f>IF(AU119&gt;0,"DR","CR")</f>
        <v>CR</v>
      </c>
      <c r="AZ119" s="452" t="s">
        <v>67</v>
      </c>
      <c r="BA119" s="442"/>
      <c r="BB119" s="442"/>
      <c r="BC119" s="442"/>
      <c r="BD119" s="439"/>
    </row>
    <row r="120" spans="2:58" x14ac:dyDescent="0.25">
      <c r="B120" s="232" t="s">
        <v>740</v>
      </c>
      <c r="C120" s="259"/>
      <c r="D120" s="235"/>
      <c r="E120" s="235"/>
      <c r="F120" s="235"/>
      <c r="G120" s="284"/>
      <c r="H120" s="302"/>
      <c r="I120" s="284"/>
      <c r="J120" s="382"/>
      <c r="K120" s="383"/>
      <c r="L120" s="294"/>
      <c r="M120" s="284"/>
      <c r="N120" s="302"/>
      <c r="O120" s="303"/>
      <c r="P120" s="294"/>
      <c r="Q120" s="303"/>
      <c r="R120" s="302"/>
      <c r="S120" s="303"/>
      <c r="T120" s="302"/>
      <c r="U120" s="303"/>
      <c r="V120" s="382"/>
      <c r="W120" s="383"/>
      <c r="X120" s="382"/>
      <c r="Y120" s="383"/>
      <c r="Z120" s="320"/>
      <c r="AA120" s="320"/>
      <c r="AB120" s="382"/>
      <c r="AC120" s="383"/>
      <c r="AD120" s="320"/>
      <c r="AE120" s="320"/>
      <c r="AF120" s="302"/>
      <c r="AG120" s="303"/>
      <c r="AH120" s="297"/>
      <c r="AS120" s="667">
        <f>BC11</f>
        <v>0.2</v>
      </c>
      <c r="AT120" s="267" t="s">
        <v>1578</v>
      </c>
      <c r="AU120" s="536">
        <f>IF(AV119="DR",AU119*BC11,0)</f>
        <v>0</v>
      </c>
      <c r="AV120" s="267">
        <f>IF(AV119="CR",-AU119*BC11,0)</f>
        <v>0</v>
      </c>
      <c r="AZ120" s="444" t="s">
        <v>1085</v>
      </c>
      <c r="BA120" s="442"/>
      <c r="BB120" s="442"/>
      <c r="BC120" s="449"/>
      <c r="BD120" s="439"/>
    </row>
    <row r="121" spans="2:58" x14ac:dyDescent="0.25">
      <c r="B121" s="262" t="s">
        <v>739</v>
      </c>
      <c r="C121" s="259"/>
      <c r="D121" s="235"/>
      <c r="E121" s="235"/>
      <c r="F121" s="235"/>
      <c r="G121" s="284"/>
      <c r="H121" s="302"/>
      <c r="I121" s="284"/>
      <c r="J121" s="382"/>
      <c r="K121" s="383"/>
      <c r="L121" s="294"/>
      <c r="M121" s="284"/>
      <c r="N121" s="302"/>
      <c r="O121" s="303"/>
      <c r="P121" s="294"/>
      <c r="Q121" s="303"/>
      <c r="R121" s="302"/>
      <c r="S121" s="303"/>
      <c r="T121" s="302"/>
      <c r="U121" s="303"/>
      <c r="V121" s="382"/>
      <c r="W121" s="383"/>
      <c r="X121" s="382"/>
      <c r="Y121" s="383"/>
      <c r="Z121" s="320"/>
      <c r="AA121" s="320"/>
      <c r="AB121" s="382"/>
      <c r="AC121" s="383"/>
      <c r="AD121" s="320"/>
      <c r="AE121" s="320"/>
      <c r="AF121" s="302"/>
      <c r="AG121" s="303"/>
      <c r="AH121" s="334">
        <f>AH123-AH122</f>
        <v>0</v>
      </c>
      <c r="AS121" s="667">
        <f>BC11</f>
        <v>0.2</v>
      </c>
      <c r="AT121" s="267" t="s">
        <v>1577</v>
      </c>
      <c r="AU121" s="267">
        <f>IF(AV119="CR",-AU119*BC11,0)</f>
        <v>0</v>
      </c>
      <c r="AV121" s="267">
        <f>IF(AV119="DR",AU119*BC11,0)</f>
        <v>0</v>
      </c>
      <c r="AZ121" s="444" t="s">
        <v>1086</v>
      </c>
      <c r="BA121" s="442" t="str">
        <f>"("&amp;BC120&amp;" * "&amp;'FV adjustments (consol)'!F54&amp;")"</f>
        <v>( * 0)</v>
      </c>
      <c r="BB121" s="442"/>
      <c r="BC121" s="442">
        <f>BC120*'FV adjustments (consol)'!F54</f>
        <v>0</v>
      </c>
      <c r="BD121" s="439"/>
    </row>
    <row r="122" spans="2:58" ht="15.75" thickBot="1" x14ac:dyDescent="0.3">
      <c r="B122" s="262" t="s">
        <v>682</v>
      </c>
      <c r="C122" s="259"/>
      <c r="D122" s="235"/>
      <c r="E122" s="235"/>
      <c r="F122" s="235"/>
      <c r="G122" s="284"/>
      <c r="H122" s="304"/>
      <c r="I122" s="325"/>
      <c r="J122" s="384"/>
      <c r="K122" s="379"/>
      <c r="L122" s="295"/>
      <c r="M122" s="325"/>
      <c r="N122" s="304"/>
      <c r="O122" s="305"/>
      <c r="P122" s="295"/>
      <c r="Q122" s="305"/>
      <c r="R122" s="304"/>
      <c r="S122" s="305"/>
      <c r="T122" s="304"/>
      <c r="U122" s="305"/>
      <c r="V122" s="384"/>
      <c r="W122" s="379"/>
      <c r="X122" s="384"/>
      <c r="Y122" s="379"/>
      <c r="Z122" s="321"/>
      <c r="AA122" s="321"/>
      <c r="AB122" s="384"/>
      <c r="AC122" s="379"/>
      <c r="AD122" s="321"/>
      <c r="AE122" s="321"/>
      <c r="AF122" s="304"/>
      <c r="AG122" s="305"/>
      <c r="AH122" s="339">
        <f>H122-I122</f>
        <v>0</v>
      </c>
      <c r="AZ122" s="453"/>
      <c r="BA122" s="454"/>
      <c r="BB122" s="454"/>
      <c r="BC122" s="454"/>
      <c r="BD122" s="447"/>
    </row>
    <row r="123" spans="2:58" ht="16.5" thickBot="1" x14ac:dyDescent="0.3">
      <c r="B123" s="232"/>
      <c r="C123" s="259"/>
      <c r="D123" s="235"/>
      <c r="E123" s="235"/>
      <c r="F123" s="235"/>
      <c r="G123" s="284"/>
      <c r="H123" s="302"/>
      <c r="I123" s="284"/>
      <c r="J123" s="382"/>
      <c r="K123" s="383"/>
      <c r="L123" s="294"/>
      <c r="M123" s="284"/>
      <c r="N123" s="302"/>
      <c r="O123" s="303"/>
      <c r="P123" s="294"/>
      <c r="Q123" s="303"/>
      <c r="R123" s="302"/>
      <c r="S123" s="303"/>
      <c r="T123" s="302"/>
      <c r="U123" s="303"/>
      <c r="V123" s="382"/>
      <c r="W123" s="383"/>
      <c r="X123" s="382"/>
      <c r="Y123" s="383"/>
      <c r="Z123" s="320"/>
      <c r="AA123" s="320"/>
      <c r="AB123" s="382"/>
      <c r="AC123" s="383"/>
      <c r="AD123" s="320"/>
      <c r="AE123" s="320"/>
      <c r="AF123" s="302"/>
      <c r="AG123" s="303"/>
      <c r="AH123" s="313">
        <f>AH114</f>
        <v>0</v>
      </c>
      <c r="AS123" s="276">
        <v>13</v>
      </c>
      <c r="AT123" s="267" t="str">
        <f>IF(AU123&lt;&gt;0,"DR Retained earnings","CR Retained earnings")</f>
        <v>DR Retained earnings</v>
      </c>
      <c r="AU123" s="275">
        <f>IF($BC$136&gt;0,$BC$136,0)</f>
        <v>3.9500000000001023</v>
      </c>
      <c r="AV123" s="275">
        <f>IF($BC$136&lt;0,-$BC$136,0)</f>
        <v>0</v>
      </c>
      <c r="BF123" s="401" t="s">
        <v>1339</v>
      </c>
    </row>
    <row r="124" spans="2:58" ht="15.75" x14ac:dyDescent="0.25">
      <c r="B124" s="232"/>
      <c r="C124" s="259"/>
      <c r="D124" s="235"/>
      <c r="E124" s="235"/>
      <c r="F124" s="235"/>
      <c r="G124" s="284"/>
      <c r="H124" s="302"/>
      <c r="I124" s="284"/>
      <c r="J124" s="382"/>
      <c r="K124" s="383"/>
      <c r="L124" s="294"/>
      <c r="M124" s="284"/>
      <c r="N124" s="302"/>
      <c r="O124" s="303"/>
      <c r="P124" s="294"/>
      <c r="Q124" s="303"/>
      <c r="R124" s="302"/>
      <c r="S124" s="303"/>
      <c r="T124" s="302"/>
      <c r="U124" s="303"/>
      <c r="V124" s="382"/>
      <c r="W124" s="383"/>
      <c r="X124" s="382"/>
      <c r="Y124" s="383"/>
      <c r="Z124" s="320"/>
      <c r="AA124" s="320"/>
      <c r="AB124" s="382"/>
      <c r="AC124" s="383"/>
      <c r="AD124" s="320"/>
      <c r="AE124" s="320"/>
      <c r="AF124" s="302"/>
      <c r="AG124" s="303"/>
      <c r="AH124" s="340"/>
      <c r="AT124" s="267" t="str">
        <f>IF(AU124&lt;&gt;0,"DR SPL","CR SPL")</f>
        <v>CR SPL</v>
      </c>
      <c r="AU124" s="275">
        <f>IF($BC$136&lt;0,-$BC$136,0)</f>
        <v>0</v>
      </c>
      <c r="AV124" s="275">
        <f>IF($BC$136&gt;0,$BC$136,0)</f>
        <v>3.9500000000001023</v>
      </c>
      <c r="AZ124" s="448" t="s">
        <v>716</v>
      </c>
      <c r="BA124" s="425"/>
      <c r="BB124" s="425"/>
      <c r="BC124" s="425"/>
      <c r="BD124" s="427"/>
    </row>
    <row r="125" spans="2:58" ht="15.75" x14ac:dyDescent="0.25">
      <c r="B125" s="232" t="s">
        <v>741</v>
      </c>
      <c r="C125" s="259" t="s">
        <v>742</v>
      </c>
      <c r="D125" s="235"/>
      <c r="E125" s="235"/>
      <c r="F125" s="235"/>
      <c r="G125" s="284"/>
      <c r="H125" s="302"/>
      <c r="I125" s="284"/>
      <c r="J125" s="382"/>
      <c r="K125" s="383"/>
      <c r="L125" s="383"/>
      <c r="M125" s="284"/>
      <c r="N125" s="302"/>
      <c r="O125" s="303"/>
      <c r="P125" s="294"/>
      <c r="Q125" s="303"/>
      <c r="R125" s="302"/>
      <c r="S125" s="303"/>
      <c r="T125" s="302"/>
      <c r="U125" s="303"/>
      <c r="V125" s="382"/>
      <c r="W125" s="383"/>
      <c r="X125" s="382"/>
      <c r="Y125" s="383"/>
      <c r="Z125" s="320"/>
      <c r="AA125" s="320"/>
      <c r="AB125" s="382"/>
      <c r="AC125" s="383"/>
      <c r="AD125" s="320"/>
      <c r="AE125" s="320"/>
      <c r="AF125" s="302"/>
      <c r="AG125" s="303"/>
      <c r="AH125" s="293" t="s">
        <v>743</v>
      </c>
      <c r="AZ125" s="444" t="s">
        <v>714</v>
      </c>
      <c r="BA125" s="442"/>
      <c r="BB125" s="442"/>
      <c r="BC125" s="451">
        <f>BC35</f>
        <v>0</v>
      </c>
      <c r="BD125" s="439"/>
    </row>
    <row r="126" spans="2:58" x14ac:dyDescent="0.25">
      <c r="B126" s="262" t="s">
        <v>744</v>
      </c>
      <c r="C126" s="259"/>
      <c r="D126" s="235"/>
      <c r="E126" s="235"/>
      <c r="F126" s="235"/>
      <c r="G126" s="284"/>
      <c r="H126" s="302"/>
      <c r="I126" s="284"/>
      <c r="J126" s="382"/>
      <c r="K126" s="383"/>
      <c r="L126" s="320"/>
      <c r="M126" s="284"/>
      <c r="N126" s="302"/>
      <c r="O126" s="303"/>
      <c r="P126" s="294"/>
      <c r="Q126" s="303"/>
      <c r="R126" s="302"/>
      <c r="S126" s="303"/>
      <c r="T126" s="302"/>
      <c r="U126" s="303"/>
      <c r="V126" s="382"/>
      <c r="W126" s="383"/>
      <c r="X126" s="382"/>
      <c r="Y126" s="383"/>
      <c r="Z126" s="320"/>
      <c r="AA126" s="320"/>
      <c r="AB126" s="382"/>
      <c r="AC126" s="383"/>
      <c r="AD126" s="320"/>
      <c r="AE126" s="320"/>
      <c r="AF126" s="302"/>
      <c r="AG126" s="303"/>
      <c r="AH126" s="341"/>
      <c r="AZ126" s="444" t="s">
        <v>715</v>
      </c>
      <c r="BA126" s="442"/>
      <c r="BB126" s="442"/>
      <c r="BC126" s="443">
        <f>BC52</f>
        <v>84.800000000000011</v>
      </c>
      <c r="BD126" s="439"/>
    </row>
    <row r="127" spans="2:58" x14ac:dyDescent="0.25">
      <c r="B127" s="262" t="s">
        <v>745</v>
      </c>
      <c r="C127" s="234" t="s">
        <v>746</v>
      </c>
      <c r="D127" s="235"/>
      <c r="E127" s="235"/>
      <c r="F127" s="235"/>
      <c r="G127" s="284"/>
      <c r="H127" s="308"/>
      <c r="I127" s="354"/>
      <c r="J127" s="390"/>
      <c r="K127" s="391"/>
      <c r="L127" s="378"/>
      <c r="M127" s="354"/>
      <c r="N127" s="308"/>
      <c r="O127" s="309"/>
      <c r="P127" s="333"/>
      <c r="Q127" s="309"/>
      <c r="R127" s="308"/>
      <c r="S127" s="309"/>
      <c r="T127" s="308"/>
      <c r="U127" s="309"/>
      <c r="V127" s="390"/>
      <c r="W127" s="391"/>
      <c r="X127" s="390"/>
      <c r="Y127" s="391"/>
      <c r="Z127" s="378"/>
      <c r="AA127" s="378"/>
      <c r="AB127" s="390"/>
      <c r="AC127" s="391"/>
      <c r="AD127" s="378"/>
      <c r="AE127" s="378"/>
      <c r="AF127" s="308"/>
      <c r="AG127" s="309"/>
      <c r="AH127" s="342"/>
      <c r="AZ127" s="444" t="s">
        <v>897</v>
      </c>
      <c r="BA127" s="442"/>
      <c r="BB127" s="442"/>
      <c r="BC127" s="451">
        <f>BC92</f>
        <v>0</v>
      </c>
      <c r="BD127" s="439"/>
    </row>
    <row r="128" spans="2:58" x14ac:dyDescent="0.25">
      <c r="AV128" s="274"/>
      <c r="AZ128" s="444" t="s">
        <v>898</v>
      </c>
      <c r="BA128" s="442"/>
      <c r="BB128" s="442"/>
      <c r="BC128" s="451">
        <f>-BC93</f>
        <v>0</v>
      </c>
      <c r="BD128" s="439"/>
    </row>
    <row r="129" spans="9:56" x14ac:dyDescent="0.25">
      <c r="AZ129" s="444" t="s">
        <v>899</v>
      </c>
      <c r="BA129" s="442"/>
      <c r="BB129" s="442"/>
      <c r="BC129" s="451">
        <f>-BC96</f>
        <v>0</v>
      </c>
      <c r="BD129" s="439"/>
    </row>
    <row r="130" spans="9:56" ht="15.75" x14ac:dyDescent="0.25">
      <c r="I130" s="541">
        <f>SUM(H12:I59,H67:I127)</f>
        <v>0</v>
      </c>
      <c r="J130" s="541"/>
      <c r="K130" s="541">
        <f>SUM(J12:K59,J67:K127)</f>
        <v>0</v>
      </c>
      <c r="L130" s="541"/>
      <c r="M130" s="541">
        <f>SUM(L12:M59,L67:M127)</f>
        <v>0</v>
      </c>
      <c r="N130" s="541"/>
      <c r="O130" s="541">
        <f>SUM(N12:O59,N67:O127)</f>
        <v>-40.400000000000006</v>
      </c>
      <c r="P130" s="541"/>
      <c r="Q130" s="541">
        <f>SUM(P12:Q59,P67:Q127)</f>
        <v>0</v>
      </c>
      <c r="R130" s="541"/>
      <c r="S130" s="541">
        <f>SUM(R12:S59,R67:S127)</f>
        <v>0</v>
      </c>
      <c r="T130" s="541"/>
      <c r="U130" s="541">
        <f>SUM(T12:U59,T67:U127)</f>
        <v>0</v>
      </c>
      <c r="V130" s="541"/>
      <c r="W130" s="541">
        <f>SUM(V12:W59,V67:W127)</f>
        <v>0</v>
      </c>
      <c r="X130" s="541"/>
      <c r="Y130" s="541">
        <f>SUM(X12:Y59,X67:Y127)</f>
        <v>0</v>
      </c>
      <c r="Z130" s="541"/>
      <c r="AA130" s="541">
        <f>SUM(Z12:AA59,Z67:AA127)</f>
        <v>0</v>
      </c>
      <c r="AB130" s="541"/>
      <c r="AC130" s="541">
        <f>SUM(AB12:AC59,AB67:AC127)</f>
        <v>2293.85</v>
      </c>
      <c r="AD130" s="541"/>
      <c r="AE130" s="541">
        <f>SUM(AD12:AE59,AD67:AE127)</f>
        <v>0</v>
      </c>
      <c r="AF130" s="541"/>
      <c r="AG130" s="541">
        <f>SUM(AF12:AG59,AF67:AG127)</f>
        <v>3.9500000000001023</v>
      </c>
      <c r="AZ130" s="444" t="s">
        <v>817</v>
      </c>
      <c r="BA130" s="442"/>
      <c r="BB130" s="442"/>
      <c r="BC130" s="443">
        <f>BC65</f>
        <v>0</v>
      </c>
      <c r="BD130" s="439"/>
    </row>
    <row r="131" spans="9:56" x14ac:dyDescent="0.25">
      <c r="AV131" s="274"/>
      <c r="AZ131" s="444" t="s">
        <v>788</v>
      </c>
      <c r="BA131" s="442"/>
      <c r="BB131" s="442"/>
      <c r="BC131" s="451">
        <f>AU69-AV70</f>
        <v>0</v>
      </c>
      <c r="BD131" s="439"/>
    </row>
    <row r="132" spans="9:56" x14ac:dyDescent="0.25">
      <c r="AZ132" s="444" t="s">
        <v>816</v>
      </c>
      <c r="BA132" s="442"/>
      <c r="BB132" s="442"/>
      <c r="BC132" s="451">
        <f>AU71</f>
        <v>0</v>
      </c>
      <c r="BD132" s="439"/>
    </row>
    <row r="133" spans="9:56" x14ac:dyDescent="0.25">
      <c r="AZ133" s="444" t="s">
        <v>789</v>
      </c>
      <c r="BA133" s="442"/>
      <c r="BB133" s="442"/>
      <c r="BC133" s="451">
        <f>-AV76</f>
        <v>0</v>
      </c>
      <c r="BD133" s="439"/>
    </row>
    <row r="134" spans="9:56" x14ac:dyDescent="0.25">
      <c r="AZ134" s="444" t="s">
        <v>869</v>
      </c>
      <c r="BA134" s="442"/>
      <c r="BB134" s="442"/>
      <c r="BC134" s="451">
        <f>-BC107</f>
        <v>-80.849999999999909</v>
      </c>
      <c r="BD134" s="439"/>
    </row>
    <row r="135" spans="9:56" x14ac:dyDescent="0.25">
      <c r="AZ135" s="444" t="s">
        <v>1073</v>
      </c>
      <c r="BA135" s="442"/>
      <c r="BB135" s="442"/>
      <c r="BC135" s="451">
        <f>AU119+AU121-AV121</f>
        <v>0</v>
      </c>
      <c r="BD135" s="439"/>
    </row>
    <row r="136" spans="9:56" ht="16.5" thickBot="1" x14ac:dyDescent="0.3">
      <c r="AE136" s="540"/>
      <c r="AF136" s="541" t="s">
        <v>173</v>
      </c>
      <c r="AG136" s="541" t="s">
        <v>165</v>
      </c>
      <c r="AZ136" s="444"/>
      <c r="BA136" s="442"/>
      <c r="BB136" s="442"/>
      <c r="BC136" s="281">
        <f>SUM(BC125:BC135)</f>
        <v>3.9500000000001023</v>
      </c>
      <c r="BD136" s="439"/>
    </row>
    <row r="137" spans="9:56" ht="31.5" thickTop="1" thickBot="1" x14ac:dyDescent="0.3">
      <c r="AE137" s="540" t="s">
        <v>89</v>
      </c>
      <c r="AF137" s="540">
        <f>SUM(AF67:AF127,AF12:AF59,AB12:AB59,AB67:AB127,Z67:Z127,Z12:Z59,AD12:AD59,AD67:AD127,X67:X127,X12:X59,V12:V59,V67:V127,T67:T127,T12:T59,R12:R59,R67:R127,P67:P127,P12:P59,N12:N59,N67:N127,L67:L127,L12:L59,J12:J59,J67:J127,H67:H127,H12:H59)</f>
        <v>5010.4000000000005</v>
      </c>
      <c r="AG137" s="540">
        <f>SUM(AG67:AG127,AG12:AG59,AC12:AC59,AC67:AC127,AA67:AA127,AA12:AA59,AE12:AE59,AE67:AE127,Y67:Y127,Y12:Y59,W12:W59,W67:W127,U67:U127,U12:U59,S12:S59,S67:S127,Q67:Q127,Q12:Q59,O12:O59,O67:O127,M67:M127,M12:M59,K12:K59,K67:K127,I67:I127,I12:I59)</f>
        <v>-2753</v>
      </c>
      <c r="AZ137" s="453"/>
      <c r="BA137" s="454"/>
      <c r="BB137" s="454"/>
      <c r="BC137" s="454"/>
      <c r="BD137" s="447"/>
    </row>
    <row r="138" spans="9:56" ht="30" x14ac:dyDescent="0.25">
      <c r="AE138" s="540" t="s">
        <v>1087</v>
      </c>
      <c r="AF138" s="540">
        <f>AU6</f>
        <v>5050.8</v>
      </c>
      <c r="AG138" s="540">
        <f>-AV6</f>
        <v>-5050.8</v>
      </c>
    </row>
    <row r="139" spans="9:56" x14ac:dyDescent="0.25">
      <c r="AE139" s="540"/>
      <c r="AF139" s="540">
        <f>AF137-AF138</f>
        <v>-40.399999999999636</v>
      </c>
      <c r="AG139" s="540">
        <f>AG137-AG138</f>
        <v>2297.8000000000002</v>
      </c>
      <c r="AI139" s="545" t="s">
        <v>1089</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34" zoomScale="85" zoomScaleNormal="85" workbookViewId="0">
      <selection activeCell="B56" sqref="B56"/>
    </sheetView>
  </sheetViews>
  <sheetFormatPr defaultColWidth="8.7109375" defaultRowHeight="15" x14ac:dyDescent="0.2"/>
  <cols>
    <col min="1" max="1" width="2.140625" style="508" customWidth="1"/>
    <col min="2" max="2" width="8.7109375" style="508"/>
    <col min="3" max="3" width="15.85546875" style="508" customWidth="1"/>
    <col min="4" max="4" width="11.28515625" style="508" customWidth="1"/>
    <col min="5" max="5" width="17.5703125" style="508" customWidth="1"/>
    <col min="6" max="6" width="17.140625" style="508" customWidth="1"/>
    <col min="7" max="7" width="15" style="508" customWidth="1"/>
    <col min="8" max="8" width="13.42578125" style="508" customWidth="1"/>
    <col min="9" max="9" width="8.7109375" style="508"/>
    <col min="10" max="10" width="11.42578125" style="508" customWidth="1"/>
    <col min="11" max="12" width="12.5703125" style="508" bestFit="1" customWidth="1"/>
    <col min="13" max="13" width="17.42578125" style="508" customWidth="1"/>
    <col min="14" max="16384" width="8.7109375" style="508"/>
  </cols>
  <sheetData>
    <row r="1" spans="1:25" ht="14.1" customHeight="1" thickBot="1" x14ac:dyDescent="0.25"/>
    <row r="2" spans="1:25" ht="15.75" x14ac:dyDescent="0.25">
      <c r="B2" s="503" t="s">
        <v>982</v>
      </c>
      <c r="C2" s="425"/>
      <c r="D2" s="425"/>
      <c r="E2" s="425"/>
      <c r="F2" s="425"/>
      <c r="G2" s="427"/>
      <c r="K2" s="517" t="s">
        <v>1005</v>
      </c>
      <c r="S2" s="517" t="s">
        <v>1751</v>
      </c>
    </row>
    <row r="3" spans="1:25" x14ac:dyDescent="0.2">
      <c r="B3" s="465" t="s">
        <v>983</v>
      </c>
      <c r="C3" s="442"/>
      <c r="D3" s="442"/>
      <c r="E3" s="442"/>
      <c r="F3" s="442"/>
      <c r="G3" s="466">
        <v>6000</v>
      </c>
      <c r="K3" s="508" t="s">
        <v>1006</v>
      </c>
      <c r="M3" s="515">
        <v>3900</v>
      </c>
      <c r="S3" s="508" t="s">
        <v>1749</v>
      </c>
      <c r="W3" s="515">
        <v>890</v>
      </c>
      <c r="Y3" s="509" t="s">
        <v>1753</v>
      </c>
    </row>
    <row r="4" spans="1:25" x14ac:dyDescent="0.2">
      <c r="B4" s="465" t="s">
        <v>984</v>
      </c>
      <c r="C4" s="442"/>
      <c r="D4" s="442"/>
      <c r="E4" s="442"/>
      <c r="F4" s="442"/>
      <c r="G4" s="466">
        <f>+M6</f>
        <v>3503.9644212843377</v>
      </c>
      <c r="K4" s="508" t="s">
        <v>240</v>
      </c>
      <c r="M4" s="542">
        <v>5.5E-2</v>
      </c>
      <c r="S4" s="508" t="s">
        <v>1750</v>
      </c>
      <c r="W4" s="515">
        <v>978</v>
      </c>
    </row>
    <row r="5" spans="1:25" x14ac:dyDescent="0.2">
      <c r="B5" s="465" t="s">
        <v>985</v>
      </c>
      <c r="C5" s="442"/>
      <c r="D5" s="528" t="s">
        <v>1021</v>
      </c>
      <c r="E5" s="528" t="s">
        <v>1006</v>
      </c>
      <c r="F5" s="528" t="s">
        <v>1022</v>
      </c>
      <c r="G5" s="467"/>
      <c r="K5" s="508" t="s">
        <v>489</v>
      </c>
      <c r="M5" s="515">
        <v>2</v>
      </c>
      <c r="S5" s="508" t="s">
        <v>1751</v>
      </c>
      <c r="W5" s="508">
        <f>W4-W3</f>
        <v>88</v>
      </c>
    </row>
    <row r="6" spans="1:25" x14ac:dyDescent="0.2">
      <c r="B6" s="465"/>
      <c r="C6" s="442"/>
      <c r="D6" s="423"/>
      <c r="E6" s="423"/>
      <c r="F6" s="423"/>
      <c r="G6" s="467">
        <f>F6*D6</f>
        <v>0</v>
      </c>
      <c r="K6" s="508" t="s">
        <v>228</v>
      </c>
      <c r="M6" s="530">
        <f>(M3)/(1+M4)^M5</f>
        <v>3503.9644212843377</v>
      </c>
      <c r="N6" s="508" t="str">
        <f>"=("&amp;M3&amp;")/(1+"&amp;M4&amp;")^"&amp;M5</f>
        <v>=(3900)/(1+0.055)^2</v>
      </c>
    </row>
    <row r="7" spans="1:25" x14ac:dyDescent="0.2">
      <c r="B7" s="465" t="s">
        <v>988</v>
      </c>
      <c r="C7" s="442"/>
      <c r="D7" s="423"/>
      <c r="E7" s="442"/>
      <c r="F7" s="442"/>
      <c r="G7" s="467">
        <f>D7*F6</f>
        <v>0</v>
      </c>
      <c r="H7" s="509" t="s">
        <v>843</v>
      </c>
    </row>
    <row r="8" spans="1:25" x14ac:dyDescent="0.2">
      <c r="B8" s="465" t="s">
        <v>986</v>
      </c>
      <c r="C8" s="442"/>
      <c r="D8" s="442"/>
      <c r="E8" s="442"/>
      <c r="F8" s="442"/>
      <c r="G8" s="466">
        <v>560</v>
      </c>
    </row>
    <row r="9" spans="1:25" x14ac:dyDescent="0.2">
      <c r="B9" s="465" t="s">
        <v>987</v>
      </c>
      <c r="C9" s="504"/>
      <c r="D9" s="504"/>
      <c r="E9" s="442"/>
      <c r="F9" s="442"/>
      <c r="G9" s="466">
        <f>+W4</f>
        <v>978</v>
      </c>
      <c r="K9" s="509" t="s">
        <v>1795</v>
      </c>
    </row>
    <row r="10" spans="1:25" ht="16.5" thickBot="1" x14ac:dyDescent="0.25">
      <c r="B10" s="453"/>
      <c r="C10" s="505"/>
      <c r="D10" s="505"/>
      <c r="E10" s="454"/>
      <c r="F10" s="454"/>
      <c r="G10" s="531">
        <f>SUM(G3:G9)</f>
        <v>11041.964421284338</v>
      </c>
    </row>
    <row r="11" spans="1:25" x14ac:dyDescent="0.2">
      <c r="K11" s="508" t="s">
        <v>1798</v>
      </c>
      <c r="M11" s="508">
        <f>M4*M3</f>
        <v>214.5</v>
      </c>
      <c r="N11" s="509" t="str">
        <f>"= "&amp;M4*100&amp;"% * "&amp;M3</f>
        <v>= 5.5% * 3900</v>
      </c>
    </row>
    <row r="12" spans="1:25" x14ac:dyDescent="0.2">
      <c r="B12" s="506" t="s">
        <v>372</v>
      </c>
      <c r="C12" s="510"/>
      <c r="D12" s="510"/>
      <c r="E12" s="511">
        <f>G10</f>
        <v>11041.964421284338</v>
      </c>
      <c r="F12" s="510"/>
    </row>
    <row r="13" spans="1:25" x14ac:dyDescent="0.2">
      <c r="B13" s="506" t="s">
        <v>989</v>
      </c>
      <c r="C13" s="510"/>
      <c r="D13" s="510"/>
      <c r="E13" s="510"/>
      <c r="F13" s="511">
        <f>G3</f>
        <v>6000</v>
      </c>
      <c r="K13" s="508" t="s">
        <v>992</v>
      </c>
      <c r="N13" s="508">
        <f>M11</f>
        <v>214.5</v>
      </c>
    </row>
    <row r="14" spans="1:25" x14ac:dyDescent="0.2">
      <c r="B14" s="506" t="s">
        <v>991</v>
      </c>
      <c r="C14" s="510"/>
      <c r="D14" s="510"/>
      <c r="E14" s="510"/>
      <c r="F14" s="521">
        <f>D6*E6</f>
        <v>0</v>
      </c>
      <c r="K14" s="508" t="s">
        <v>1799</v>
      </c>
      <c r="M14" s="508">
        <f>M11</f>
        <v>214.5</v>
      </c>
    </row>
    <row r="15" spans="1:25" x14ac:dyDescent="0.2">
      <c r="A15" s="510"/>
      <c r="B15" s="506" t="s">
        <v>990</v>
      </c>
      <c r="C15" s="510"/>
      <c r="D15" s="510"/>
      <c r="E15" s="510"/>
      <c r="F15" s="511">
        <f>G6-F14</f>
        <v>0</v>
      </c>
    </row>
    <row r="16" spans="1:25" x14ac:dyDescent="0.2">
      <c r="A16" s="510"/>
      <c r="B16" s="506" t="s">
        <v>992</v>
      </c>
      <c r="C16" s="510"/>
      <c r="D16" s="510"/>
      <c r="E16" s="510"/>
      <c r="F16" s="511">
        <f>G4</f>
        <v>3503.9644212843377</v>
      </c>
    </row>
    <row r="17" spans="1:14" x14ac:dyDescent="0.2">
      <c r="A17" s="510"/>
      <c r="B17" s="506" t="s">
        <v>1023</v>
      </c>
      <c r="C17" s="510"/>
      <c r="D17" s="510"/>
      <c r="E17" s="510"/>
      <c r="F17" s="511">
        <f>G7</f>
        <v>0</v>
      </c>
    </row>
    <row r="18" spans="1:14" x14ac:dyDescent="0.2">
      <c r="A18" s="510"/>
      <c r="B18" s="506" t="str">
        <f>IF(W5&gt;0,"CR SPL - gain on disposal","DR SPL - Loss on disposal")</f>
        <v>CR SPL - gain on disposal</v>
      </c>
      <c r="C18" s="510"/>
      <c r="D18" s="510"/>
      <c r="E18" s="511">
        <f>IF(W5&lt;0,-W5,0)</f>
        <v>0</v>
      </c>
      <c r="F18" s="511">
        <f>IF(W5&gt;0,W5,0)</f>
        <v>88</v>
      </c>
      <c r="K18" s="508" t="s">
        <v>1162</v>
      </c>
      <c r="M18" s="508">
        <v>14</v>
      </c>
    </row>
    <row r="19" spans="1:14" x14ac:dyDescent="0.2">
      <c r="A19" s="510"/>
      <c r="B19" s="506" t="s">
        <v>1796</v>
      </c>
      <c r="C19" s="510"/>
      <c r="D19" s="510"/>
      <c r="E19" s="510"/>
      <c r="F19" s="511">
        <f>G8</f>
        <v>560</v>
      </c>
      <c r="K19" s="508" t="s">
        <v>1008</v>
      </c>
      <c r="N19" s="508">
        <v>14</v>
      </c>
    </row>
    <row r="20" spans="1:14" x14ac:dyDescent="0.2">
      <c r="A20" s="510"/>
      <c r="B20" s="506" t="s">
        <v>1752</v>
      </c>
      <c r="C20" s="510"/>
      <c r="D20" s="510"/>
      <c r="E20" s="510"/>
      <c r="F20" s="511">
        <f>W3</f>
        <v>890</v>
      </c>
    </row>
    <row r="21" spans="1:14" x14ac:dyDescent="0.2">
      <c r="A21" s="510"/>
      <c r="B21" s="510"/>
      <c r="C21" s="510"/>
      <c r="D21" s="510"/>
      <c r="E21" s="510"/>
      <c r="F21" s="510"/>
      <c r="K21" s="508" t="s">
        <v>611</v>
      </c>
      <c r="N21" s="508">
        <f>560-535</f>
        <v>25</v>
      </c>
    </row>
    <row r="22" spans="1:14" ht="15.75" x14ac:dyDescent="0.2">
      <c r="A22" s="510"/>
      <c r="B22" s="507" t="s">
        <v>993</v>
      </c>
      <c r="C22" s="510"/>
      <c r="D22" s="510"/>
      <c r="E22" s="510"/>
      <c r="F22" s="510"/>
      <c r="I22" s="741"/>
      <c r="K22" s="508" t="s">
        <v>1880</v>
      </c>
      <c r="N22" s="508">
        <v>25</v>
      </c>
    </row>
    <row r="23" spans="1:14" x14ac:dyDescent="0.2">
      <c r="A23" s="510"/>
      <c r="B23" s="506" t="s">
        <v>994</v>
      </c>
      <c r="C23" s="510"/>
      <c r="D23" s="510"/>
      <c r="E23" s="515"/>
      <c r="F23" s="515"/>
    </row>
    <row r="24" spans="1:14" x14ac:dyDescent="0.2">
      <c r="A24" s="510"/>
      <c r="B24" s="506" t="s">
        <v>989</v>
      </c>
      <c r="C24" s="510"/>
      <c r="D24" s="510"/>
      <c r="E24" s="515"/>
      <c r="F24" s="515"/>
      <c r="K24" s="508" t="s">
        <v>1881</v>
      </c>
      <c r="N24" s="508">
        <v>65</v>
      </c>
    </row>
    <row r="25" spans="1:14" x14ac:dyDescent="0.2">
      <c r="A25" s="510"/>
      <c r="B25" s="506"/>
      <c r="C25" s="510"/>
      <c r="D25" s="510"/>
      <c r="E25" s="510"/>
      <c r="F25" s="510"/>
      <c r="K25" s="508" t="s">
        <v>1882</v>
      </c>
      <c r="N25" s="508">
        <v>65</v>
      </c>
    </row>
    <row r="26" spans="1:14" x14ac:dyDescent="0.2">
      <c r="A26" s="510"/>
      <c r="B26" s="506" t="s">
        <v>1007</v>
      </c>
      <c r="C26" s="510"/>
      <c r="D26" s="510"/>
      <c r="E26" s="515"/>
      <c r="F26" s="515"/>
    </row>
    <row r="27" spans="1:14" x14ac:dyDescent="0.2">
      <c r="A27" s="510"/>
      <c r="B27" s="506" t="s">
        <v>1008</v>
      </c>
      <c r="C27" s="510"/>
      <c r="D27" s="510"/>
      <c r="E27" s="515"/>
      <c r="F27" s="515"/>
    </row>
    <row r="28" spans="1:14" x14ac:dyDescent="0.2">
      <c r="A28" s="510"/>
      <c r="B28" s="506"/>
      <c r="C28" s="510"/>
      <c r="D28" s="510"/>
      <c r="E28" s="510"/>
      <c r="F28" s="510"/>
      <c r="G28" s="510"/>
      <c r="H28" s="510"/>
      <c r="I28" s="510"/>
      <c r="J28" s="510"/>
      <c r="K28" s="510"/>
    </row>
    <row r="29" spans="1:14" x14ac:dyDescent="0.2">
      <c r="A29" s="510"/>
      <c r="B29" s="506" t="s">
        <v>1009</v>
      </c>
      <c r="C29" s="510"/>
      <c r="D29" s="510"/>
      <c r="E29" s="515"/>
      <c r="F29" s="515"/>
    </row>
    <row r="30" spans="1:14" x14ac:dyDescent="0.2">
      <c r="A30" s="510"/>
      <c r="B30" s="506" t="s">
        <v>989</v>
      </c>
      <c r="C30" s="510"/>
      <c r="D30" s="510"/>
      <c r="E30" s="515"/>
      <c r="F30" s="515"/>
    </row>
    <row r="31" spans="1:14" x14ac:dyDescent="0.2">
      <c r="A31" s="510"/>
      <c r="B31" s="506"/>
      <c r="C31" s="510"/>
      <c r="D31" s="510"/>
      <c r="E31" s="510"/>
      <c r="F31" s="510"/>
    </row>
    <row r="32" spans="1:14" ht="15.95" customHeight="1" x14ac:dyDescent="0.2">
      <c r="A32" s="510"/>
      <c r="B32" s="818" t="s">
        <v>1570</v>
      </c>
      <c r="C32" s="818"/>
      <c r="D32" s="818"/>
      <c r="E32" s="818"/>
      <c r="F32" s="818"/>
      <c r="G32" s="818"/>
      <c r="H32" s="818"/>
      <c r="I32" s="818"/>
      <c r="J32" s="818"/>
      <c r="K32" s="818"/>
    </row>
    <row r="33" spans="1:15" x14ac:dyDescent="0.2">
      <c r="A33" s="510"/>
      <c r="B33" s="818"/>
      <c r="C33" s="818"/>
      <c r="D33" s="818"/>
      <c r="E33" s="818"/>
      <c r="F33" s="818"/>
      <c r="G33" s="818"/>
      <c r="H33" s="818"/>
      <c r="I33" s="818"/>
      <c r="J33" s="818"/>
      <c r="K33" s="818"/>
    </row>
    <row r="34" spans="1:15" ht="15.6" customHeight="1" x14ac:dyDescent="0.2">
      <c r="A34" s="510"/>
      <c r="B34" s="818"/>
      <c r="C34" s="818"/>
      <c r="D34" s="818"/>
      <c r="E34" s="818"/>
      <c r="F34" s="818"/>
      <c r="G34" s="818"/>
      <c r="H34" s="818"/>
      <c r="I34" s="818"/>
      <c r="J34" s="818"/>
      <c r="K34" s="818"/>
    </row>
    <row r="35" spans="1:15" x14ac:dyDescent="0.2">
      <c r="A35" s="510"/>
      <c r="B35" s="818"/>
      <c r="C35" s="818"/>
      <c r="D35" s="818"/>
      <c r="E35" s="818"/>
      <c r="F35" s="818"/>
      <c r="G35" s="818"/>
      <c r="H35" s="818"/>
      <c r="I35" s="818"/>
      <c r="J35" s="818"/>
      <c r="K35" s="818"/>
      <c r="O35" s="509" t="s">
        <v>1000</v>
      </c>
    </row>
    <row r="36" spans="1:15" x14ac:dyDescent="0.2">
      <c r="A36" s="510"/>
      <c r="B36" s="818"/>
      <c r="C36" s="818"/>
      <c r="D36" s="818"/>
      <c r="E36" s="818"/>
      <c r="F36" s="818"/>
      <c r="G36" s="818"/>
      <c r="H36" s="818"/>
      <c r="I36" s="818"/>
      <c r="J36" s="818"/>
      <c r="K36" s="818"/>
    </row>
    <row r="37" spans="1:15" x14ac:dyDescent="0.2">
      <c r="A37" s="510"/>
      <c r="B37" s="818"/>
      <c r="C37" s="818"/>
      <c r="D37" s="818"/>
      <c r="E37" s="818"/>
      <c r="F37" s="818"/>
      <c r="G37" s="818"/>
      <c r="H37" s="818"/>
      <c r="I37" s="818"/>
      <c r="J37" s="818"/>
      <c r="K37" s="818"/>
      <c r="O37" s="509" t="s">
        <v>1020</v>
      </c>
    </row>
    <row r="38" spans="1:15" ht="15.75" x14ac:dyDescent="0.25">
      <c r="A38" s="510"/>
      <c r="B38" s="513" t="s">
        <v>1010</v>
      </c>
      <c r="C38" s="510"/>
      <c r="D38" s="510"/>
      <c r="E38" s="510"/>
      <c r="F38" s="535" t="s">
        <v>114</v>
      </c>
    </row>
    <row r="39" spans="1:15" x14ac:dyDescent="0.2">
      <c r="A39" s="510"/>
      <c r="B39" s="666" t="s">
        <v>1883</v>
      </c>
      <c r="C39" s="510"/>
      <c r="D39" s="510"/>
      <c r="E39" s="510"/>
      <c r="F39" s="510"/>
      <c r="O39" s="509" t="s">
        <v>1028</v>
      </c>
    </row>
    <row r="40" spans="1:15" ht="15.75" x14ac:dyDescent="0.2">
      <c r="B40" s="507" t="s">
        <v>36</v>
      </c>
    </row>
    <row r="41" spans="1:15" x14ac:dyDescent="0.2">
      <c r="A41" s="510"/>
      <c r="B41" s="506" t="s">
        <v>1011</v>
      </c>
      <c r="C41" s="510"/>
      <c r="D41" s="510"/>
      <c r="E41" s="737"/>
      <c r="O41" s="508" t="s">
        <v>1033</v>
      </c>
    </row>
    <row r="42" spans="1:15" x14ac:dyDescent="0.2">
      <c r="B42" s="506" t="s">
        <v>233</v>
      </c>
      <c r="E42" s="512"/>
      <c r="H42" s="526" t="str">
        <f>IF(F44&gt;0,"DR PPE","CR PPE")</f>
        <v>CR PPE</v>
      </c>
      <c r="I42" s="526"/>
      <c r="J42" s="526"/>
      <c r="K42" s="527">
        <f>F44</f>
        <v>0</v>
      </c>
      <c r="L42" s="526"/>
    </row>
    <row r="43" spans="1:15" x14ac:dyDescent="0.2">
      <c r="B43" s="506" t="s">
        <v>293</v>
      </c>
      <c r="E43" s="512"/>
      <c r="H43" s="526" t="str">
        <f>IF(E41="Yes","CR Revaluation surplus"," ")</f>
        <v xml:space="preserve"> </v>
      </c>
      <c r="I43" s="526"/>
      <c r="J43" s="526"/>
      <c r="K43" s="526"/>
      <c r="L43" s="527">
        <f>IF(E41="Yes",F44,0)</f>
        <v>0</v>
      </c>
    </row>
    <row r="44" spans="1:15" x14ac:dyDescent="0.2">
      <c r="F44" s="514">
        <f>E43-E42</f>
        <v>0</v>
      </c>
      <c r="H44" s="526"/>
      <c r="I44" s="526"/>
      <c r="J44" s="526"/>
      <c r="K44" s="526"/>
      <c r="L44" s="526"/>
      <c r="O44" s="508" t="s">
        <v>1034</v>
      </c>
    </row>
    <row r="45" spans="1:15" x14ac:dyDescent="0.2">
      <c r="F45" s="514"/>
      <c r="H45" s="526"/>
      <c r="I45" s="526"/>
      <c r="J45" s="526"/>
      <c r="K45" s="526"/>
      <c r="L45" s="526"/>
    </row>
    <row r="46" spans="1:15" ht="15.75" x14ac:dyDescent="0.2">
      <c r="B46" s="507" t="s">
        <v>1074</v>
      </c>
      <c r="H46" s="526"/>
      <c r="I46" s="526"/>
      <c r="J46" s="526"/>
      <c r="K46" s="526"/>
      <c r="L46" s="526"/>
      <c r="O46" s="508" t="s">
        <v>1035</v>
      </c>
    </row>
    <row r="47" spans="1:15" x14ac:dyDescent="0.2">
      <c r="B47" s="506" t="s">
        <v>1011</v>
      </c>
      <c r="E47" s="515"/>
      <c r="H47" s="526"/>
      <c r="I47" s="526"/>
      <c r="J47" s="526"/>
      <c r="K47" s="526"/>
      <c r="L47" s="526"/>
    </row>
    <row r="48" spans="1:15" x14ac:dyDescent="0.2">
      <c r="B48" s="506" t="s">
        <v>233</v>
      </c>
      <c r="E48" s="512"/>
      <c r="H48" s="526" t="s">
        <v>1088</v>
      </c>
      <c r="I48" s="526"/>
      <c r="J48" s="526"/>
      <c r="K48" s="527">
        <f>F50</f>
        <v>0</v>
      </c>
      <c r="L48" s="526"/>
    </row>
    <row r="49" spans="2:21" x14ac:dyDescent="0.2">
      <c r="B49" s="506" t="s">
        <v>293</v>
      </c>
      <c r="E49" s="512"/>
      <c r="H49" s="526" t="str">
        <f>IF(E47="Yes","CR Revaluation surplus"," ")</f>
        <v xml:space="preserve"> </v>
      </c>
      <c r="I49" s="526"/>
      <c r="J49" s="526"/>
      <c r="K49" s="526"/>
      <c r="L49" s="527">
        <f>IF(E47="Yes",F50,0)</f>
        <v>0</v>
      </c>
    </row>
    <row r="50" spans="2:21" ht="15.75" x14ac:dyDescent="0.2">
      <c r="B50" s="507"/>
      <c r="F50" s="514">
        <f>E49-E48</f>
        <v>0</v>
      </c>
      <c r="H50" s="526"/>
      <c r="I50" s="526"/>
      <c r="J50" s="526"/>
      <c r="K50" s="526"/>
      <c r="L50" s="526"/>
      <c r="O50" s="508" t="s">
        <v>1030</v>
      </c>
      <c r="T50" s="529"/>
    </row>
    <row r="51" spans="2:21" ht="15.75" x14ac:dyDescent="0.2">
      <c r="B51" s="507" t="s">
        <v>56</v>
      </c>
      <c r="H51" s="526"/>
      <c r="I51" s="526"/>
      <c r="J51" s="526"/>
      <c r="K51" s="526"/>
      <c r="L51" s="526"/>
    </row>
    <row r="52" spans="2:21" x14ac:dyDescent="0.2">
      <c r="B52" s="506" t="s">
        <v>233</v>
      </c>
      <c r="E52" s="515"/>
      <c r="H52" s="526" t="s">
        <v>995</v>
      </c>
      <c r="I52" s="526"/>
      <c r="J52" s="526"/>
      <c r="K52" s="526">
        <f>F54</f>
        <v>0</v>
      </c>
      <c r="L52" s="526"/>
      <c r="O52" s="508" t="s">
        <v>323</v>
      </c>
      <c r="T52" s="508">
        <f>$T$50*$K$52</f>
        <v>0</v>
      </c>
    </row>
    <row r="53" spans="2:21" x14ac:dyDescent="0.2">
      <c r="B53" s="506" t="s">
        <v>293</v>
      </c>
      <c r="E53" s="515"/>
      <c r="H53" s="526"/>
      <c r="I53" s="526"/>
      <c r="J53" s="526"/>
      <c r="K53" s="526"/>
      <c r="L53" s="526"/>
      <c r="O53" s="508" t="s">
        <v>321</v>
      </c>
      <c r="U53" s="508">
        <f>$T$50*$K$52</f>
        <v>0</v>
      </c>
    </row>
    <row r="54" spans="2:21" x14ac:dyDescent="0.2">
      <c r="F54" s="508">
        <f>E53-E52</f>
        <v>0</v>
      </c>
      <c r="H54" s="526"/>
      <c r="I54" s="526"/>
      <c r="J54" s="526"/>
      <c r="K54" s="526"/>
      <c r="L54" s="526"/>
    </row>
    <row r="55" spans="2:21" x14ac:dyDescent="0.2">
      <c r="B55" s="509" t="s">
        <v>1572</v>
      </c>
      <c r="H55" s="526"/>
      <c r="I55" s="526"/>
      <c r="J55" s="526"/>
      <c r="K55" s="526"/>
      <c r="L55" s="526"/>
      <c r="O55" s="508" t="s">
        <v>1031</v>
      </c>
      <c r="T55" s="529"/>
    </row>
    <row r="56" spans="2:21" ht="15.75" x14ac:dyDescent="0.25">
      <c r="B56" s="517" t="s">
        <v>1029</v>
      </c>
      <c r="H56" s="526"/>
      <c r="I56" s="526"/>
      <c r="J56" s="526"/>
      <c r="K56" s="526"/>
      <c r="L56" s="526"/>
      <c r="O56" s="508" t="s">
        <v>1032</v>
      </c>
      <c r="T56" s="532"/>
    </row>
    <row r="57" spans="2:21" x14ac:dyDescent="0.2">
      <c r="B57" s="508" t="s">
        <v>233</v>
      </c>
      <c r="E57" s="515"/>
      <c r="H57" s="526" t="str">
        <f>IF(F59&gt;0,"DR bond liability","CR bond liability")</f>
        <v>CR bond liability</v>
      </c>
      <c r="I57" s="526"/>
      <c r="J57" s="526"/>
      <c r="K57" s="526"/>
      <c r="L57" s="526">
        <f>IF(F59&gt;0,F59,-F59)</f>
        <v>0</v>
      </c>
    </row>
    <row r="58" spans="2:21" x14ac:dyDescent="0.2">
      <c r="B58" s="508" t="s">
        <v>293</v>
      </c>
      <c r="E58" s="515"/>
      <c r="H58" s="526"/>
      <c r="I58" s="526"/>
      <c r="J58" s="526"/>
      <c r="K58" s="526"/>
      <c r="L58" s="526"/>
      <c r="O58" s="508" t="s">
        <v>611</v>
      </c>
      <c r="T58" s="508">
        <f>E57*T55-E58*T56</f>
        <v>0</v>
      </c>
    </row>
    <row r="59" spans="2:21" x14ac:dyDescent="0.2">
      <c r="F59" s="508">
        <f>-(E58-E57)</f>
        <v>0</v>
      </c>
      <c r="H59" s="526"/>
      <c r="I59" s="526"/>
      <c r="J59" s="526"/>
      <c r="K59" s="526"/>
      <c r="L59" s="526"/>
      <c r="O59" s="508" t="s">
        <v>1037</v>
      </c>
      <c r="U59" s="508">
        <f>E57*T55-E58*T56</f>
        <v>0</v>
      </c>
    </row>
    <row r="60" spans="2:21" ht="15.75" x14ac:dyDescent="0.25">
      <c r="B60" s="517" t="s">
        <v>396</v>
      </c>
      <c r="H60" s="526"/>
      <c r="I60" s="526"/>
      <c r="J60" s="526"/>
      <c r="K60" s="526"/>
      <c r="L60" s="526"/>
    </row>
    <row r="61" spans="2:21" x14ac:dyDescent="0.2">
      <c r="B61" s="508" t="s">
        <v>233</v>
      </c>
      <c r="E61" s="515"/>
      <c r="H61" s="526" t="s">
        <v>1012</v>
      </c>
      <c r="I61" s="526"/>
      <c r="J61" s="526"/>
      <c r="K61" s="526">
        <f>F63</f>
        <v>0</v>
      </c>
      <c r="L61" s="526"/>
    </row>
    <row r="62" spans="2:21" x14ac:dyDescent="0.2">
      <c r="B62" s="508" t="s">
        <v>293</v>
      </c>
      <c r="E62" s="515"/>
      <c r="H62" s="526"/>
      <c r="I62" s="526"/>
      <c r="J62" s="526"/>
      <c r="K62" s="526"/>
      <c r="L62" s="526"/>
      <c r="O62" s="508" t="s">
        <v>1036</v>
      </c>
      <c r="T62" s="508">
        <f>-U59+T44+T52</f>
        <v>0</v>
      </c>
    </row>
    <row r="63" spans="2:21" x14ac:dyDescent="0.2">
      <c r="F63" s="508">
        <f>E62-E61</f>
        <v>0</v>
      </c>
      <c r="H63" s="526"/>
      <c r="I63" s="526"/>
      <c r="J63" s="526"/>
      <c r="K63" s="526"/>
      <c r="L63" s="526"/>
    </row>
    <row r="64" spans="2:21" x14ac:dyDescent="0.2">
      <c r="B64" s="509" t="s">
        <v>1571</v>
      </c>
      <c r="H64" s="526"/>
      <c r="I64" s="526"/>
      <c r="J64" s="526"/>
      <c r="K64" s="526"/>
      <c r="L64" s="526"/>
      <c r="O64" s="508" t="s">
        <v>1038</v>
      </c>
      <c r="T64" s="515"/>
    </row>
    <row r="65" spans="2:21" ht="15.75" x14ac:dyDescent="0.2">
      <c r="B65" s="507" t="s">
        <v>996</v>
      </c>
      <c r="H65" s="526"/>
      <c r="I65" s="526"/>
      <c r="J65" s="526"/>
      <c r="K65" s="526"/>
      <c r="L65" s="526"/>
    </row>
    <row r="66" spans="2:21" x14ac:dyDescent="0.2">
      <c r="B66" s="506" t="s">
        <v>997</v>
      </c>
      <c r="F66" s="516"/>
      <c r="H66" s="526" t="s">
        <v>998</v>
      </c>
      <c r="I66" s="526"/>
      <c r="J66" s="526"/>
      <c r="K66" s="527">
        <f>F66+F69</f>
        <v>0</v>
      </c>
      <c r="L66" s="526"/>
    </row>
    <row r="67" spans="2:21" x14ac:dyDescent="0.2">
      <c r="O67" s="508" t="s">
        <v>1039</v>
      </c>
      <c r="T67" s="508">
        <f>T64</f>
        <v>0</v>
      </c>
    </row>
    <row r="68" spans="2:21" x14ac:dyDescent="0.2">
      <c r="B68" s="523" t="s">
        <v>999</v>
      </c>
      <c r="O68" s="508" t="s">
        <v>1040</v>
      </c>
      <c r="U68" s="508">
        <f>T64</f>
        <v>0</v>
      </c>
    </row>
    <row r="69" spans="2:21" x14ac:dyDescent="0.2">
      <c r="B69" s="508" t="s">
        <v>1001</v>
      </c>
      <c r="F69" s="512"/>
      <c r="K69" s="514"/>
    </row>
    <row r="71" spans="2:21" ht="15.75" x14ac:dyDescent="0.25">
      <c r="B71" s="517" t="s">
        <v>671</v>
      </c>
    </row>
    <row r="72" spans="2:21" x14ac:dyDescent="0.2">
      <c r="E72" s="515"/>
      <c r="H72" s="508" t="s">
        <v>387</v>
      </c>
      <c r="K72" s="508">
        <f>F74</f>
        <v>0</v>
      </c>
    </row>
    <row r="73" spans="2:21" x14ac:dyDescent="0.2">
      <c r="E73" s="515"/>
    </row>
    <row r="74" spans="2:21" x14ac:dyDescent="0.2">
      <c r="F74" s="508">
        <f>E73-E72</f>
        <v>0</v>
      </c>
      <c r="O74" s="509" t="s">
        <v>1797</v>
      </c>
    </row>
    <row r="75" spans="2:21" x14ac:dyDescent="0.2">
      <c r="F75" s="521"/>
      <c r="K75" s="514"/>
    </row>
    <row r="76" spans="2:21" ht="15.75" x14ac:dyDescent="0.25">
      <c r="B76" s="517" t="s">
        <v>1013</v>
      </c>
      <c r="F76" s="521"/>
      <c r="K76" s="514"/>
    </row>
    <row r="77" spans="2:21" x14ac:dyDescent="0.2">
      <c r="B77" s="508" t="s">
        <v>1014</v>
      </c>
      <c r="F77" s="512"/>
      <c r="H77" s="508" t="s">
        <v>1015</v>
      </c>
      <c r="L77" s="514">
        <f>-F77</f>
        <v>0</v>
      </c>
    </row>
    <row r="78" spans="2:21" x14ac:dyDescent="0.2">
      <c r="B78" s="508" t="s">
        <v>1016</v>
      </c>
      <c r="F78" s="520">
        <f>SUM(F38:F77)</f>
        <v>0</v>
      </c>
    </row>
    <row r="79" spans="2:21" x14ac:dyDescent="0.2">
      <c r="F79" s="518"/>
    </row>
    <row r="80" spans="2:21" x14ac:dyDescent="0.2">
      <c r="B80" s="508" t="s">
        <v>1002</v>
      </c>
      <c r="F80" s="512"/>
    </row>
    <row r="81" spans="2:13" ht="16.5" thickBot="1" x14ac:dyDescent="0.3">
      <c r="B81" s="517" t="s">
        <v>1003</v>
      </c>
      <c r="C81" s="517"/>
      <c r="D81" s="517"/>
      <c r="E81" s="517"/>
      <c r="F81" s="524">
        <f>SUM(F78:F80)</f>
        <v>0</v>
      </c>
      <c r="H81" s="517" t="s">
        <v>771</v>
      </c>
      <c r="K81" s="365">
        <f>SUM(K42:K80)</f>
        <v>0</v>
      </c>
      <c r="L81" s="365">
        <f>SUM(L42:L80)</f>
        <v>0</v>
      </c>
      <c r="M81" s="365">
        <f>F78-K81+L81</f>
        <v>0</v>
      </c>
    </row>
    <row r="82" spans="2:13" ht="15.75" thickTop="1" x14ac:dyDescent="0.2"/>
    <row r="84" spans="2:13" x14ac:dyDescent="0.2">
      <c r="B84" s="522" t="s">
        <v>1027</v>
      </c>
    </row>
    <row r="86" spans="2:13" ht="15.75" x14ac:dyDescent="0.25">
      <c r="B86" s="517" t="s">
        <v>1019</v>
      </c>
      <c r="F86" s="525">
        <f>F78-(SUM(F88:F89))</f>
        <v>0</v>
      </c>
    </row>
    <row r="87" spans="2:13" ht="15.75" x14ac:dyDescent="0.25">
      <c r="B87" s="517" t="s">
        <v>1018</v>
      </c>
    </row>
    <row r="88" spans="2:13" x14ac:dyDescent="0.2">
      <c r="B88" s="508" t="s">
        <v>748</v>
      </c>
      <c r="F88" s="515">
        <f>SUMIF(H42:H80,"CR revaluation surplus",L42:L80)</f>
        <v>0</v>
      </c>
    </row>
    <row r="89" spans="2:13" x14ac:dyDescent="0.2">
      <c r="B89" s="508" t="s">
        <v>515</v>
      </c>
      <c r="F89" s="515">
        <f>SUMIF(H42:H80,"CR retained earnings",L42:L80)</f>
        <v>0</v>
      </c>
    </row>
    <row r="91" spans="2:13" x14ac:dyDescent="0.2">
      <c r="B91" s="509" t="s">
        <v>1573</v>
      </c>
    </row>
    <row r="93" spans="2:13" x14ac:dyDescent="0.2">
      <c r="B93" s="508" t="s">
        <v>1026</v>
      </c>
      <c r="C93" s="529"/>
    </row>
    <row r="95" spans="2:13" x14ac:dyDescent="0.2">
      <c r="B95" s="508" t="s">
        <v>875</v>
      </c>
      <c r="F95" s="514">
        <f>G10</f>
        <v>11041.964421284338</v>
      </c>
    </row>
    <row r="96" spans="2:13" x14ac:dyDescent="0.2">
      <c r="B96" s="508" t="s">
        <v>1025</v>
      </c>
      <c r="F96" s="514">
        <f>F99*C93</f>
        <v>0</v>
      </c>
    </row>
    <row r="97" spans="2:6" x14ac:dyDescent="0.2">
      <c r="F97" s="514">
        <f>F95+F96</f>
        <v>11041.964421284338</v>
      </c>
    </row>
    <row r="98" spans="2:6" x14ac:dyDescent="0.2">
      <c r="F98" s="514"/>
    </row>
    <row r="99" spans="2:6" x14ac:dyDescent="0.2">
      <c r="B99" s="508" t="s">
        <v>1024</v>
      </c>
      <c r="F99" s="514">
        <f>F81</f>
        <v>0</v>
      </c>
    </row>
    <row r="100" spans="2:6" ht="15.75" thickBot="1" x14ac:dyDescent="0.25">
      <c r="B100" s="508" t="s">
        <v>236</v>
      </c>
      <c r="F100" s="519">
        <f>F97-F99</f>
        <v>11041.964421284338</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43" zoomScale="85" zoomScaleNormal="85" workbookViewId="0">
      <selection activeCell="AA64" sqref="B63:AA127"/>
    </sheetView>
  </sheetViews>
  <sheetFormatPr defaultRowHeight="15" x14ac:dyDescent="0.25"/>
  <cols>
    <col min="1" max="1" width="8.7109375" style="228"/>
    <col min="2" max="2" width="73.5703125" style="228" customWidth="1"/>
    <col min="3" max="3" width="93.140625" style="228" hidden="1" customWidth="1"/>
    <col min="4" max="4" width="17.28515625" style="245" customWidth="1"/>
    <col min="5" max="5" width="14.42578125" style="245" customWidth="1"/>
    <col min="6" max="10" width="13.42578125" style="245" customWidth="1"/>
    <col min="11" max="11" width="12.140625" style="245" customWidth="1"/>
    <col min="12" max="12" width="13.42578125" style="245" customWidth="1"/>
    <col min="13" max="13" width="10.42578125" style="245" customWidth="1"/>
    <col min="14" max="14" width="10.85546875" style="245" customWidth="1"/>
    <col min="15" max="15" width="15" style="245" customWidth="1"/>
    <col min="16" max="16" width="11.5703125" style="245" customWidth="1"/>
    <col min="17" max="17" width="15" style="245" hidden="1" customWidth="1"/>
    <col min="18" max="18" width="11.5703125" style="245" hidden="1" customWidth="1"/>
    <col min="19" max="19" width="14.140625" style="245" hidden="1" customWidth="1"/>
    <col min="20" max="20" width="14.85546875" style="245" hidden="1" customWidth="1"/>
    <col min="21" max="24" width="11.5703125" style="245" hidden="1" customWidth="1"/>
    <col min="25" max="25" width="10.42578125" style="245" hidden="1" customWidth="1"/>
    <col min="26" max="26" width="10" style="245" hidden="1" customWidth="1"/>
    <col min="27" max="27" width="17.28515625" style="245"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3" t="s">
        <v>705</v>
      </c>
      <c r="AK2" s="434"/>
      <c r="AL2" s="435" t="s">
        <v>876</v>
      </c>
      <c r="AM2" s="436">
        <v>0.3</v>
      </c>
      <c r="AN2" s="427"/>
    </row>
    <row r="3" spans="2:42" ht="15.75" thickBot="1" x14ac:dyDescent="0.3">
      <c r="AC3" s="485">
        <v>1</v>
      </c>
      <c r="AD3" t="s">
        <v>372</v>
      </c>
      <c r="AE3">
        <f>IF(AM12&lt;0,-AM12," ")</f>
        <v>799</v>
      </c>
      <c r="AJ3" s="437"/>
      <c r="AK3" s="438"/>
      <c r="AL3" s="478" t="s">
        <v>141</v>
      </c>
      <c r="AM3" s="142" t="s">
        <v>141</v>
      </c>
      <c r="AN3" s="439"/>
    </row>
    <row r="4" spans="2:42" x14ac:dyDescent="0.25">
      <c r="AD4" s="3" t="s">
        <v>1090</v>
      </c>
      <c r="AF4">
        <f>IF(AM12&lt;0,-AM12," ")</f>
        <v>799</v>
      </c>
      <c r="AJ4" s="437" t="s">
        <v>875</v>
      </c>
      <c r="AK4" s="438"/>
      <c r="AL4" s="438"/>
      <c r="AM4" s="440">
        <v>14000</v>
      </c>
      <c r="AN4" s="439"/>
    </row>
    <row r="5" spans="2:42" x14ac:dyDescent="0.25">
      <c r="AJ5" s="437"/>
      <c r="AK5" s="438"/>
      <c r="AL5" s="441"/>
      <c r="AM5" s="441"/>
      <c r="AN5" s="439"/>
    </row>
    <row r="6" spans="2:42" ht="15.75" x14ac:dyDescent="0.25">
      <c r="B6" s="226" t="s">
        <v>654</v>
      </c>
      <c r="C6" s="808" t="s">
        <v>655</v>
      </c>
      <c r="D6" s="227"/>
      <c r="E6" s="299"/>
      <c r="F6" s="398"/>
      <c r="G6" s="398"/>
      <c r="H6" s="398"/>
      <c r="I6" s="398"/>
      <c r="J6" s="398"/>
      <c r="K6" s="398"/>
      <c r="L6" s="299"/>
      <c r="M6" s="299"/>
      <c r="N6" s="299"/>
      <c r="O6" s="299"/>
      <c r="P6" s="299"/>
      <c r="Q6" s="299"/>
      <c r="R6" s="299"/>
      <c r="S6" s="299"/>
      <c r="T6" s="299"/>
      <c r="U6" s="299"/>
      <c r="V6" s="299"/>
      <c r="W6" s="299"/>
      <c r="X6" s="299"/>
      <c r="Y6" s="299"/>
      <c r="Z6" s="299"/>
      <c r="AA6" s="227"/>
      <c r="AJ6" s="437" t="s">
        <v>696</v>
      </c>
      <c r="AK6" s="438"/>
      <c r="AL6" s="70">
        <v>18000</v>
      </c>
      <c r="AM6" s="85"/>
      <c r="AN6" s="439"/>
    </row>
    <row r="7" spans="2:42" ht="15.75" x14ac:dyDescent="0.25">
      <c r="B7" s="229" t="s">
        <v>656</v>
      </c>
      <c r="C7" s="809"/>
      <c r="D7" s="227"/>
      <c r="E7" s="806">
        <v>1</v>
      </c>
      <c r="F7" s="811"/>
      <c r="G7" s="806">
        <v>2</v>
      </c>
      <c r="H7" s="807"/>
      <c r="I7" s="806">
        <v>3</v>
      </c>
      <c r="J7" s="811"/>
      <c r="K7" s="806">
        <v>4</v>
      </c>
      <c r="L7" s="807"/>
      <c r="M7" s="811">
        <v>5</v>
      </c>
      <c r="N7" s="807"/>
      <c r="O7" s="806">
        <v>6</v>
      </c>
      <c r="P7" s="807"/>
      <c r="Q7" s="806">
        <v>6</v>
      </c>
      <c r="R7" s="807"/>
      <c r="S7" s="806">
        <v>7</v>
      </c>
      <c r="T7" s="807"/>
      <c r="U7" s="806">
        <v>8</v>
      </c>
      <c r="V7" s="807"/>
      <c r="W7" s="806">
        <v>9</v>
      </c>
      <c r="X7" s="807"/>
      <c r="Y7" s="806">
        <v>10</v>
      </c>
      <c r="Z7" s="807"/>
      <c r="AA7" s="310"/>
      <c r="AJ7" s="437" t="s">
        <v>678</v>
      </c>
      <c r="AK7" s="442"/>
      <c r="AL7" s="70"/>
      <c r="AM7" s="442"/>
      <c r="AN7" s="439"/>
    </row>
    <row r="8" spans="2:42" ht="16.5" thickBot="1" x14ac:dyDescent="0.3">
      <c r="B8" s="230" t="s">
        <v>870</v>
      </c>
      <c r="C8" s="810"/>
      <c r="D8" s="231" t="s">
        <v>883</v>
      </c>
      <c r="E8" s="300" t="s">
        <v>660</v>
      </c>
      <c r="F8" s="283" t="s">
        <v>661</v>
      </c>
      <c r="G8" s="300" t="s">
        <v>660</v>
      </c>
      <c r="H8" s="301" t="s">
        <v>661</v>
      </c>
      <c r="I8" s="300" t="s">
        <v>660</v>
      </c>
      <c r="J8" s="283" t="s">
        <v>661</v>
      </c>
      <c r="K8" s="300" t="s">
        <v>660</v>
      </c>
      <c r="L8" s="301" t="s">
        <v>661</v>
      </c>
      <c r="M8" s="293" t="s">
        <v>660</v>
      </c>
      <c r="N8" s="301" t="s">
        <v>661</v>
      </c>
      <c r="O8" s="300" t="s">
        <v>660</v>
      </c>
      <c r="P8" s="301" t="s">
        <v>661</v>
      </c>
      <c r="Q8" s="300" t="s">
        <v>660</v>
      </c>
      <c r="R8" s="301" t="s">
        <v>661</v>
      </c>
      <c r="S8" s="300" t="s">
        <v>660</v>
      </c>
      <c r="T8" s="301" t="s">
        <v>661</v>
      </c>
      <c r="U8" s="300" t="s">
        <v>660</v>
      </c>
      <c r="V8" s="301" t="s">
        <v>661</v>
      </c>
      <c r="W8" s="300" t="s">
        <v>660</v>
      </c>
      <c r="X8" s="301" t="s">
        <v>661</v>
      </c>
      <c r="Y8" s="300" t="s">
        <v>660</v>
      </c>
      <c r="Z8" s="301" t="s">
        <v>661</v>
      </c>
      <c r="AA8" s="293" t="s">
        <v>662</v>
      </c>
      <c r="AJ8" s="437" t="s">
        <v>19</v>
      </c>
      <c r="AK8" s="438"/>
      <c r="AL8" s="70">
        <v>27230</v>
      </c>
      <c r="AM8" s="443"/>
      <c r="AN8" s="439"/>
    </row>
    <row r="9" spans="2:42" ht="15.75" x14ac:dyDescent="0.25">
      <c r="B9" s="232"/>
      <c r="C9" s="233" t="s">
        <v>663</v>
      </c>
      <c r="D9" s="231" t="s">
        <v>141</v>
      </c>
      <c r="E9" s="300" t="s">
        <v>141</v>
      </c>
      <c r="F9" s="283" t="s">
        <v>141</v>
      </c>
      <c r="G9" s="300" t="s">
        <v>141</v>
      </c>
      <c r="H9" s="301" t="s">
        <v>141</v>
      </c>
      <c r="I9" s="300" t="s">
        <v>141</v>
      </c>
      <c r="J9" s="283" t="s">
        <v>141</v>
      </c>
      <c r="K9" s="300" t="s">
        <v>141</v>
      </c>
      <c r="L9" s="301" t="s">
        <v>141</v>
      </c>
      <c r="M9" s="293" t="s">
        <v>141</v>
      </c>
      <c r="N9" s="231" t="s">
        <v>141</v>
      </c>
      <c r="O9" s="231" t="s">
        <v>141</v>
      </c>
      <c r="P9" s="231" t="s">
        <v>141</v>
      </c>
      <c r="Q9" s="231" t="s">
        <v>141</v>
      </c>
      <c r="R9" s="231" t="s">
        <v>141</v>
      </c>
      <c r="S9" s="231" t="s">
        <v>141</v>
      </c>
      <c r="T9" s="231" t="s">
        <v>141</v>
      </c>
      <c r="U9" s="231" t="s">
        <v>141</v>
      </c>
      <c r="V9" s="231" t="s">
        <v>141</v>
      </c>
      <c r="W9" s="231" t="s">
        <v>141</v>
      </c>
      <c r="X9" s="231" t="s">
        <v>141</v>
      </c>
      <c r="Y9" s="231" t="s">
        <v>141</v>
      </c>
      <c r="Z9" s="231" t="s">
        <v>141</v>
      </c>
      <c r="AA9" s="293" t="s">
        <v>10</v>
      </c>
      <c r="AJ9" s="437" t="s">
        <v>748</v>
      </c>
      <c r="AK9" s="442"/>
      <c r="AL9" s="70">
        <v>4100</v>
      </c>
      <c r="AM9" s="85"/>
      <c r="AN9" s="439"/>
    </row>
    <row r="10" spans="2:42" ht="15.75" x14ac:dyDescent="0.25">
      <c r="B10" s="229" t="s">
        <v>664</v>
      </c>
      <c r="C10" s="234"/>
      <c r="D10" s="235"/>
      <c r="E10" s="302"/>
      <c r="F10" s="284"/>
      <c r="G10" s="382"/>
      <c r="H10" s="383"/>
      <c r="I10" s="382"/>
      <c r="J10" s="320"/>
      <c r="K10" s="302"/>
      <c r="L10" s="303"/>
      <c r="M10" s="294"/>
      <c r="N10" s="303"/>
      <c r="O10" s="302"/>
      <c r="P10" s="303"/>
      <c r="Q10" s="302"/>
      <c r="R10" s="303"/>
      <c r="S10" s="382"/>
      <c r="T10" s="383"/>
      <c r="U10" s="382"/>
      <c r="V10" s="383"/>
      <c r="W10" s="320"/>
      <c r="X10" s="320"/>
      <c r="Y10" s="302"/>
      <c r="Z10" s="303"/>
      <c r="AA10" s="294"/>
      <c r="AJ10" s="437"/>
      <c r="AK10" s="438"/>
      <c r="AL10" s="473">
        <f>SUM(AL6:AL9)</f>
        <v>49330</v>
      </c>
      <c r="AM10" s="438"/>
      <c r="AN10" s="474"/>
      <c r="AP10" t="s">
        <v>1091</v>
      </c>
    </row>
    <row r="11" spans="2:42" ht="15.75" x14ac:dyDescent="0.25">
      <c r="B11" s="229" t="s">
        <v>73</v>
      </c>
      <c r="C11" s="234"/>
      <c r="D11" s="235"/>
      <c r="E11" s="302"/>
      <c r="F11" s="284"/>
      <c r="G11" s="382"/>
      <c r="H11" s="383"/>
      <c r="I11" s="382"/>
      <c r="J11" s="320"/>
      <c r="K11" s="302"/>
      <c r="L11" s="303"/>
      <c r="M11" s="294"/>
      <c r="N11" s="303"/>
      <c r="O11" s="302"/>
      <c r="P11" s="303"/>
      <c r="Q11" s="302"/>
      <c r="R11" s="303"/>
      <c r="S11" s="382"/>
      <c r="T11" s="383"/>
      <c r="U11" s="382"/>
      <c r="V11" s="383"/>
      <c r="W11" s="320"/>
      <c r="X11" s="320"/>
      <c r="Y11" s="302"/>
      <c r="Z11" s="303"/>
      <c r="AA11" s="294"/>
      <c r="AJ11" s="437" t="s">
        <v>877</v>
      </c>
      <c r="AK11" s="438"/>
      <c r="AL11" s="438"/>
      <c r="AM11" s="475">
        <f>AL10*AM2</f>
        <v>14799</v>
      </c>
      <c r="AN11" s="474"/>
    </row>
    <row r="12" spans="2:42" ht="15.75" thickBot="1" x14ac:dyDescent="0.3">
      <c r="B12" s="232" t="s">
        <v>665</v>
      </c>
      <c r="C12" s="234"/>
      <c r="D12" s="236">
        <v>4500</v>
      </c>
      <c r="E12" s="304"/>
      <c r="F12" s="325"/>
      <c r="G12" s="384"/>
      <c r="H12" s="379"/>
      <c r="I12" s="384"/>
      <c r="J12" s="321"/>
      <c r="K12" s="304"/>
      <c r="L12" s="305"/>
      <c r="M12" s="295"/>
      <c r="N12" s="305"/>
      <c r="O12" s="304"/>
      <c r="P12" s="305"/>
      <c r="Q12" s="304"/>
      <c r="R12" s="305"/>
      <c r="S12" s="384"/>
      <c r="T12" s="379"/>
      <c r="U12" s="384"/>
      <c r="V12" s="379"/>
      <c r="W12" s="321"/>
      <c r="X12" s="321"/>
      <c r="Y12" s="304"/>
      <c r="Z12" s="305"/>
      <c r="AA12" s="311">
        <f>SUM(D12:Z12)</f>
        <v>4500</v>
      </c>
      <c r="AJ12" s="445" t="s">
        <v>236</v>
      </c>
      <c r="AK12" s="446"/>
      <c r="AL12" s="476"/>
      <c r="AM12" s="477">
        <f>AM4-AM11</f>
        <v>-799</v>
      </c>
      <c r="AN12" s="447"/>
      <c r="AP12" t="s">
        <v>895</v>
      </c>
    </row>
    <row r="13" spans="2:42" x14ac:dyDescent="0.25">
      <c r="B13" s="232"/>
      <c r="C13" s="234"/>
      <c r="D13" s="235"/>
      <c r="E13" s="304"/>
      <c r="F13" s="325"/>
      <c r="G13" s="384"/>
      <c r="H13" s="379"/>
      <c r="I13" s="384"/>
      <c r="J13" s="321"/>
      <c r="K13" s="304"/>
      <c r="L13" s="305"/>
      <c r="M13" s="295"/>
      <c r="N13" s="305"/>
      <c r="O13" s="304"/>
      <c r="P13" s="305"/>
      <c r="Q13" s="304"/>
      <c r="R13" s="305"/>
      <c r="S13" s="384"/>
      <c r="T13" s="379"/>
      <c r="U13" s="384"/>
      <c r="V13" s="379"/>
      <c r="W13" s="321"/>
      <c r="X13" s="321"/>
      <c r="Y13" s="304"/>
      <c r="Z13" s="305"/>
      <c r="AA13" s="294"/>
    </row>
    <row r="14" spans="2:42" ht="15.75" thickBot="1" x14ac:dyDescent="0.3">
      <c r="B14" s="232" t="s">
        <v>236</v>
      </c>
      <c r="C14" s="234"/>
      <c r="D14" s="236"/>
      <c r="E14" s="304"/>
      <c r="F14" s="325"/>
      <c r="G14" s="384"/>
      <c r="H14" s="379"/>
      <c r="I14" s="384"/>
      <c r="J14" s="321"/>
      <c r="K14" s="304"/>
      <c r="L14" s="305"/>
      <c r="M14" s="295"/>
      <c r="N14" s="305"/>
      <c r="O14" s="304"/>
      <c r="P14" s="305"/>
      <c r="Q14" s="304"/>
      <c r="R14" s="305"/>
      <c r="S14" s="384"/>
      <c r="T14" s="379"/>
      <c r="U14" s="384"/>
      <c r="V14" s="379"/>
      <c r="W14" s="321"/>
      <c r="X14" s="321"/>
      <c r="Y14" s="304"/>
      <c r="Z14" s="305"/>
      <c r="AA14" s="311">
        <f>SUM(D14:Z14)</f>
        <v>0</v>
      </c>
    </row>
    <row r="15" spans="2:42" ht="17.25" customHeight="1" thickBot="1" x14ac:dyDescent="0.3">
      <c r="B15" s="232"/>
      <c r="C15" s="234"/>
      <c r="D15" s="235"/>
      <c r="E15" s="304"/>
      <c r="F15" s="325"/>
      <c r="G15" s="384"/>
      <c r="H15" s="379"/>
      <c r="I15" s="384"/>
      <c r="J15" s="321"/>
      <c r="K15" s="304"/>
      <c r="L15" s="305"/>
      <c r="M15" s="295"/>
      <c r="N15" s="305"/>
      <c r="O15" s="304"/>
      <c r="P15" s="305"/>
      <c r="Q15" s="304"/>
      <c r="R15" s="305"/>
      <c r="S15" s="384"/>
      <c r="T15" s="379"/>
      <c r="U15" s="384"/>
      <c r="V15" s="379"/>
      <c r="W15" s="321"/>
      <c r="X15" s="321"/>
      <c r="Y15" s="304"/>
      <c r="Z15" s="305"/>
      <c r="AA15" s="294"/>
      <c r="AC15" s="488">
        <v>2</v>
      </c>
      <c r="AD15" t="s">
        <v>372</v>
      </c>
      <c r="AE15" s="12">
        <f>AM21</f>
        <v>-107.39999999999999</v>
      </c>
      <c r="AJ15" s="448" t="s">
        <v>892</v>
      </c>
      <c r="AK15" s="425"/>
      <c r="AL15" s="455"/>
      <c r="AM15" s="455"/>
      <c r="AN15" s="427"/>
    </row>
    <row r="16" spans="2:42" ht="24" customHeight="1" x14ac:dyDescent="0.25">
      <c r="B16" s="232" t="s">
        <v>666</v>
      </c>
      <c r="C16" s="234" t="s">
        <v>667</v>
      </c>
      <c r="D16" s="236"/>
      <c r="E16" s="304"/>
      <c r="F16" s="325"/>
      <c r="G16" s="384"/>
      <c r="H16" s="379"/>
      <c r="I16" s="384"/>
      <c r="J16" s="321"/>
      <c r="K16" s="304"/>
      <c r="L16" s="305"/>
      <c r="M16" s="295"/>
      <c r="N16" s="305"/>
      <c r="O16" s="304"/>
      <c r="P16" s="305"/>
      <c r="Q16" s="304"/>
      <c r="R16" s="305"/>
      <c r="S16" s="384"/>
      <c r="T16" s="379"/>
      <c r="U16" s="384"/>
      <c r="V16" s="379"/>
      <c r="W16" s="321"/>
      <c r="X16" s="321"/>
      <c r="Y16" s="304"/>
      <c r="Z16" s="305"/>
      <c r="AA16" s="311">
        <f>SUM(D16:Z16)</f>
        <v>0</v>
      </c>
      <c r="AD16" t="s">
        <v>882</v>
      </c>
      <c r="AF16" s="12">
        <f>AM21</f>
        <v>-107.39999999999999</v>
      </c>
      <c r="AJ16" s="444" t="str">
        <f>"Retained earnings "&amp;B8</f>
        <v>Retained earnings as at 30 September 2018</v>
      </c>
      <c r="AK16" s="442"/>
      <c r="AL16" s="443"/>
      <c r="AM16" s="450">
        <v>32960</v>
      </c>
      <c r="AN16" s="439"/>
    </row>
    <row r="17" spans="2:40" ht="16.5" customHeight="1" x14ac:dyDescent="0.25">
      <c r="B17" s="232" t="s">
        <v>697</v>
      </c>
      <c r="C17" s="234"/>
      <c r="D17" s="236"/>
      <c r="E17" s="304"/>
      <c r="F17" s="325"/>
      <c r="G17" s="384"/>
      <c r="H17" s="379"/>
      <c r="I17" s="384"/>
      <c r="J17" s="321"/>
      <c r="K17" s="304"/>
      <c r="L17" s="305"/>
      <c r="M17" s="295"/>
      <c r="N17" s="305"/>
      <c r="O17" s="304"/>
      <c r="P17" s="305"/>
      <c r="Q17" s="304"/>
      <c r="R17" s="305"/>
      <c r="S17" s="384"/>
      <c r="T17" s="379"/>
      <c r="U17" s="384"/>
      <c r="V17" s="379"/>
      <c r="W17" s="321"/>
      <c r="X17" s="321"/>
      <c r="Y17" s="304"/>
      <c r="Z17" s="305"/>
      <c r="AA17" s="311">
        <f>SUM(D17:Z17)</f>
        <v>0</v>
      </c>
      <c r="AJ17" s="444" t="s">
        <v>751</v>
      </c>
      <c r="AK17" s="442"/>
      <c r="AL17" s="442"/>
      <c r="AM17" s="450">
        <v>14128</v>
      </c>
      <c r="AN17" s="439"/>
    </row>
    <row r="18" spans="2:40" ht="21.95" customHeight="1" x14ac:dyDescent="0.25">
      <c r="B18" s="232" t="s">
        <v>668</v>
      </c>
      <c r="C18" s="234" t="s">
        <v>669</v>
      </c>
      <c r="D18" s="236">
        <v>100</v>
      </c>
      <c r="E18" s="304">
        <f>SUMIF($AD$3:$AD$12,"DR Investment",$AE$3:$AE$12)</f>
        <v>799</v>
      </c>
      <c r="F18" s="305">
        <f>-SUMIF($AD$4:$AD$14,"CR Investment",$AF$4:$AF$14)</f>
        <v>0</v>
      </c>
      <c r="G18" s="304">
        <f>SUMIF($AD$15:$AD$19,"DR Investment",$AE$15:$AE$19)</f>
        <v>462.6</v>
      </c>
      <c r="H18" s="305">
        <f>-SUMIF($AD$15:$AD$19,"CR Investment",$AF$15:$AF$19)</f>
        <v>0</v>
      </c>
      <c r="I18" s="304">
        <f>SUMIF($AD$28:$AD$29,"DR Investment",$AE$28:$AE$29)</f>
        <v>4238.3999999999996</v>
      </c>
      <c r="J18" s="325">
        <f>-SUMIF($AD$28:$AD$29,"CR Investment",$AF$28:$AF$29)</f>
        <v>0</v>
      </c>
      <c r="K18" s="304">
        <f>SUMIF($AD$33:$AD$34,"DR Investment",$AE$33:$AE$34)</f>
        <v>0</v>
      </c>
      <c r="L18" s="305">
        <f>-SUMIF($AD$33:$AD$34,"CR Investment",$AF$33:$AF$34)</f>
        <v>0</v>
      </c>
      <c r="M18" s="295">
        <f>SUMIF($AD$41:$AD$47,"DR Investment",$AE$41:$AE$47)</f>
        <v>0</v>
      </c>
      <c r="N18" s="305">
        <f>-SUMIF($AD$40:$AD$47,"CR Investment",$AF$40:$AF$47)</f>
        <v>0</v>
      </c>
      <c r="O18" s="304"/>
      <c r="P18" s="305"/>
      <c r="Q18" s="304"/>
      <c r="R18" s="305"/>
      <c r="S18" s="384"/>
      <c r="T18" s="379"/>
      <c r="U18" s="384"/>
      <c r="V18" s="379"/>
      <c r="W18" s="321"/>
      <c r="X18" s="321"/>
      <c r="Y18" s="304"/>
      <c r="Z18" s="305"/>
      <c r="AA18" s="311">
        <f>SUM(D18:Z18)</f>
        <v>5600</v>
      </c>
      <c r="AD18" t="s">
        <v>372</v>
      </c>
      <c r="AE18">
        <f>AM24</f>
        <v>570</v>
      </c>
      <c r="AJ18" s="444" t="s">
        <v>896</v>
      </c>
      <c r="AK18" s="442"/>
      <c r="AL18" s="442"/>
      <c r="AM18" s="450">
        <v>8040</v>
      </c>
      <c r="AN18" s="439"/>
    </row>
    <row r="19" spans="2:40" ht="12.95" customHeight="1" x14ac:dyDescent="0.25">
      <c r="B19" s="232" t="s">
        <v>670</v>
      </c>
      <c r="C19" s="234" t="s">
        <v>667</v>
      </c>
      <c r="D19" s="237"/>
      <c r="E19" s="304"/>
      <c r="F19" s="325"/>
      <c r="G19" s="384"/>
      <c r="H19" s="379"/>
      <c r="I19" s="384"/>
      <c r="J19" s="321"/>
      <c r="K19" s="304"/>
      <c r="L19" s="305"/>
      <c r="M19" s="295"/>
      <c r="N19" s="305"/>
      <c r="O19" s="304"/>
      <c r="P19" s="305"/>
      <c r="Q19" s="304"/>
      <c r="R19" s="305"/>
      <c r="S19" s="384"/>
      <c r="T19" s="379"/>
      <c r="U19" s="384"/>
      <c r="V19" s="379"/>
      <c r="W19" s="321"/>
      <c r="X19" s="321"/>
      <c r="Y19" s="304"/>
      <c r="Z19" s="305"/>
      <c r="AA19" s="311">
        <f>SUM(D19:Z19)</f>
        <v>0</v>
      </c>
      <c r="AD19" t="s">
        <v>882</v>
      </c>
      <c r="AF19">
        <f>AM24</f>
        <v>570</v>
      </c>
      <c r="AJ19" s="444" t="s">
        <v>706</v>
      </c>
      <c r="AK19" s="442"/>
      <c r="AL19" s="443"/>
      <c r="AM19" s="458">
        <f>AL8</f>
        <v>27230</v>
      </c>
      <c r="AN19" s="439"/>
    </row>
    <row r="20" spans="2:40" ht="20.45" customHeight="1" x14ac:dyDescent="0.25">
      <c r="B20" s="232"/>
      <c r="C20" s="234"/>
      <c r="D20" s="238">
        <f>SUM(D12:D19)</f>
        <v>4600</v>
      </c>
      <c r="E20" s="302"/>
      <c r="F20" s="284"/>
      <c r="G20" s="385"/>
      <c r="H20" s="386"/>
      <c r="I20" s="385"/>
      <c r="J20" s="322"/>
      <c r="K20" s="317"/>
      <c r="L20" s="318"/>
      <c r="M20" s="296"/>
      <c r="N20" s="318"/>
      <c r="O20" s="317"/>
      <c r="P20" s="318"/>
      <c r="Q20" s="317"/>
      <c r="R20" s="318"/>
      <c r="S20" s="385"/>
      <c r="T20" s="386"/>
      <c r="U20" s="385"/>
      <c r="V20" s="386"/>
      <c r="W20" s="322"/>
      <c r="X20" s="322"/>
      <c r="Y20" s="317"/>
      <c r="Z20" s="318"/>
      <c r="AA20" s="312">
        <f>SUM(AA12:AA19)</f>
        <v>10100</v>
      </c>
      <c r="AJ20" s="444" t="s">
        <v>707</v>
      </c>
      <c r="AK20" s="442"/>
      <c r="AL20" s="443"/>
      <c r="AM20" s="443">
        <f>AM16-AM19-AM17+AM18</f>
        <v>-358</v>
      </c>
      <c r="AN20" s="439"/>
    </row>
    <row r="21" spans="2:40" ht="13.5" customHeight="1" thickBot="1" x14ac:dyDescent="0.3">
      <c r="B21" s="229" t="s">
        <v>76</v>
      </c>
      <c r="C21" s="234"/>
      <c r="D21" s="239"/>
      <c r="E21" s="306"/>
      <c r="F21" s="288"/>
      <c r="G21" s="387"/>
      <c r="H21" s="388"/>
      <c r="I21" s="387"/>
      <c r="J21" s="323"/>
      <c r="K21" s="306"/>
      <c r="L21" s="307"/>
      <c r="M21" s="297"/>
      <c r="N21" s="307"/>
      <c r="O21" s="306"/>
      <c r="P21" s="307"/>
      <c r="Q21" s="306"/>
      <c r="R21" s="307"/>
      <c r="S21" s="387"/>
      <c r="T21" s="388"/>
      <c r="U21" s="387"/>
      <c r="V21" s="388"/>
      <c r="W21" s="323"/>
      <c r="X21" s="323"/>
      <c r="Y21" s="306"/>
      <c r="Z21" s="307"/>
      <c r="AA21" s="297"/>
      <c r="AJ21" s="444" t="str">
        <f>"Group share of historical profit (*"&amp;$AM$2&amp;")"</f>
        <v>Group share of historical profit (*0.3)</v>
      </c>
      <c r="AK21" s="442"/>
      <c r="AL21" s="442"/>
      <c r="AM21" s="281">
        <f>AM20*AM2</f>
        <v>-107.39999999999999</v>
      </c>
      <c r="AN21" s="439"/>
    </row>
    <row r="22" spans="2:40" ht="34.5" customHeight="1" thickTop="1" x14ac:dyDescent="0.25">
      <c r="B22" s="232" t="s">
        <v>56</v>
      </c>
      <c r="C22" s="234"/>
      <c r="D22" s="236">
        <v>510</v>
      </c>
      <c r="E22" s="304"/>
      <c r="F22" s="325"/>
      <c r="G22" s="384"/>
      <c r="H22" s="379"/>
      <c r="I22" s="384"/>
      <c r="J22" s="321"/>
      <c r="K22" s="304"/>
      <c r="L22" s="305"/>
      <c r="M22" s="295">
        <f>SUMIF($AD$41:$AD$47,"DR Inventories",$AE$41:$AE$47)</f>
        <v>0</v>
      </c>
      <c r="N22" s="305">
        <f>-SUMIF($AD$40:$AD$47,"CR Inventories",$AF$40:$AF$47)</f>
        <v>-54</v>
      </c>
      <c r="O22" s="304"/>
      <c r="P22" s="305"/>
      <c r="Q22" s="304"/>
      <c r="R22" s="305"/>
      <c r="S22" s="304"/>
      <c r="T22" s="305"/>
      <c r="U22" s="384"/>
      <c r="V22" s="379"/>
      <c r="W22" s="321"/>
      <c r="X22" s="321"/>
      <c r="Y22" s="304"/>
      <c r="Z22" s="305"/>
      <c r="AA22" s="311">
        <f>SUM(D22:Z22)</f>
        <v>456</v>
      </c>
      <c r="AJ22" s="444"/>
      <c r="AK22" s="442"/>
      <c r="AL22" s="442"/>
      <c r="AM22" s="442"/>
      <c r="AN22" s="439"/>
    </row>
    <row r="23" spans="2:40" ht="33.6" customHeight="1" x14ac:dyDescent="0.25">
      <c r="B23" s="232" t="s">
        <v>671</v>
      </c>
      <c r="C23" s="234"/>
      <c r="D23" s="236">
        <v>490</v>
      </c>
      <c r="E23" s="304"/>
      <c r="F23" s="325"/>
      <c r="G23" s="384"/>
      <c r="H23" s="379"/>
      <c r="I23" s="384"/>
      <c r="J23" s="321"/>
      <c r="K23" s="304"/>
      <c r="L23" s="305"/>
      <c r="M23" s="295"/>
      <c r="N23" s="305"/>
      <c r="O23" s="304"/>
      <c r="P23" s="305"/>
      <c r="Q23" s="304"/>
      <c r="R23" s="305"/>
      <c r="S23" s="384"/>
      <c r="T23" s="379"/>
      <c r="U23" s="384"/>
      <c r="V23" s="379"/>
      <c r="W23" s="321"/>
      <c r="X23" s="321"/>
      <c r="Y23" s="304"/>
      <c r="Z23" s="305"/>
      <c r="AA23" s="311">
        <f>SUM(D23:Z23)</f>
        <v>490</v>
      </c>
      <c r="AJ23" s="444" t="s">
        <v>868</v>
      </c>
      <c r="AK23" s="442"/>
      <c r="AL23" s="442"/>
      <c r="AM23" s="423">
        <v>1900</v>
      </c>
      <c r="AN23" s="439"/>
    </row>
    <row r="24" spans="2:40" ht="21" customHeight="1" thickBot="1" x14ac:dyDescent="0.3">
      <c r="B24" s="232" t="s">
        <v>672</v>
      </c>
      <c r="C24" s="234" t="s">
        <v>667</v>
      </c>
      <c r="D24" s="236"/>
      <c r="E24" s="304"/>
      <c r="F24" s="325"/>
      <c r="G24" s="384"/>
      <c r="H24" s="379"/>
      <c r="I24" s="384"/>
      <c r="J24" s="321"/>
      <c r="K24" s="304"/>
      <c r="L24" s="305"/>
      <c r="M24" s="295"/>
      <c r="N24" s="305"/>
      <c r="O24" s="304"/>
      <c r="P24" s="305"/>
      <c r="Q24" s="304"/>
      <c r="R24" s="305"/>
      <c r="S24" s="384"/>
      <c r="T24" s="379"/>
      <c r="U24" s="384"/>
      <c r="V24" s="379"/>
      <c r="W24" s="321"/>
      <c r="X24" s="321"/>
      <c r="Y24" s="304"/>
      <c r="Z24" s="305"/>
      <c r="AA24" s="311">
        <f>SUM(D24:Z24)</f>
        <v>0</v>
      </c>
      <c r="AJ24" s="444" t="str">
        <f>"Group share (*"&amp;$AM$2&amp;")"</f>
        <v>Group share (*0.3)</v>
      </c>
      <c r="AK24" s="442"/>
      <c r="AL24" s="442"/>
      <c r="AM24" s="280">
        <f>AM23*AM2</f>
        <v>570</v>
      </c>
      <c r="AN24" s="439"/>
    </row>
    <row r="25" spans="2:40" ht="16.5" thickTop="1" thickBot="1" x14ac:dyDescent="0.3">
      <c r="B25" s="232" t="s">
        <v>92</v>
      </c>
      <c r="C25" s="234"/>
      <c r="D25" s="236">
        <v>120</v>
      </c>
      <c r="E25" s="304"/>
      <c r="F25" s="325"/>
      <c r="G25" s="384"/>
      <c r="H25" s="379"/>
      <c r="I25" s="384"/>
      <c r="J25" s="321"/>
      <c r="K25" s="304"/>
      <c r="L25" s="305"/>
      <c r="M25" s="295"/>
      <c r="N25" s="305"/>
      <c r="O25" s="304"/>
      <c r="P25" s="305"/>
      <c r="Q25" s="304"/>
      <c r="R25" s="305"/>
      <c r="S25" s="384"/>
      <c r="T25" s="379"/>
      <c r="U25" s="384"/>
      <c r="V25" s="379"/>
      <c r="W25" s="321"/>
      <c r="X25" s="321"/>
      <c r="Y25" s="304"/>
      <c r="Z25" s="305"/>
      <c r="AA25" s="311">
        <f>SUM(D25:Z25)</f>
        <v>120</v>
      </c>
      <c r="AJ25" s="453"/>
      <c r="AK25" s="454"/>
      <c r="AL25" s="454"/>
      <c r="AM25" s="454"/>
      <c r="AN25" s="447"/>
    </row>
    <row r="26" spans="2:40" x14ac:dyDescent="0.25">
      <c r="B26" s="232"/>
      <c r="C26" s="234"/>
      <c r="D26" s="238">
        <f>SUM(D22:D25)</f>
        <v>1120</v>
      </c>
      <c r="E26" s="302"/>
      <c r="F26" s="284"/>
      <c r="G26" s="382"/>
      <c r="H26" s="383"/>
      <c r="I26" s="382"/>
      <c r="J26" s="320"/>
      <c r="K26" s="302"/>
      <c r="L26" s="303"/>
      <c r="M26" s="296"/>
      <c r="N26" s="318"/>
      <c r="O26" s="317"/>
      <c r="P26" s="318"/>
      <c r="Q26" s="317"/>
      <c r="R26" s="318"/>
      <c r="S26" s="385"/>
      <c r="T26" s="386"/>
      <c r="U26" s="385"/>
      <c r="V26" s="386"/>
      <c r="W26" s="322"/>
      <c r="X26" s="322"/>
      <c r="Y26" s="317"/>
      <c r="Z26" s="318"/>
      <c r="AA26" s="312">
        <f>SUM(AA22:AA25)</f>
        <v>1066</v>
      </c>
      <c r="AJ26" s="481"/>
      <c r="AK26" s="481"/>
      <c r="AL26" s="481"/>
      <c r="AM26" s="481"/>
      <c r="AN26" s="481"/>
    </row>
    <row r="27" spans="2:40" ht="29.1" customHeight="1" thickBot="1" x14ac:dyDescent="0.3">
      <c r="B27" s="229" t="s">
        <v>673</v>
      </c>
      <c r="C27" s="234"/>
      <c r="D27" s="240">
        <f>SUM(D20,D26)</f>
        <v>5720</v>
      </c>
      <c r="E27" s="302"/>
      <c r="F27" s="284"/>
      <c r="G27" s="382"/>
      <c r="H27" s="383"/>
      <c r="I27" s="382"/>
      <c r="J27" s="320"/>
      <c r="K27" s="302"/>
      <c r="L27" s="303"/>
      <c r="M27" s="296"/>
      <c r="N27" s="318"/>
      <c r="O27" s="317"/>
      <c r="P27" s="318"/>
      <c r="Q27" s="317"/>
      <c r="R27" s="318"/>
      <c r="S27" s="385"/>
      <c r="T27" s="386"/>
      <c r="U27" s="385"/>
      <c r="V27" s="386"/>
      <c r="W27" s="322"/>
      <c r="X27" s="322"/>
      <c r="Y27" s="317"/>
      <c r="Z27" s="318"/>
      <c r="AA27" s="313">
        <f>SUM(AA20,AA26)</f>
        <v>11166</v>
      </c>
      <c r="AJ27" s="183"/>
      <c r="AK27" s="183"/>
      <c r="AL27" s="183"/>
      <c r="AM27" s="183"/>
      <c r="AN27" s="183"/>
    </row>
    <row r="28" spans="2:40" ht="21.6" customHeight="1" thickBot="1" x14ac:dyDescent="0.3">
      <c r="B28" s="232"/>
      <c r="C28" s="234"/>
      <c r="D28" s="239"/>
      <c r="E28" s="306"/>
      <c r="F28" s="288"/>
      <c r="G28" s="387"/>
      <c r="H28" s="388"/>
      <c r="I28" s="387"/>
      <c r="J28" s="323"/>
      <c r="K28" s="306"/>
      <c r="L28" s="307"/>
      <c r="M28" s="297"/>
      <c r="N28" s="307"/>
      <c r="O28" s="306"/>
      <c r="P28" s="307"/>
      <c r="Q28" s="306"/>
      <c r="R28" s="307"/>
      <c r="S28" s="387"/>
      <c r="T28" s="388"/>
      <c r="U28" s="387"/>
      <c r="V28" s="388"/>
      <c r="W28" s="323"/>
      <c r="X28" s="323"/>
      <c r="Y28" s="306"/>
      <c r="Z28" s="307"/>
      <c r="AA28" s="297"/>
      <c r="AC28" s="485">
        <v>3</v>
      </c>
      <c r="AD28" t="s">
        <v>372</v>
      </c>
      <c r="AE28" s="12">
        <f>AM30</f>
        <v>4238.3999999999996</v>
      </c>
      <c r="AJ28" s="448" t="s">
        <v>710</v>
      </c>
      <c r="AK28" s="425"/>
      <c r="AL28" s="425"/>
      <c r="AM28" s="425"/>
      <c r="AN28" s="427"/>
    </row>
    <row r="29" spans="2:40" ht="24" customHeight="1" x14ac:dyDescent="0.25">
      <c r="B29" s="229" t="s">
        <v>674</v>
      </c>
      <c r="C29" s="234"/>
      <c r="D29" s="235"/>
      <c r="E29" s="302"/>
      <c r="F29" s="284"/>
      <c r="G29" s="382"/>
      <c r="H29" s="383"/>
      <c r="I29" s="382"/>
      <c r="J29" s="320"/>
      <c r="K29" s="302"/>
      <c r="L29" s="303"/>
      <c r="M29" s="294"/>
      <c r="N29" s="303"/>
      <c r="O29" s="302"/>
      <c r="P29" s="303"/>
      <c r="Q29" s="302"/>
      <c r="R29" s="303"/>
      <c r="S29" s="382"/>
      <c r="T29" s="383"/>
      <c r="U29" s="382"/>
      <c r="V29" s="383"/>
      <c r="W29" s="320"/>
      <c r="X29" s="320"/>
      <c r="Y29" s="302"/>
      <c r="Z29" s="303"/>
      <c r="AA29" s="294"/>
      <c r="AD29" t="s">
        <v>880</v>
      </c>
      <c r="AF29" s="12">
        <f>AM30</f>
        <v>4238.3999999999996</v>
      </c>
      <c r="AJ29" s="444" t="s">
        <v>712</v>
      </c>
      <c r="AK29" s="442"/>
      <c r="AL29" s="442"/>
      <c r="AM29" s="450">
        <f>AM17</f>
        <v>14128</v>
      </c>
      <c r="AN29" s="439"/>
    </row>
    <row r="30" spans="2:40" ht="16.5" thickBot="1" x14ac:dyDescent="0.3">
      <c r="B30" s="229" t="s">
        <v>675</v>
      </c>
      <c r="C30" s="234"/>
      <c r="D30" s="235"/>
      <c r="E30" s="302"/>
      <c r="F30" s="284"/>
      <c r="G30" s="382"/>
      <c r="H30" s="383"/>
      <c r="I30" s="382"/>
      <c r="J30" s="320"/>
      <c r="K30" s="302"/>
      <c r="L30" s="303"/>
      <c r="M30" s="294"/>
      <c r="N30" s="303"/>
      <c r="O30" s="302"/>
      <c r="P30" s="303"/>
      <c r="Q30" s="302"/>
      <c r="R30" s="303"/>
      <c r="S30" s="382"/>
      <c r="T30" s="383"/>
      <c r="U30" s="382"/>
      <c r="V30" s="383"/>
      <c r="W30" s="320"/>
      <c r="X30" s="320"/>
      <c r="Y30" s="302"/>
      <c r="Z30" s="303"/>
      <c r="AA30" s="294"/>
      <c r="AJ30" s="444" t="s">
        <v>878</v>
      </c>
      <c r="AK30" s="442"/>
      <c r="AL30" s="442"/>
      <c r="AM30" s="281">
        <f>AM29*AM2</f>
        <v>4238.3999999999996</v>
      </c>
      <c r="AN30" s="439"/>
    </row>
    <row r="31" spans="2:40" ht="16.5" thickTop="1" thickBot="1" x14ac:dyDescent="0.3">
      <c r="B31" s="232" t="s">
        <v>676</v>
      </c>
      <c r="C31" s="234"/>
      <c r="D31" s="236">
        <v>1000</v>
      </c>
      <c r="E31" s="304"/>
      <c r="F31" s="325"/>
      <c r="G31" s="384"/>
      <c r="H31" s="379"/>
      <c r="I31" s="384"/>
      <c r="J31" s="321"/>
      <c r="K31" s="304"/>
      <c r="L31" s="305"/>
      <c r="M31" s="295"/>
      <c r="N31" s="305"/>
      <c r="O31" s="304"/>
      <c r="P31" s="305"/>
      <c r="Q31" s="304"/>
      <c r="R31" s="305"/>
      <c r="S31" s="384"/>
      <c r="T31" s="379"/>
      <c r="U31" s="384"/>
      <c r="V31" s="379"/>
      <c r="W31" s="321"/>
      <c r="X31" s="321"/>
      <c r="Y31" s="304"/>
      <c r="Z31" s="305"/>
      <c r="AA31" s="311">
        <f>D31-SUM(E31:Z31)</f>
        <v>1000</v>
      </c>
      <c r="AJ31" s="453"/>
      <c r="AK31" s="454"/>
      <c r="AL31" s="454"/>
      <c r="AM31" s="454"/>
      <c r="AN31" s="447"/>
    </row>
    <row r="32" spans="2:40" ht="15.75" thickBot="1" x14ac:dyDescent="0.3">
      <c r="B32" s="232" t="s">
        <v>677</v>
      </c>
      <c r="C32" s="234"/>
      <c r="D32" s="236"/>
      <c r="E32" s="304"/>
      <c r="F32" s="325"/>
      <c r="G32" s="384"/>
      <c r="H32" s="379"/>
      <c r="I32" s="384"/>
      <c r="J32" s="321"/>
      <c r="K32" s="304"/>
      <c r="L32" s="305"/>
      <c r="M32" s="295"/>
      <c r="N32" s="305"/>
      <c r="O32" s="304"/>
      <c r="P32" s="305"/>
      <c r="Q32" s="304"/>
      <c r="R32" s="305"/>
      <c r="S32" s="384"/>
      <c r="T32" s="379"/>
      <c r="U32" s="384"/>
      <c r="V32" s="379"/>
      <c r="W32" s="321"/>
      <c r="X32" s="321"/>
      <c r="Y32" s="304"/>
      <c r="Z32" s="305"/>
      <c r="AA32" s="311">
        <f>D32-SUM(E32:Z32)</f>
        <v>0</v>
      </c>
    </row>
    <row r="33" spans="2:40" ht="16.5" thickBot="1" x14ac:dyDescent="0.3">
      <c r="B33" s="232" t="s">
        <v>678</v>
      </c>
      <c r="C33" s="234"/>
      <c r="D33" s="236">
        <v>800</v>
      </c>
      <c r="E33" s="304"/>
      <c r="F33" s="325"/>
      <c r="G33" s="384"/>
      <c r="H33" s="379"/>
      <c r="I33" s="384"/>
      <c r="J33" s="321"/>
      <c r="K33" s="304"/>
      <c r="L33" s="305"/>
      <c r="M33" s="295"/>
      <c r="N33" s="305"/>
      <c r="O33" s="304"/>
      <c r="P33" s="305"/>
      <c r="Q33" s="304"/>
      <c r="R33" s="305"/>
      <c r="S33" s="384"/>
      <c r="T33" s="379"/>
      <c r="U33" s="384"/>
      <c r="V33" s="379"/>
      <c r="W33" s="321"/>
      <c r="X33" s="321"/>
      <c r="Y33" s="304"/>
      <c r="Z33" s="305"/>
      <c r="AA33" s="311">
        <f>D33-SUM(E33:Z33)</f>
        <v>800</v>
      </c>
      <c r="AC33" s="485">
        <v>4</v>
      </c>
      <c r="AD33" s="183" t="s">
        <v>885</v>
      </c>
      <c r="AE33" s="12">
        <f>AM36</f>
        <v>0</v>
      </c>
      <c r="AJ33" s="448" t="s">
        <v>769</v>
      </c>
      <c r="AK33" s="425"/>
      <c r="AL33" s="425"/>
      <c r="AM33" s="425"/>
      <c r="AN33" s="427"/>
    </row>
    <row r="34" spans="2:40" ht="15.95" customHeight="1" x14ac:dyDescent="0.25">
      <c r="B34" s="232" t="s">
        <v>679</v>
      </c>
      <c r="C34" s="234"/>
      <c r="D34" s="236"/>
      <c r="E34" s="304"/>
      <c r="F34" s="325"/>
      <c r="G34" s="304"/>
      <c r="H34" s="305"/>
      <c r="I34" s="304"/>
      <c r="J34" s="325"/>
      <c r="K34" s="304"/>
      <c r="L34" s="305"/>
      <c r="M34" s="295"/>
      <c r="N34" s="305"/>
      <c r="O34" s="304"/>
      <c r="P34" s="305"/>
      <c r="Q34" s="304"/>
      <c r="R34" s="305"/>
      <c r="S34" s="384"/>
      <c r="T34" s="379"/>
      <c r="U34" s="384"/>
      <c r="V34" s="379"/>
      <c r="W34" s="321"/>
      <c r="X34" s="321"/>
      <c r="Y34" s="304"/>
      <c r="Z34" s="305"/>
      <c r="AA34" s="311">
        <f>D34-SUM(E34:Z34)</f>
        <v>0</v>
      </c>
      <c r="AD34" t="s">
        <v>884</v>
      </c>
      <c r="AF34" s="12">
        <f>AM36</f>
        <v>0</v>
      </c>
      <c r="AJ34" s="444" t="s">
        <v>879</v>
      </c>
      <c r="AK34" s="442"/>
      <c r="AL34" s="442"/>
      <c r="AM34" s="450"/>
      <c r="AN34" s="439"/>
    </row>
    <row r="35" spans="2:40" x14ac:dyDescent="0.25">
      <c r="B35" s="232" t="s">
        <v>515</v>
      </c>
      <c r="C35" s="234"/>
      <c r="D35" s="236">
        <v>1840</v>
      </c>
      <c r="E35" s="304">
        <f>SUMIF($AD$3:$AD$12,"DR Retained earnings",$AE$3:$AE$12)</f>
        <v>0</v>
      </c>
      <c r="F35" s="305">
        <f>-SUMIF($AD$4:$AD$14,"CR Retained earnings",$AF$4:$AF$14)</f>
        <v>0</v>
      </c>
      <c r="G35" s="304">
        <f>SUMIF($AD$15:$AD$19,"DR Retained Earnings",$AE$15:$AE$19)</f>
        <v>0</v>
      </c>
      <c r="H35" s="305">
        <f>-SUMIF($AD$15:$AD$19,"CR Retained Earnings",$AF$15:$AF$19)</f>
        <v>-462.6</v>
      </c>
      <c r="I35" s="304"/>
      <c r="J35" s="325"/>
      <c r="K35" s="304"/>
      <c r="L35" s="305"/>
      <c r="M35" s="295"/>
      <c r="N35" s="305"/>
      <c r="O35" s="304">
        <f>SUMIF($AD$53:$AD$54,"DR Retained Earnings",$AE$53:$AE$54)</f>
        <v>0</v>
      </c>
      <c r="P35" s="305">
        <f>-SUMIF($AD$53:$AD$54,"CR Retained Earnings",$AF$53:$AF$54)</f>
        <v>-4184.3999999999996</v>
      </c>
      <c r="Q35" s="304"/>
      <c r="R35" s="304"/>
      <c r="S35" s="384"/>
      <c r="T35" s="379"/>
      <c r="U35" s="384"/>
      <c r="V35" s="379"/>
      <c r="W35" s="321"/>
      <c r="X35" s="321"/>
      <c r="Y35" s="304"/>
      <c r="Z35" s="305"/>
      <c r="AA35" s="311">
        <f>D35-SUM(E35:Z35)</f>
        <v>6487</v>
      </c>
      <c r="AJ35" s="444"/>
      <c r="AK35" s="442"/>
      <c r="AL35" s="442"/>
      <c r="AM35" s="442"/>
      <c r="AN35" s="439"/>
    </row>
    <row r="36" spans="2:40" x14ac:dyDescent="0.25">
      <c r="B36" s="232"/>
      <c r="C36" s="234"/>
      <c r="D36" s="235"/>
      <c r="E36" s="302"/>
      <c r="F36" s="284"/>
      <c r="G36" s="382"/>
      <c r="H36" s="383"/>
      <c r="I36" s="382"/>
      <c r="J36" s="320"/>
      <c r="K36" s="302"/>
      <c r="L36" s="303"/>
      <c r="M36" s="294"/>
      <c r="N36" s="303"/>
      <c r="O36" s="302"/>
      <c r="P36" s="303"/>
      <c r="Q36" s="302"/>
      <c r="R36" s="303"/>
      <c r="S36" s="382"/>
      <c r="T36" s="383"/>
      <c r="U36" s="382"/>
      <c r="V36" s="383"/>
      <c r="W36" s="320"/>
      <c r="X36" s="320"/>
      <c r="Y36" s="302"/>
      <c r="Z36" s="303"/>
      <c r="AA36" s="294"/>
      <c r="AJ36" s="444" t="s">
        <v>773</v>
      </c>
      <c r="AK36" s="442"/>
      <c r="AL36" s="442"/>
      <c r="AM36" s="443">
        <f>AM34*AM2</f>
        <v>0</v>
      </c>
      <c r="AN36" s="439"/>
    </row>
    <row r="37" spans="2:40" ht="15.75" thickBot="1" x14ac:dyDescent="0.3">
      <c r="B37" s="232"/>
      <c r="C37" s="234"/>
      <c r="D37" s="235"/>
      <c r="E37" s="302"/>
      <c r="F37" s="284"/>
      <c r="G37" s="382"/>
      <c r="H37" s="383"/>
      <c r="I37" s="382"/>
      <c r="J37" s="320"/>
      <c r="K37" s="302"/>
      <c r="L37" s="303"/>
      <c r="M37" s="294"/>
      <c r="N37" s="303"/>
      <c r="O37" s="302"/>
      <c r="P37" s="303"/>
      <c r="Q37" s="302"/>
      <c r="R37" s="303"/>
      <c r="S37" s="382"/>
      <c r="T37" s="383"/>
      <c r="U37" s="382"/>
      <c r="V37" s="383"/>
      <c r="W37" s="320"/>
      <c r="X37" s="320"/>
      <c r="Y37" s="302"/>
      <c r="Z37" s="303"/>
      <c r="AA37" s="294"/>
      <c r="AJ37" s="453"/>
      <c r="AK37" s="454"/>
      <c r="AL37" s="454"/>
      <c r="AM37" s="454"/>
      <c r="AN37" s="447"/>
    </row>
    <row r="38" spans="2:40" x14ac:dyDescent="0.25">
      <c r="B38" s="232" t="s">
        <v>680</v>
      </c>
      <c r="C38" s="234" t="s">
        <v>681</v>
      </c>
      <c r="D38" s="236"/>
      <c r="E38" s="304"/>
      <c r="F38" s="325"/>
      <c r="G38" s="384"/>
      <c r="H38" s="379"/>
      <c r="I38" s="384"/>
      <c r="J38" s="321"/>
      <c r="K38" s="304"/>
      <c r="L38" s="305"/>
      <c r="M38" s="295"/>
      <c r="N38" s="305"/>
      <c r="O38" s="304"/>
      <c r="P38" s="305"/>
      <c r="Q38" s="304"/>
      <c r="R38" s="305"/>
      <c r="S38" s="384"/>
      <c r="T38" s="379"/>
      <c r="U38" s="384"/>
      <c r="V38" s="379"/>
      <c r="W38" s="321"/>
      <c r="X38" s="321"/>
      <c r="Y38" s="304"/>
      <c r="Z38" s="305"/>
      <c r="AA38" s="311">
        <f>D38-SUM(E38:Z38)</f>
        <v>0</v>
      </c>
      <c r="AD38" s="183"/>
      <c r="AE38" s="183"/>
      <c r="AF38" s="183"/>
      <c r="AG38" s="183"/>
      <c r="AH38" s="183"/>
      <c r="AI38" s="183"/>
    </row>
    <row r="39" spans="2:40" ht="15.75" thickBot="1" x14ac:dyDescent="0.3">
      <c r="B39" s="232"/>
      <c r="C39" s="234"/>
      <c r="D39" s="241">
        <f>SUM(D31:D38)</f>
        <v>3640</v>
      </c>
      <c r="E39" s="302"/>
      <c r="F39" s="284"/>
      <c r="G39" s="387"/>
      <c r="H39" s="388"/>
      <c r="I39" s="387"/>
      <c r="J39" s="323"/>
      <c r="K39" s="306"/>
      <c r="L39" s="307"/>
      <c r="M39" s="297"/>
      <c r="N39" s="307"/>
      <c r="O39" s="306"/>
      <c r="P39" s="307"/>
      <c r="Q39" s="306"/>
      <c r="R39" s="307"/>
      <c r="S39" s="387"/>
      <c r="T39" s="388"/>
      <c r="U39" s="387"/>
      <c r="V39" s="388"/>
      <c r="W39" s="323"/>
      <c r="X39" s="323"/>
      <c r="Y39" s="306"/>
      <c r="Z39" s="307"/>
      <c r="AA39" s="314">
        <f>SUM(AA31:AA38)</f>
        <v>8287</v>
      </c>
      <c r="AC39" s="267"/>
      <c r="AD39" s="481"/>
      <c r="AE39" s="481"/>
      <c r="AF39" s="481"/>
      <c r="AG39" s="481"/>
      <c r="AH39" s="481"/>
      <c r="AI39" s="481"/>
    </row>
    <row r="40" spans="2:40" ht="16.5" thickBot="1" x14ac:dyDescent="0.3">
      <c r="B40" s="229" t="s">
        <v>682</v>
      </c>
      <c r="C40" s="234" t="s">
        <v>683</v>
      </c>
      <c r="D40" s="242"/>
      <c r="E40" s="304"/>
      <c r="F40" s="305"/>
      <c r="G40" s="304"/>
      <c r="H40" s="305"/>
      <c r="I40" s="304"/>
      <c r="J40" s="325"/>
      <c r="K40" s="319"/>
      <c r="L40" s="484"/>
      <c r="M40" s="295"/>
      <c r="N40" s="305"/>
      <c r="O40" s="304"/>
      <c r="P40" s="305"/>
      <c r="Q40" s="304"/>
      <c r="R40" s="305"/>
      <c r="S40" s="304"/>
      <c r="T40" s="305"/>
      <c r="U40" s="304"/>
      <c r="V40" s="305"/>
      <c r="W40" s="321"/>
      <c r="X40" s="321"/>
      <c r="Y40" s="304"/>
      <c r="Z40" s="305"/>
      <c r="AA40" s="311">
        <f>D40-SUM(E40:Z40)</f>
        <v>0</v>
      </c>
      <c r="AC40" s="276">
        <v>5</v>
      </c>
      <c r="AD40" s="482" t="s">
        <v>890</v>
      </c>
      <c r="AE40" s="422"/>
      <c r="AF40" s="481"/>
      <c r="AG40" s="481"/>
      <c r="AH40" s="481"/>
      <c r="AI40" s="481"/>
      <c r="AJ40" s="448" t="s">
        <v>778</v>
      </c>
      <c r="AK40" s="425"/>
      <c r="AL40" s="425"/>
      <c r="AM40" s="425"/>
      <c r="AN40" s="427"/>
    </row>
    <row r="41" spans="2:40" ht="15.75" x14ac:dyDescent="0.25">
      <c r="B41" s="229"/>
      <c r="C41" s="234"/>
      <c r="D41" s="235"/>
      <c r="E41" s="302"/>
      <c r="F41" s="284"/>
      <c r="G41" s="382"/>
      <c r="H41" s="383"/>
      <c r="I41" s="382"/>
      <c r="J41" s="320"/>
      <c r="K41" s="302"/>
      <c r="L41" s="303"/>
      <c r="M41" s="294"/>
      <c r="N41" s="303"/>
      <c r="O41" s="302"/>
      <c r="P41" s="303"/>
      <c r="Q41" s="302"/>
      <c r="R41" s="303"/>
      <c r="S41" s="382"/>
      <c r="T41" s="383"/>
      <c r="U41" s="382"/>
      <c r="V41" s="383"/>
      <c r="W41" s="320"/>
      <c r="X41" s="320"/>
      <c r="Y41" s="302"/>
      <c r="Z41" s="303"/>
      <c r="AA41" s="294"/>
      <c r="AC41" s="481"/>
      <c r="AD41" s="481" t="s">
        <v>322</v>
      </c>
      <c r="AE41" s="483">
        <f>IF(AJ41="Group -&gt; JV/Associate",AM50,0)</f>
        <v>0</v>
      </c>
      <c r="AF41" s="483"/>
      <c r="AG41" s="481"/>
      <c r="AH41" s="481"/>
      <c r="AI41" s="481"/>
      <c r="AJ41" s="480" t="s">
        <v>888</v>
      </c>
      <c r="AK41" s="442"/>
      <c r="AL41" s="442"/>
      <c r="AM41" s="442"/>
      <c r="AN41" s="439"/>
    </row>
    <row r="42" spans="2:40" ht="15.75" x14ac:dyDescent="0.25">
      <c r="B42" s="229"/>
      <c r="C42" s="234"/>
      <c r="D42" s="235"/>
      <c r="E42" s="302"/>
      <c r="F42" s="284"/>
      <c r="G42" s="382"/>
      <c r="H42" s="383"/>
      <c r="I42" s="382"/>
      <c r="J42" s="320"/>
      <c r="K42" s="302"/>
      <c r="L42" s="303"/>
      <c r="M42" s="294"/>
      <c r="N42" s="303"/>
      <c r="O42" s="302"/>
      <c r="P42" s="303"/>
      <c r="Q42" s="302"/>
      <c r="R42" s="303"/>
      <c r="S42" s="382"/>
      <c r="T42" s="383"/>
      <c r="U42" s="382"/>
      <c r="V42" s="383"/>
      <c r="W42" s="320"/>
      <c r="X42" s="320"/>
      <c r="Y42" s="302"/>
      <c r="Z42" s="303"/>
      <c r="AA42" s="294"/>
      <c r="AC42" s="481"/>
      <c r="AD42" s="481" t="s">
        <v>884</v>
      </c>
      <c r="AE42" s="483"/>
      <c r="AF42" s="483">
        <f>IF(AJ41="Group -&gt; JV/Associate",AM50,0)</f>
        <v>0</v>
      </c>
      <c r="AG42" s="481"/>
      <c r="AH42" s="481"/>
      <c r="AI42" s="481"/>
      <c r="AJ42" s="444" t="s">
        <v>781</v>
      </c>
      <c r="AK42" s="442"/>
      <c r="AL42" s="442"/>
      <c r="AM42" s="450">
        <v>3240</v>
      </c>
      <c r="AN42" s="439"/>
    </row>
    <row r="43" spans="2:40" ht="15.75" x14ac:dyDescent="0.25">
      <c r="B43" s="229" t="s">
        <v>684</v>
      </c>
      <c r="C43" s="234"/>
      <c r="D43" s="238">
        <f>D39+D40</f>
        <v>3640</v>
      </c>
      <c r="E43" s="302"/>
      <c r="F43" s="284"/>
      <c r="G43" s="385"/>
      <c r="H43" s="386"/>
      <c r="I43" s="385"/>
      <c r="J43" s="322"/>
      <c r="K43" s="317"/>
      <c r="L43" s="318"/>
      <c r="M43" s="296"/>
      <c r="N43" s="318"/>
      <c r="O43" s="317"/>
      <c r="P43" s="318"/>
      <c r="Q43" s="317"/>
      <c r="R43" s="318"/>
      <c r="S43" s="385"/>
      <c r="T43" s="386"/>
      <c r="U43" s="385"/>
      <c r="V43" s="386"/>
      <c r="W43" s="322"/>
      <c r="X43" s="322"/>
      <c r="Y43" s="317"/>
      <c r="Z43" s="318"/>
      <c r="AA43" s="312">
        <f>AA39+AA40</f>
        <v>8287</v>
      </c>
      <c r="AC43" s="481"/>
      <c r="AD43" s="481"/>
      <c r="AE43" s="481"/>
      <c r="AF43" s="483"/>
      <c r="AG43" s="481"/>
      <c r="AH43" s="481"/>
      <c r="AI43" s="481"/>
      <c r="AJ43" s="444" t="s">
        <v>782</v>
      </c>
      <c r="AK43" s="438"/>
      <c r="AL43" s="438"/>
      <c r="AM43" s="450">
        <f>+AM42*0.666666666666667</f>
        <v>2160</v>
      </c>
      <c r="AN43" s="439"/>
    </row>
    <row r="44" spans="2:40" x14ac:dyDescent="0.25">
      <c r="B44" s="232"/>
      <c r="C44" s="234"/>
      <c r="D44" s="235"/>
      <c r="E44" s="302"/>
      <c r="F44" s="284"/>
      <c r="G44" s="382"/>
      <c r="H44" s="383"/>
      <c r="I44" s="382"/>
      <c r="J44" s="320"/>
      <c r="K44" s="302"/>
      <c r="L44" s="303"/>
      <c r="M44" s="294"/>
      <c r="N44" s="303"/>
      <c r="O44" s="302"/>
      <c r="P44" s="303"/>
      <c r="Q44" s="302"/>
      <c r="R44" s="303"/>
      <c r="S44" s="382"/>
      <c r="T44" s="383"/>
      <c r="U44" s="382"/>
      <c r="V44" s="383"/>
      <c r="W44" s="320"/>
      <c r="X44" s="320"/>
      <c r="Y44" s="302"/>
      <c r="Z44" s="303"/>
      <c r="AA44" s="294"/>
      <c r="AC44" s="481"/>
      <c r="AD44" s="481"/>
      <c r="AE44" s="481"/>
      <c r="AF44" s="481"/>
      <c r="AG44" s="481"/>
      <c r="AH44" s="481"/>
      <c r="AI44" s="481"/>
      <c r="AJ44" s="444" t="s">
        <v>783</v>
      </c>
      <c r="AK44" s="442"/>
      <c r="AL44" s="442"/>
      <c r="AM44" s="363">
        <f>AM42-AM43</f>
        <v>1080</v>
      </c>
      <c r="AN44" s="439"/>
    </row>
    <row r="45" spans="2:40" ht="15.75" x14ac:dyDescent="0.25">
      <c r="B45" s="229" t="s">
        <v>82</v>
      </c>
      <c r="C45" s="234"/>
      <c r="D45" s="235"/>
      <c r="E45" s="302"/>
      <c r="F45" s="284"/>
      <c r="G45" s="382"/>
      <c r="H45" s="383"/>
      <c r="I45" s="382"/>
      <c r="J45" s="320"/>
      <c r="K45" s="302"/>
      <c r="L45" s="303"/>
      <c r="M45" s="294"/>
      <c r="N45" s="303"/>
      <c r="O45" s="302"/>
      <c r="P45" s="303"/>
      <c r="Q45" s="302"/>
      <c r="R45" s="303"/>
      <c r="S45" s="382"/>
      <c r="T45" s="383"/>
      <c r="U45" s="382"/>
      <c r="V45" s="383"/>
      <c r="W45" s="320"/>
      <c r="X45" s="320"/>
      <c r="Y45" s="302"/>
      <c r="Z45" s="303"/>
      <c r="AA45" s="294"/>
      <c r="AC45" s="481"/>
      <c r="AD45" s="482" t="s">
        <v>891</v>
      </c>
      <c r="AE45" s="481"/>
      <c r="AF45" s="481"/>
      <c r="AG45" s="481"/>
      <c r="AH45" s="481"/>
      <c r="AI45" s="481"/>
      <c r="AJ45" s="437"/>
      <c r="AK45" s="438"/>
      <c r="AL45" s="438"/>
      <c r="AM45" s="438"/>
      <c r="AN45" s="439"/>
    </row>
    <row r="46" spans="2:40" ht="30" x14ac:dyDescent="0.25">
      <c r="B46" s="232" t="s">
        <v>685</v>
      </c>
      <c r="C46" s="234" t="s">
        <v>667</v>
      </c>
      <c r="D46" s="236"/>
      <c r="E46" s="304"/>
      <c r="F46" s="325"/>
      <c r="G46" s="384"/>
      <c r="H46" s="379"/>
      <c r="I46" s="384"/>
      <c r="J46" s="321"/>
      <c r="K46" s="304"/>
      <c r="L46" s="305"/>
      <c r="M46" s="295"/>
      <c r="N46" s="305"/>
      <c r="O46" s="304"/>
      <c r="P46" s="305"/>
      <c r="Q46" s="304"/>
      <c r="R46" s="305"/>
      <c r="S46" s="384"/>
      <c r="T46" s="379"/>
      <c r="U46" s="384"/>
      <c r="V46" s="379"/>
      <c r="W46" s="321"/>
      <c r="X46" s="321"/>
      <c r="Y46" s="304"/>
      <c r="Z46" s="305"/>
      <c r="AA46" s="311">
        <f>D46-SUM(E46:Z46)</f>
        <v>0</v>
      </c>
      <c r="AC46" s="481"/>
      <c r="AD46" s="481" t="s">
        <v>894</v>
      </c>
      <c r="AE46" s="483">
        <f>IF(AJ41="JV/Associate -&gt; Group",AM50,0)</f>
        <v>54</v>
      </c>
      <c r="AF46" s="483"/>
      <c r="AG46" s="481"/>
      <c r="AH46" s="481"/>
      <c r="AI46" s="481"/>
      <c r="AJ46" s="444" t="s">
        <v>784</v>
      </c>
      <c r="AK46" s="438"/>
      <c r="AL46" s="438"/>
      <c r="AM46" s="104">
        <f>0.833333333333333*AM44</f>
        <v>900</v>
      </c>
      <c r="AN46" s="439"/>
    </row>
    <row r="47" spans="2:40" ht="15.75" thickBot="1" x14ac:dyDescent="0.3">
      <c r="B47" s="232" t="s">
        <v>686</v>
      </c>
      <c r="C47" s="234" t="s">
        <v>687</v>
      </c>
      <c r="D47" s="236"/>
      <c r="E47" s="304"/>
      <c r="F47" s="325"/>
      <c r="G47" s="384"/>
      <c r="H47" s="379"/>
      <c r="I47" s="384"/>
      <c r="J47" s="321"/>
      <c r="K47" s="304"/>
      <c r="L47" s="305"/>
      <c r="M47" s="295"/>
      <c r="N47" s="305"/>
      <c r="O47" s="304"/>
      <c r="P47" s="305"/>
      <c r="Q47" s="304"/>
      <c r="R47" s="305"/>
      <c r="S47" s="384"/>
      <c r="T47" s="379"/>
      <c r="U47" s="384"/>
      <c r="V47" s="379"/>
      <c r="W47" s="321"/>
      <c r="X47" s="321"/>
      <c r="Y47" s="304"/>
      <c r="Z47" s="305"/>
      <c r="AA47" s="311">
        <f>D47-SUM(E47:Z47)</f>
        <v>0</v>
      </c>
      <c r="AC47" s="481"/>
      <c r="AD47" s="481" t="s">
        <v>321</v>
      </c>
      <c r="AE47" s="483"/>
      <c r="AF47" s="483">
        <f>IF(AJ41="JV/Associate -&gt; Group",AM50,0)</f>
        <v>54</v>
      </c>
      <c r="AG47" s="481"/>
      <c r="AH47" s="481"/>
      <c r="AI47" s="481"/>
      <c r="AJ47" s="444" t="s">
        <v>886</v>
      </c>
      <c r="AK47" s="438"/>
      <c r="AL47" s="438"/>
      <c r="AM47" s="366">
        <f>AM44-AM46</f>
        <v>180</v>
      </c>
      <c r="AN47" s="439"/>
    </row>
    <row r="48" spans="2:40" ht="15.75" thickTop="1" x14ac:dyDescent="0.25">
      <c r="B48" s="232" t="s">
        <v>688</v>
      </c>
      <c r="C48" s="234" t="s">
        <v>667</v>
      </c>
      <c r="D48" s="236"/>
      <c r="E48" s="304"/>
      <c r="F48" s="325"/>
      <c r="G48" s="384"/>
      <c r="H48" s="379"/>
      <c r="I48" s="384"/>
      <c r="J48" s="321"/>
      <c r="K48" s="304"/>
      <c r="L48" s="305"/>
      <c r="M48" s="295"/>
      <c r="N48" s="305"/>
      <c r="O48" s="304"/>
      <c r="P48" s="305"/>
      <c r="Q48" s="304"/>
      <c r="R48" s="305"/>
      <c r="S48" s="384"/>
      <c r="T48" s="379"/>
      <c r="U48" s="384"/>
      <c r="V48" s="379"/>
      <c r="W48" s="321"/>
      <c r="X48" s="321"/>
      <c r="Y48" s="304"/>
      <c r="Z48" s="305"/>
      <c r="AA48" s="311">
        <f>D48-SUM(E48:Z48)</f>
        <v>0</v>
      </c>
      <c r="AC48" s="481"/>
      <c r="AD48" s="481"/>
      <c r="AE48" s="481"/>
      <c r="AF48" s="481"/>
      <c r="AG48" s="481"/>
      <c r="AH48" s="481"/>
      <c r="AI48" s="481"/>
      <c r="AJ48" s="437"/>
      <c r="AK48" s="438"/>
      <c r="AL48" s="438"/>
      <c r="AM48" s="438"/>
      <c r="AN48" s="439"/>
    </row>
    <row r="49" spans="2:40" ht="15.75" x14ac:dyDescent="0.25">
      <c r="B49" s="229" t="s">
        <v>689</v>
      </c>
      <c r="C49" s="234"/>
      <c r="D49" s="238">
        <f>SUM(D46:D48)</f>
        <v>0</v>
      </c>
      <c r="E49" s="302"/>
      <c r="F49" s="284"/>
      <c r="G49" s="385"/>
      <c r="H49" s="386"/>
      <c r="I49" s="385"/>
      <c r="J49" s="322"/>
      <c r="K49" s="317"/>
      <c r="L49" s="318"/>
      <c r="M49" s="296"/>
      <c r="N49" s="318"/>
      <c r="O49" s="317"/>
      <c r="P49" s="318"/>
      <c r="Q49" s="317"/>
      <c r="R49" s="318"/>
      <c r="S49" s="385"/>
      <c r="T49" s="386"/>
      <c r="U49" s="385"/>
      <c r="V49" s="386"/>
      <c r="W49" s="322"/>
      <c r="X49" s="322"/>
      <c r="Y49" s="317"/>
      <c r="Z49" s="318"/>
      <c r="AA49" s="312">
        <f>SUM(AA46:AA48)</f>
        <v>0</v>
      </c>
      <c r="AC49" s="481"/>
      <c r="AD49" s="481"/>
      <c r="AE49" s="481"/>
      <c r="AF49" s="481"/>
      <c r="AG49" s="481"/>
      <c r="AH49" s="481"/>
      <c r="AI49" s="481"/>
      <c r="AJ49" s="444"/>
      <c r="AK49" s="442"/>
      <c r="AL49" s="442"/>
      <c r="AM49" s="442"/>
      <c r="AN49" s="439"/>
    </row>
    <row r="50" spans="2:40" ht="15.75" thickBot="1" x14ac:dyDescent="0.3">
      <c r="B50" s="232"/>
      <c r="C50" s="234"/>
      <c r="D50" s="235"/>
      <c r="E50" s="302"/>
      <c r="F50" s="284"/>
      <c r="G50" s="382"/>
      <c r="H50" s="383"/>
      <c r="I50" s="382"/>
      <c r="J50" s="320"/>
      <c r="K50" s="302"/>
      <c r="L50" s="303"/>
      <c r="M50" s="294"/>
      <c r="N50" s="303"/>
      <c r="O50" s="302"/>
      <c r="P50" s="303"/>
      <c r="Q50" s="302"/>
      <c r="R50" s="303"/>
      <c r="S50" s="382"/>
      <c r="T50" s="383"/>
      <c r="U50" s="382"/>
      <c r="V50" s="383"/>
      <c r="W50" s="320"/>
      <c r="X50" s="320"/>
      <c r="Y50" s="302"/>
      <c r="Z50" s="303"/>
      <c r="AA50" s="294"/>
      <c r="AC50" s="183"/>
      <c r="AD50" s="183"/>
      <c r="AE50" s="183"/>
      <c r="AF50" s="183"/>
      <c r="AG50" s="183"/>
      <c r="AH50" s="183"/>
      <c r="AI50" s="183"/>
      <c r="AJ50" s="453" t="s">
        <v>887</v>
      </c>
      <c r="AK50" s="454"/>
      <c r="AL50" s="454"/>
      <c r="AM50" s="461">
        <f>AM47*AM2</f>
        <v>54</v>
      </c>
      <c r="AN50" s="447"/>
    </row>
    <row r="51" spans="2:40" ht="15.75" x14ac:dyDescent="0.25">
      <c r="B51" s="229" t="s">
        <v>84</v>
      </c>
      <c r="C51" s="234"/>
      <c r="D51" s="235"/>
      <c r="E51" s="302"/>
      <c r="F51" s="284"/>
      <c r="G51" s="382"/>
      <c r="H51" s="383"/>
      <c r="I51" s="382"/>
      <c r="J51" s="320"/>
      <c r="K51" s="302"/>
      <c r="L51" s="303"/>
      <c r="M51" s="294"/>
      <c r="N51" s="303"/>
      <c r="O51" s="302"/>
      <c r="P51" s="303"/>
      <c r="Q51" s="302"/>
      <c r="R51" s="303"/>
      <c r="S51" s="382"/>
      <c r="T51" s="383"/>
      <c r="U51" s="382"/>
      <c r="V51" s="383"/>
      <c r="W51" s="320"/>
      <c r="X51" s="320"/>
      <c r="Y51" s="302"/>
      <c r="Z51" s="303"/>
      <c r="AA51" s="294"/>
      <c r="AC51" s="183"/>
      <c r="AD51" s="183"/>
      <c r="AE51" s="183"/>
      <c r="AF51" s="183"/>
      <c r="AG51" s="183"/>
      <c r="AH51" s="183"/>
      <c r="AI51" s="183"/>
    </row>
    <row r="52" spans="2:40" ht="15.75" thickBot="1" x14ac:dyDescent="0.3">
      <c r="B52" s="232" t="s">
        <v>86</v>
      </c>
      <c r="C52" s="234"/>
      <c r="D52" s="244"/>
      <c r="E52" s="304"/>
      <c r="F52" s="325"/>
      <c r="G52" s="384"/>
      <c r="H52" s="379"/>
      <c r="I52" s="384"/>
      <c r="J52" s="321"/>
      <c r="K52" s="304"/>
      <c r="L52" s="305"/>
      <c r="M52" s="295"/>
      <c r="N52" s="305"/>
      <c r="O52" s="304"/>
      <c r="P52" s="305"/>
      <c r="Q52" s="304"/>
      <c r="R52" s="305"/>
      <c r="S52" s="384"/>
      <c r="T52" s="379"/>
      <c r="U52" s="384"/>
      <c r="V52" s="379"/>
      <c r="W52" s="321"/>
      <c r="X52" s="321"/>
      <c r="Y52" s="304"/>
      <c r="Z52" s="305"/>
      <c r="AA52" s="311">
        <f>D52-SUM(E52:Z52)</f>
        <v>0</v>
      </c>
      <c r="AC52" s="183"/>
      <c r="AH52" s="183"/>
      <c r="AI52" s="183"/>
    </row>
    <row r="53" spans="2:40" ht="16.5" thickBot="1" x14ac:dyDescent="0.3">
      <c r="B53" s="232" t="s">
        <v>690</v>
      </c>
      <c r="C53" s="234" t="s">
        <v>667</v>
      </c>
      <c r="D53" s="244"/>
      <c r="E53" s="304"/>
      <c r="F53" s="325"/>
      <c r="G53" s="384"/>
      <c r="H53" s="379"/>
      <c r="I53" s="384"/>
      <c r="J53" s="321"/>
      <c r="K53" s="304"/>
      <c r="L53" s="305"/>
      <c r="M53" s="295"/>
      <c r="N53" s="305"/>
      <c r="O53" s="304"/>
      <c r="P53" s="305"/>
      <c r="Q53" s="304"/>
      <c r="R53" s="305"/>
      <c r="S53" s="384"/>
      <c r="T53" s="379"/>
      <c r="U53" s="384"/>
      <c r="V53" s="379"/>
      <c r="W53" s="321"/>
      <c r="X53" s="321"/>
      <c r="Y53" s="304"/>
      <c r="Z53" s="305"/>
      <c r="AA53" s="311">
        <f>D53-SUM(E53:Z53)</f>
        <v>0</v>
      </c>
      <c r="AC53" s="485">
        <v>6</v>
      </c>
      <c r="AD53" s="3" t="s">
        <v>493</v>
      </c>
      <c r="AE53" s="21">
        <f>AM57</f>
        <v>4184.3999999999996</v>
      </c>
      <c r="AF53" s="183"/>
      <c r="AG53" s="183"/>
      <c r="AJ53" s="448" t="s">
        <v>716</v>
      </c>
      <c r="AK53" s="425"/>
      <c r="AL53" s="425"/>
      <c r="AM53" s="425"/>
      <c r="AN53" s="427"/>
    </row>
    <row r="54" spans="2:40" x14ac:dyDescent="0.25">
      <c r="B54" s="232" t="s">
        <v>691</v>
      </c>
      <c r="C54" s="234" t="s">
        <v>667</v>
      </c>
      <c r="D54" s="244"/>
      <c r="E54" s="304"/>
      <c r="F54" s="325"/>
      <c r="G54" s="384"/>
      <c r="H54" s="379"/>
      <c r="I54" s="384"/>
      <c r="J54" s="321"/>
      <c r="K54" s="304"/>
      <c r="L54" s="305"/>
      <c r="M54" s="295"/>
      <c r="N54" s="305"/>
      <c r="O54" s="304"/>
      <c r="P54" s="305"/>
      <c r="Q54" s="304"/>
      <c r="R54" s="305"/>
      <c r="S54" s="384"/>
      <c r="T54" s="379"/>
      <c r="U54" s="384"/>
      <c r="V54" s="379"/>
      <c r="W54" s="321"/>
      <c r="X54" s="321"/>
      <c r="Y54" s="304"/>
      <c r="Z54" s="305"/>
      <c r="AA54" s="311">
        <f>D54-SUM(E54:Z54)</f>
        <v>0</v>
      </c>
      <c r="AD54" s="3" t="s">
        <v>882</v>
      </c>
      <c r="AF54" s="12">
        <f>AM57</f>
        <v>4184.3999999999996</v>
      </c>
      <c r="AJ54" s="444" t="s">
        <v>881</v>
      </c>
      <c r="AK54" s="442"/>
      <c r="AL54" s="442"/>
      <c r="AM54" s="443">
        <f>AM30</f>
        <v>4238.3999999999996</v>
      </c>
      <c r="AN54" s="439"/>
    </row>
    <row r="55" spans="2:40" x14ac:dyDescent="0.25">
      <c r="B55" s="232" t="s">
        <v>87</v>
      </c>
      <c r="C55" s="234"/>
      <c r="D55" s="244"/>
      <c r="E55" s="304"/>
      <c r="F55" s="325"/>
      <c r="G55" s="384"/>
      <c r="H55" s="379"/>
      <c r="I55" s="384"/>
      <c r="J55" s="321"/>
      <c r="K55" s="304"/>
      <c r="L55" s="305"/>
      <c r="M55" s="295"/>
      <c r="N55" s="305"/>
      <c r="O55" s="304"/>
      <c r="P55" s="305"/>
      <c r="Q55" s="304"/>
      <c r="R55" s="305"/>
      <c r="S55" s="384"/>
      <c r="T55" s="379"/>
      <c r="U55" s="384"/>
      <c r="V55" s="379"/>
      <c r="W55" s="321"/>
      <c r="X55" s="321"/>
      <c r="Y55" s="304"/>
      <c r="Z55" s="305"/>
      <c r="AA55" s="311">
        <f>D55-SUM(E55:Z55)</f>
        <v>0</v>
      </c>
      <c r="AJ55" s="444" t="s">
        <v>817</v>
      </c>
      <c r="AK55" s="442"/>
      <c r="AL55" s="442"/>
      <c r="AM55" s="443">
        <f>-AM36</f>
        <v>0</v>
      </c>
      <c r="AN55" s="439"/>
    </row>
    <row r="56" spans="2:40" x14ac:dyDescent="0.25">
      <c r="B56" s="232" t="s">
        <v>692</v>
      </c>
      <c r="C56" s="234" t="s">
        <v>667</v>
      </c>
      <c r="D56" s="244"/>
      <c r="E56" s="304"/>
      <c r="F56" s="325"/>
      <c r="G56" s="384"/>
      <c r="H56" s="379"/>
      <c r="I56" s="384"/>
      <c r="J56" s="321"/>
      <c r="K56" s="304"/>
      <c r="L56" s="305"/>
      <c r="M56" s="295"/>
      <c r="N56" s="305"/>
      <c r="O56" s="304"/>
      <c r="P56" s="305"/>
      <c r="Q56" s="304"/>
      <c r="R56" s="305"/>
      <c r="S56" s="384"/>
      <c r="T56" s="379"/>
      <c r="U56" s="384"/>
      <c r="V56" s="379"/>
      <c r="W56" s="321"/>
      <c r="X56" s="321"/>
      <c r="Y56" s="304"/>
      <c r="Z56" s="305"/>
      <c r="AA56" s="311">
        <f>D56-SUM(E56:Z56)</f>
        <v>0</v>
      </c>
      <c r="AJ56" s="444" t="s">
        <v>816</v>
      </c>
      <c r="AK56" s="442"/>
      <c r="AL56" s="442"/>
      <c r="AM56" s="451">
        <f>-AM50</f>
        <v>-54</v>
      </c>
      <c r="AN56" s="439"/>
    </row>
    <row r="57" spans="2:40" ht="16.5" thickBot="1" x14ac:dyDescent="0.3">
      <c r="B57" s="229" t="s">
        <v>693</v>
      </c>
      <c r="C57" s="234"/>
      <c r="D57" s="238">
        <f>SUM(D52:D56)</f>
        <v>0</v>
      </c>
      <c r="E57" s="302"/>
      <c r="F57" s="284"/>
      <c r="G57" s="382"/>
      <c r="H57" s="383"/>
      <c r="I57" s="382"/>
      <c r="J57" s="320"/>
      <c r="K57" s="302"/>
      <c r="L57" s="303"/>
      <c r="M57" s="294"/>
      <c r="N57" s="303"/>
      <c r="O57" s="302"/>
      <c r="P57" s="303"/>
      <c r="Q57" s="302"/>
      <c r="R57" s="303"/>
      <c r="S57" s="382"/>
      <c r="T57" s="383"/>
      <c r="U57" s="382"/>
      <c r="V57" s="383"/>
      <c r="W57" s="320"/>
      <c r="X57" s="320"/>
      <c r="Y57" s="302"/>
      <c r="Z57" s="303"/>
      <c r="AA57" s="312">
        <f>SUM(AA52:AA56)</f>
        <v>0</v>
      </c>
      <c r="AJ57" s="444"/>
      <c r="AK57" s="442"/>
      <c r="AL57" s="442"/>
      <c r="AM57" s="281">
        <f>SUM(AM54:AM56)</f>
        <v>4184.3999999999996</v>
      </c>
      <c r="AN57" s="439"/>
    </row>
    <row r="58" spans="2:40" ht="17.25" thickTop="1" thickBot="1" x14ac:dyDescent="0.3">
      <c r="B58" s="229" t="s">
        <v>694</v>
      </c>
      <c r="C58" s="234"/>
      <c r="D58" s="238">
        <f>SUM(D49,D57)</f>
        <v>0</v>
      </c>
      <c r="E58" s="302"/>
      <c r="F58" s="284"/>
      <c r="G58" s="382"/>
      <c r="H58" s="383"/>
      <c r="I58" s="382"/>
      <c r="J58" s="320"/>
      <c r="K58" s="302"/>
      <c r="L58" s="303"/>
      <c r="M58" s="294"/>
      <c r="N58" s="303"/>
      <c r="O58" s="302"/>
      <c r="P58" s="303"/>
      <c r="Q58" s="302"/>
      <c r="R58" s="303"/>
      <c r="S58" s="382"/>
      <c r="T58" s="383"/>
      <c r="U58" s="382"/>
      <c r="V58" s="383"/>
      <c r="W58" s="320"/>
      <c r="X58" s="320"/>
      <c r="Y58" s="302"/>
      <c r="Z58" s="303"/>
      <c r="AA58" s="312">
        <f>SUM(AA49,AA57)</f>
        <v>0</v>
      </c>
      <c r="AJ58" s="453"/>
      <c r="AK58" s="454"/>
      <c r="AL58" s="454"/>
      <c r="AM58" s="454"/>
      <c r="AN58" s="447"/>
    </row>
    <row r="59" spans="2:40" ht="16.5" thickBot="1" x14ac:dyDescent="0.3">
      <c r="B59" s="229" t="s">
        <v>695</v>
      </c>
      <c r="C59" s="234"/>
      <c r="D59" s="240">
        <f>SUM(D43,D58)</f>
        <v>3640</v>
      </c>
      <c r="E59" s="308"/>
      <c r="F59" s="354"/>
      <c r="G59" s="390"/>
      <c r="H59" s="391"/>
      <c r="I59" s="390"/>
      <c r="J59" s="378"/>
      <c r="K59" s="308"/>
      <c r="L59" s="309"/>
      <c r="M59" s="333"/>
      <c r="N59" s="309"/>
      <c r="O59" s="308"/>
      <c r="P59" s="309"/>
      <c r="Q59" s="308"/>
      <c r="R59" s="309"/>
      <c r="S59" s="390"/>
      <c r="T59" s="391"/>
      <c r="U59" s="390"/>
      <c r="V59" s="391"/>
      <c r="W59" s="378"/>
      <c r="X59" s="378"/>
      <c r="Y59" s="308"/>
      <c r="Z59" s="309"/>
      <c r="AA59" s="313">
        <f>SUM(AA43,AA58)</f>
        <v>8287</v>
      </c>
    </row>
    <row r="60" spans="2:40" x14ac:dyDescent="0.25">
      <c r="E60" s="393"/>
      <c r="F60" s="397"/>
      <c r="G60" s="393"/>
      <c r="H60" s="394"/>
      <c r="I60" s="393"/>
      <c r="J60" s="397"/>
      <c r="K60" s="393"/>
      <c r="L60" s="394"/>
    </row>
    <row r="61" spans="2:40" x14ac:dyDescent="0.25">
      <c r="E61" s="393"/>
      <c r="F61" s="397"/>
      <c r="G61" s="393"/>
      <c r="H61" s="394"/>
      <c r="I61" s="393"/>
      <c r="J61" s="397"/>
      <c r="K61" s="393"/>
      <c r="L61" s="394"/>
    </row>
    <row r="62" spans="2:40" x14ac:dyDescent="0.25">
      <c r="E62" s="393"/>
      <c r="F62" s="397"/>
      <c r="G62" s="393"/>
      <c r="H62" s="394"/>
      <c r="I62" s="393"/>
      <c r="J62" s="397"/>
      <c r="K62" s="393"/>
      <c r="L62" s="394"/>
    </row>
    <row r="63" spans="2:40" ht="15.75" x14ac:dyDescent="0.25">
      <c r="B63" s="226" t="s">
        <v>654</v>
      </c>
      <c r="C63" s="808" t="s">
        <v>655</v>
      </c>
      <c r="D63" s="231"/>
      <c r="E63" s="395"/>
      <c r="F63" s="398"/>
      <c r="G63" s="395"/>
      <c r="H63" s="398"/>
      <c r="I63" s="395"/>
      <c r="J63" s="398"/>
      <c r="K63" s="395"/>
      <c r="L63" s="396"/>
      <c r="M63" s="392"/>
      <c r="N63" s="299"/>
      <c r="O63" s="299"/>
      <c r="P63" s="299"/>
      <c r="Q63" s="299"/>
      <c r="R63" s="299"/>
      <c r="S63" s="299"/>
      <c r="T63" s="299"/>
      <c r="U63" s="299"/>
      <c r="V63" s="299"/>
      <c r="W63" s="299"/>
      <c r="X63" s="299"/>
      <c r="Y63" s="299"/>
      <c r="Z63" s="299"/>
      <c r="AA63" s="227"/>
    </row>
    <row r="64" spans="2:40" ht="15.75" x14ac:dyDescent="0.25">
      <c r="B64" s="229" t="s">
        <v>13</v>
      </c>
      <c r="C64" s="813"/>
      <c r="D64" s="227"/>
      <c r="E64" s="806">
        <v>1</v>
      </c>
      <c r="F64" s="811"/>
      <c r="G64" s="806">
        <v>2</v>
      </c>
      <c r="H64" s="807"/>
      <c r="I64" s="806">
        <v>3</v>
      </c>
      <c r="J64" s="811"/>
      <c r="K64" s="806">
        <v>4</v>
      </c>
      <c r="L64" s="807"/>
      <c r="M64" s="811">
        <v>5</v>
      </c>
      <c r="N64" s="807"/>
      <c r="O64" s="806">
        <v>6</v>
      </c>
      <c r="P64" s="807"/>
      <c r="Q64" s="806">
        <v>7</v>
      </c>
      <c r="R64" s="807"/>
      <c r="S64" s="806">
        <v>8</v>
      </c>
      <c r="T64" s="807"/>
      <c r="U64" s="817">
        <v>9</v>
      </c>
      <c r="V64" s="817"/>
      <c r="W64" s="811">
        <v>10</v>
      </c>
      <c r="X64" s="807"/>
      <c r="Y64" s="806">
        <v>11</v>
      </c>
      <c r="Z64" s="807"/>
      <c r="AA64" s="310"/>
    </row>
    <row r="65" spans="2:27" ht="16.5" thickBot="1" x14ac:dyDescent="0.3">
      <c r="B65" s="230" t="s">
        <v>717</v>
      </c>
      <c r="C65" s="814"/>
      <c r="D65" s="231" t="s">
        <v>657</v>
      </c>
      <c r="E65" s="300" t="s">
        <v>718</v>
      </c>
      <c r="F65" s="283" t="s">
        <v>719</v>
      </c>
      <c r="G65" s="380"/>
      <c r="H65" s="381"/>
      <c r="I65" s="380"/>
      <c r="J65" s="479"/>
      <c r="K65" s="300" t="s">
        <v>718</v>
      </c>
      <c r="L65" s="301" t="s">
        <v>719</v>
      </c>
      <c r="M65" s="293" t="s">
        <v>718</v>
      </c>
      <c r="N65" s="301" t="s">
        <v>719</v>
      </c>
      <c r="O65" s="300" t="s">
        <v>718</v>
      </c>
      <c r="P65" s="301" t="s">
        <v>719</v>
      </c>
      <c r="Q65" s="300" t="s">
        <v>718</v>
      </c>
      <c r="R65" s="301" t="s">
        <v>719</v>
      </c>
      <c r="S65" s="300" t="s">
        <v>718</v>
      </c>
      <c r="T65" s="301" t="s">
        <v>719</v>
      </c>
      <c r="U65" s="471" t="s">
        <v>718</v>
      </c>
      <c r="V65" s="472" t="s">
        <v>719</v>
      </c>
      <c r="W65" s="293" t="s">
        <v>718</v>
      </c>
      <c r="X65" s="301" t="s">
        <v>719</v>
      </c>
      <c r="Y65" s="300" t="s">
        <v>718</v>
      </c>
      <c r="Z65" s="301" t="s">
        <v>719</v>
      </c>
      <c r="AA65" s="293" t="s">
        <v>662</v>
      </c>
    </row>
    <row r="66" spans="2:27" ht="15.75" x14ac:dyDescent="0.25">
      <c r="B66" s="232"/>
      <c r="C66" s="233" t="s">
        <v>663</v>
      </c>
      <c r="D66" s="231" t="s">
        <v>10</v>
      </c>
      <c r="E66" s="300" t="s">
        <v>10</v>
      </c>
      <c r="F66" s="283" t="s">
        <v>10</v>
      </c>
      <c r="G66" s="380"/>
      <c r="H66" s="381"/>
      <c r="I66" s="380"/>
      <c r="J66" s="479"/>
      <c r="K66" s="300" t="s">
        <v>10</v>
      </c>
      <c r="L66" s="301" t="s">
        <v>10</v>
      </c>
      <c r="M66" s="293" t="s">
        <v>10</v>
      </c>
      <c r="N66" s="301" t="s">
        <v>10</v>
      </c>
      <c r="O66" s="300" t="s">
        <v>10</v>
      </c>
      <c r="P66" s="301" t="s">
        <v>10</v>
      </c>
      <c r="Q66" s="300" t="s">
        <v>10</v>
      </c>
      <c r="R66" s="301" t="s">
        <v>10</v>
      </c>
      <c r="S66" s="300" t="s">
        <v>10</v>
      </c>
      <c r="T66" s="301" t="s">
        <v>10</v>
      </c>
      <c r="U66" s="300" t="s">
        <v>10</v>
      </c>
      <c r="V66" s="301" t="s">
        <v>10</v>
      </c>
      <c r="W66" s="293" t="s">
        <v>10</v>
      </c>
      <c r="X66" s="301" t="s">
        <v>10</v>
      </c>
      <c r="Y66" s="300" t="s">
        <v>10</v>
      </c>
      <c r="Z66" s="301" t="s">
        <v>10</v>
      </c>
      <c r="AA66" s="293" t="s">
        <v>10</v>
      </c>
    </row>
    <row r="67" spans="2:27" ht="15.75" x14ac:dyDescent="0.25">
      <c r="B67" s="229" t="s">
        <v>58</v>
      </c>
      <c r="C67" s="234"/>
      <c r="D67" s="236">
        <v>207657</v>
      </c>
      <c r="E67" s="304"/>
      <c r="F67" s="325"/>
      <c r="G67" s="384"/>
      <c r="H67" s="379"/>
      <c r="I67" s="384"/>
      <c r="J67" s="321"/>
      <c r="K67" s="304"/>
      <c r="L67" s="305"/>
      <c r="M67" s="295"/>
      <c r="N67" s="305"/>
      <c r="O67" s="304"/>
      <c r="P67" s="305"/>
      <c r="Q67" s="304"/>
      <c r="R67" s="305"/>
      <c r="S67" s="304"/>
      <c r="T67" s="305"/>
      <c r="U67" s="384"/>
      <c r="V67" s="379"/>
      <c r="W67" s="321"/>
      <c r="X67" s="321"/>
      <c r="Y67" s="304"/>
      <c r="Z67" s="305"/>
      <c r="AA67" s="311">
        <f>D67-SUM(E67:Z67)</f>
        <v>207657</v>
      </c>
    </row>
    <row r="68" spans="2:27" ht="15.75" x14ac:dyDescent="0.25">
      <c r="B68" s="229"/>
      <c r="C68" s="234"/>
      <c r="D68" s="248"/>
      <c r="E68" s="304"/>
      <c r="F68" s="325"/>
      <c r="G68" s="384"/>
      <c r="H68" s="379"/>
      <c r="I68" s="384"/>
      <c r="J68" s="321"/>
      <c r="K68" s="304"/>
      <c r="L68" s="305"/>
      <c r="M68" s="295"/>
      <c r="N68" s="305"/>
      <c r="O68" s="304"/>
      <c r="P68" s="305"/>
      <c r="Q68" s="304"/>
      <c r="R68" s="305"/>
      <c r="S68" s="384"/>
      <c r="T68" s="379"/>
      <c r="U68" s="384"/>
      <c r="V68" s="379"/>
      <c r="W68" s="321"/>
      <c r="X68" s="321"/>
      <c r="Y68" s="304"/>
      <c r="Z68" s="305"/>
      <c r="AA68" s="294"/>
    </row>
    <row r="69" spans="2:27" ht="15.75" x14ac:dyDescent="0.25">
      <c r="B69" s="229"/>
      <c r="C69" s="234"/>
      <c r="D69" s="248"/>
      <c r="E69" s="304"/>
      <c r="F69" s="325"/>
      <c r="G69" s="384"/>
      <c r="H69" s="379"/>
      <c r="I69" s="384"/>
      <c r="J69" s="321"/>
      <c r="K69" s="304"/>
      <c r="L69" s="305"/>
      <c r="M69" s="295"/>
      <c r="N69" s="305"/>
      <c r="O69" s="304"/>
      <c r="P69" s="305"/>
      <c r="Q69" s="304"/>
      <c r="R69" s="305"/>
      <c r="S69" s="384"/>
      <c r="T69" s="379"/>
      <c r="U69" s="384"/>
      <c r="V69" s="379"/>
      <c r="W69" s="321"/>
      <c r="X69" s="321"/>
      <c r="Y69" s="304"/>
      <c r="Z69" s="305"/>
      <c r="AA69" s="294"/>
    </row>
    <row r="70" spans="2:27" x14ac:dyDescent="0.25">
      <c r="B70" s="232" t="s">
        <v>67</v>
      </c>
      <c r="C70" s="234"/>
      <c r="D70" s="237">
        <v>136249</v>
      </c>
      <c r="E70" s="304"/>
      <c r="F70" s="325"/>
      <c r="G70" s="384"/>
      <c r="H70" s="379"/>
      <c r="I70" s="384"/>
      <c r="J70" s="321"/>
      <c r="K70" s="304"/>
      <c r="L70" s="305"/>
      <c r="M70" s="295">
        <f>SUMIF($AD$41:$AD$47,"DR SPL - Cost of sales",$AE$41:$AE$47)</f>
        <v>0</v>
      </c>
      <c r="N70" s="305">
        <f>-SUMIF($AD$40:$AD$47,"CR SPL - Cost of sales",$AF$40:$AF$47)</f>
        <v>0</v>
      </c>
      <c r="O70" s="304"/>
      <c r="P70" s="305"/>
      <c r="Q70" s="304"/>
      <c r="R70" s="305"/>
      <c r="S70" s="304"/>
      <c r="T70" s="305"/>
      <c r="U70" s="384"/>
      <c r="V70" s="379"/>
      <c r="W70" s="321"/>
      <c r="X70" s="321"/>
      <c r="Y70" s="304"/>
      <c r="Z70" s="305"/>
      <c r="AA70" s="311">
        <f>D70+SUM(E70:Z70)</f>
        <v>136249</v>
      </c>
    </row>
    <row r="71" spans="2:27" x14ac:dyDescent="0.25">
      <c r="B71" s="232"/>
      <c r="C71" s="234"/>
      <c r="D71" s="235"/>
      <c r="E71" s="304"/>
      <c r="F71" s="325"/>
      <c r="G71" s="384"/>
      <c r="H71" s="379"/>
      <c r="I71" s="384"/>
      <c r="J71" s="321"/>
      <c r="K71" s="304"/>
      <c r="L71" s="305"/>
      <c r="M71" s="295"/>
      <c r="N71" s="305"/>
      <c r="O71" s="304"/>
      <c r="P71" s="305"/>
      <c r="Q71" s="304"/>
      <c r="R71" s="305"/>
      <c r="S71" s="384"/>
      <c r="T71" s="379"/>
      <c r="U71" s="384"/>
      <c r="V71" s="379"/>
      <c r="W71" s="321"/>
      <c r="X71" s="321"/>
      <c r="Y71" s="304"/>
      <c r="Z71" s="305"/>
      <c r="AA71" s="294"/>
    </row>
    <row r="72" spans="2:27" x14ac:dyDescent="0.25">
      <c r="B72" s="232"/>
      <c r="C72" s="234"/>
      <c r="D72" s="248"/>
      <c r="E72" s="304"/>
      <c r="F72" s="325"/>
      <c r="G72" s="384"/>
      <c r="H72" s="379"/>
      <c r="I72" s="384"/>
      <c r="J72" s="321"/>
      <c r="K72" s="304"/>
      <c r="L72" s="305"/>
      <c r="M72" s="295"/>
      <c r="N72" s="305"/>
      <c r="O72" s="304"/>
      <c r="P72" s="305"/>
      <c r="Q72" s="304"/>
      <c r="R72" s="305"/>
      <c r="S72" s="384"/>
      <c r="T72" s="379"/>
      <c r="U72" s="384"/>
      <c r="V72" s="379"/>
      <c r="W72" s="321"/>
      <c r="X72" s="321"/>
      <c r="Y72" s="304"/>
      <c r="Z72" s="305"/>
      <c r="AA72" s="332"/>
    </row>
    <row r="73" spans="2:27" x14ac:dyDescent="0.25">
      <c r="B73" s="232" t="s">
        <v>720</v>
      </c>
      <c r="C73" s="234"/>
      <c r="D73" s="241">
        <f>D67-D70</f>
        <v>71408</v>
      </c>
      <c r="E73" s="302"/>
      <c r="F73" s="284"/>
      <c r="G73" s="382"/>
      <c r="H73" s="383"/>
      <c r="I73" s="382"/>
      <c r="J73" s="320"/>
      <c r="K73" s="302"/>
      <c r="L73" s="303"/>
      <c r="M73" s="294"/>
      <c r="N73" s="303"/>
      <c r="O73" s="302"/>
      <c r="P73" s="303"/>
      <c r="Q73" s="302"/>
      <c r="R73" s="303"/>
      <c r="S73" s="382"/>
      <c r="T73" s="383"/>
      <c r="U73" s="382"/>
      <c r="V73" s="383"/>
      <c r="W73" s="320"/>
      <c r="X73" s="320"/>
      <c r="Y73" s="302"/>
      <c r="Z73" s="303"/>
      <c r="AA73" s="314">
        <f>AA67-AA70</f>
        <v>71408</v>
      </c>
    </row>
    <row r="74" spans="2:27" x14ac:dyDescent="0.25">
      <c r="B74" s="232" t="s">
        <v>95</v>
      </c>
      <c r="C74" s="234"/>
      <c r="D74" s="237"/>
      <c r="E74" s="304">
        <f>SUMIF($AD$3:$AD$12,"DR SPL - Gain from bargain purchase",$AE$3:$AE$12)</f>
        <v>0</v>
      </c>
      <c r="F74" s="305">
        <f>-SUMIF($AD$3:$AD$12,"CR SPL - Gain from bargain purchase",$AF$3:$AF$12)</f>
        <v>0</v>
      </c>
      <c r="G74" s="384"/>
      <c r="H74" s="379"/>
      <c r="I74" s="384"/>
      <c r="J74" s="321"/>
      <c r="K74" s="304"/>
      <c r="L74" s="305"/>
      <c r="M74" s="295"/>
      <c r="N74" s="305"/>
      <c r="O74" s="304"/>
      <c r="P74" s="305"/>
      <c r="Q74" s="304"/>
      <c r="R74" s="305"/>
      <c r="S74" s="384"/>
      <c r="T74" s="379"/>
      <c r="U74" s="384"/>
      <c r="V74" s="379"/>
      <c r="W74" s="321"/>
      <c r="X74" s="321"/>
      <c r="Y74" s="304"/>
      <c r="Z74" s="305"/>
      <c r="AA74" s="311">
        <f>D74-SUM(E74:Z74)</f>
        <v>0</v>
      </c>
    </row>
    <row r="75" spans="2:27" x14ac:dyDescent="0.25">
      <c r="B75" s="232"/>
      <c r="C75" s="234"/>
      <c r="D75" s="235"/>
      <c r="E75" s="304"/>
      <c r="F75" s="325"/>
      <c r="G75" s="384"/>
      <c r="H75" s="379"/>
      <c r="I75" s="384"/>
      <c r="J75" s="321"/>
      <c r="K75" s="304"/>
      <c r="L75" s="305"/>
      <c r="M75" s="295"/>
      <c r="N75" s="305"/>
      <c r="O75" s="304"/>
      <c r="P75" s="305"/>
      <c r="Q75" s="304"/>
      <c r="R75" s="305"/>
      <c r="S75" s="384"/>
      <c r="T75" s="379"/>
      <c r="U75" s="384"/>
      <c r="V75" s="379"/>
      <c r="W75" s="321"/>
      <c r="X75" s="321"/>
      <c r="Y75" s="304"/>
      <c r="Z75" s="305"/>
      <c r="AA75" s="294"/>
    </row>
    <row r="76" spans="2:27" x14ac:dyDescent="0.25">
      <c r="B76" s="232"/>
      <c r="C76" s="234"/>
      <c r="D76" s="235"/>
      <c r="E76" s="304"/>
      <c r="F76" s="325"/>
      <c r="G76" s="384"/>
      <c r="H76" s="379"/>
      <c r="I76" s="384"/>
      <c r="J76" s="321"/>
      <c r="K76" s="304"/>
      <c r="L76" s="305"/>
      <c r="M76" s="295"/>
      <c r="N76" s="305"/>
      <c r="O76" s="304"/>
      <c r="P76" s="305"/>
      <c r="Q76" s="304"/>
      <c r="R76" s="305"/>
      <c r="S76" s="384"/>
      <c r="T76" s="379"/>
      <c r="U76" s="384"/>
      <c r="V76" s="379"/>
      <c r="W76" s="321"/>
      <c r="X76" s="321"/>
      <c r="Y76" s="304"/>
      <c r="Z76" s="305"/>
      <c r="AA76" s="294"/>
    </row>
    <row r="77" spans="2:27" x14ac:dyDescent="0.25">
      <c r="B77" s="232" t="s">
        <v>721</v>
      </c>
      <c r="C77" s="234"/>
      <c r="D77" s="249">
        <v>7202</v>
      </c>
      <c r="E77" s="304"/>
      <c r="F77" s="325"/>
      <c r="G77" s="384"/>
      <c r="H77" s="379"/>
      <c r="I77" s="384"/>
      <c r="J77" s="321"/>
      <c r="K77" s="304"/>
      <c r="L77" s="305"/>
      <c r="M77" s="295"/>
      <c r="N77" s="305"/>
      <c r="O77" s="304"/>
      <c r="P77" s="305"/>
      <c r="Q77" s="304"/>
      <c r="R77" s="305"/>
      <c r="S77" s="384"/>
      <c r="T77" s="379"/>
      <c r="U77" s="384"/>
      <c r="V77" s="379"/>
      <c r="W77" s="321"/>
      <c r="X77" s="321"/>
      <c r="Y77" s="304"/>
      <c r="Z77" s="305"/>
      <c r="AA77" s="311">
        <f>D77+SUM(E77:Z77)</f>
        <v>7202</v>
      </c>
    </row>
    <row r="78" spans="2:27" x14ac:dyDescent="0.25">
      <c r="B78" s="232"/>
      <c r="C78" s="234"/>
      <c r="D78" s="235"/>
      <c r="E78" s="304"/>
      <c r="F78" s="325"/>
      <c r="G78" s="384"/>
      <c r="H78" s="379"/>
      <c r="I78" s="384"/>
      <c r="J78" s="321"/>
      <c r="K78" s="304"/>
      <c r="L78" s="305"/>
      <c r="M78" s="295"/>
      <c r="N78" s="305"/>
      <c r="O78" s="304"/>
      <c r="P78" s="305"/>
      <c r="Q78" s="304"/>
      <c r="R78" s="305"/>
      <c r="S78" s="384"/>
      <c r="T78" s="379"/>
      <c r="U78" s="384"/>
      <c r="V78" s="379"/>
      <c r="W78" s="321"/>
      <c r="X78" s="321"/>
      <c r="Y78" s="304"/>
      <c r="Z78" s="305"/>
      <c r="AA78" s="294"/>
    </row>
    <row r="79" spans="2:27" x14ac:dyDescent="0.25">
      <c r="B79" s="232"/>
      <c r="C79" s="234"/>
      <c r="D79" s="235"/>
      <c r="E79" s="304"/>
      <c r="F79" s="325"/>
      <c r="G79" s="384"/>
      <c r="H79" s="379"/>
      <c r="I79" s="384"/>
      <c r="J79" s="321"/>
      <c r="K79" s="304"/>
      <c r="L79" s="305"/>
      <c r="M79" s="295"/>
      <c r="N79" s="305"/>
      <c r="O79" s="304"/>
      <c r="P79" s="305"/>
      <c r="Q79" s="304"/>
      <c r="R79" s="305"/>
      <c r="S79" s="384"/>
      <c r="T79" s="379"/>
      <c r="U79" s="384"/>
      <c r="V79" s="379"/>
      <c r="W79" s="321"/>
      <c r="X79" s="321"/>
      <c r="Y79" s="304"/>
      <c r="Z79" s="305"/>
      <c r="AA79" s="294"/>
    </row>
    <row r="80" spans="2:27" x14ac:dyDescent="0.25">
      <c r="B80" s="232" t="s">
        <v>722</v>
      </c>
      <c r="C80" s="234"/>
      <c r="D80" s="249">
        <v>17802</v>
      </c>
      <c r="E80" s="304"/>
      <c r="F80" s="325"/>
      <c r="G80" s="384"/>
      <c r="H80" s="379"/>
      <c r="I80" s="384"/>
      <c r="J80" s="321"/>
      <c r="K80" s="304"/>
      <c r="L80" s="305"/>
      <c r="M80" s="295"/>
      <c r="N80" s="305"/>
      <c r="O80" s="304"/>
      <c r="P80" s="305"/>
      <c r="Q80" s="304"/>
      <c r="R80" s="305"/>
      <c r="S80" s="384"/>
      <c r="T80" s="379"/>
      <c r="U80" s="384"/>
      <c r="V80" s="379"/>
      <c r="W80" s="321"/>
      <c r="X80" s="321"/>
      <c r="Y80" s="304"/>
      <c r="Z80" s="305"/>
      <c r="AA80" s="311">
        <f>D80+SUM(E80:Z80)</f>
        <v>17802</v>
      </c>
    </row>
    <row r="81" spans="2:27" x14ac:dyDescent="0.25">
      <c r="B81" s="232"/>
      <c r="C81" s="234"/>
      <c r="D81" s="235"/>
      <c r="E81" s="304"/>
      <c r="F81" s="325"/>
      <c r="G81" s="384"/>
      <c r="H81" s="379"/>
      <c r="I81" s="384"/>
      <c r="J81" s="321"/>
      <c r="K81" s="304"/>
      <c r="L81" s="305"/>
      <c r="M81" s="295"/>
      <c r="N81" s="305"/>
      <c r="O81" s="304"/>
      <c r="P81" s="305"/>
      <c r="Q81" s="304"/>
      <c r="R81" s="305"/>
      <c r="S81" s="384"/>
      <c r="T81" s="379"/>
      <c r="U81" s="384"/>
      <c r="V81" s="379"/>
      <c r="W81" s="321"/>
      <c r="X81" s="321"/>
      <c r="Y81" s="304"/>
      <c r="Z81" s="305"/>
      <c r="AA81" s="294"/>
    </row>
    <row r="82" spans="2:27" x14ac:dyDescent="0.25">
      <c r="B82" s="232"/>
      <c r="C82" s="234"/>
      <c r="D82" s="235"/>
      <c r="E82" s="304"/>
      <c r="F82" s="325"/>
      <c r="G82" s="384"/>
      <c r="H82" s="379"/>
      <c r="I82" s="384"/>
      <c r="J82" s="321"/>
      <c r="K82" s="304"/>
      <c r="L82" s="305"/>
      <c r="M82" s="295"/>
      <c r="N82" s="305"/>
      <c r="O82" s="304"/>
      <c r="P82" s="305"/>
      <c r="Q82" s="304"/>
      <c r="R82" s="305"/>
      <c r="S82" s="384"/>
      <c r="T82" s="379"/>
      <c r="U82" s="384"/>
      <c r="V82" s="379"/>
      <c r="W82" s="321"/>
      <c r="X82" s="321"/>
      <c r="Y82" s="304"/>
      <c r="Z82" s="305"/>
      <c r="AA82" s="294"/>
    </row>
    <row r="83" spans="2:27" x14ac:dyDescent="0.25">
      <c r="B83" s="232"/>
      <c r="C83" s="234"/>
      <c r="D83" s="235"/>
      <c r="E83" s="304"/>
      <c r="F83" s="325"/>
      <c r="G83" s="384"/>
      <c r="H83" s="379"/>
      <c r="I83" s="384"/>
      <c r="J83" s="321"/>
      <c r="K83" s="304"/>
      <c r="L83" s="305"/>
      <c r="M83" s="295"/>
      <c r="N83" s="305"/>
      <c r="O83" s="304"/>
      <c r="P83" s="305"/>
      <c r="Q83" s="304"/>
      <c r="R83" s="305"/>
      <c r="S83" s="384"/>
      <c r="T83" s="379"/>
      <c r="U83" s="384"/>
      <c r="V83" s="379"/>
      <c r="W83" s="321"/>
      <c r="X83" s="321"/>
      <c r="Y83" s="304"/>
      <c r="Z83" s="305"/>
      <c r="AA83" s="294"/>
    </row>
    <row r="84" spans="2:27" x14ac:dyDescent="0.25">
      <c r="B84" s="232"/>
      <c r="C84" s="234"/>
      <c r="D84" s="235"/>
      <c r="E84" s="304"/>
      <c r="F84" s="325"/>
      <c r="G84" s="384"/>
      <c r="H84" s="379"/>
      <c r="I84" s="384"/>
      <c r="J84" s="321"/>
      <c r="K84" s="304"/>
      <c r="L84" s="305"/>
      <c r="M84" s="295"/>
      <c r="N84" s="305"/>
      <c r="O84" s="304"/>
      <c r="P84" s="305"/>
      <c r="Q84" s="304"/>
      <c r="R84" s="305"/>
      <c r="S84" s="384"/>
      <c r="T84" s="379"/>
      <c r="U84" s="384"/>
      <c r="V84" s="379"/>
      <c r="W84" s="321"/>
      <c r="X84" s="321"/>
      <c r="Y84" s="304"/>
      <c r="Z84" s="305"/>
      <c r="AA84" s="294"/>
    </row>
    <row r="85" spans="2:27" x14ac:dyDescent="0.25">
      <c r="B85" s="232" t="s">
        <v>723</v>
      </c>
      <c r="C85" s="234"/>
      <c r="D85" s="236"/>
      <c r="E85" s="304"/>
      <c r="F85" s="325"/>
      <c r="G85" s="384"/>
      <c r="H85" s="379"/>
      <c r="I85" s="384"/>
      <c r="J85" s="321"/>
      <c r="K85" s="304"/>
      <c r="L85" s="305"/>
      <c r="M85" s="295"/>
      <c r="N85" s="305"/>
      <c r="O85" s="304"/>
      <c r="P85" s="305"/>
      <c r="Q85" s="304"/>
      <c r="R85" s="305"/>
      <c r="S85" s="384"/>
      <c r="T85" s="379"/>
      <c r="U85" s="384"/>
      <c r="V85" s="379"/>
      <c r="W85" s="321"/>
      <c r="X85" s="321"/>
      <c r="Y85" s="304"/>
      <c r="Z85" s="305"/>
      <c r="AA85" s="311">
        <f>D85+SUM(E85:Z85)</f>
        <v>0</v>
      </c>
    </row>
    <row r="86" spans="2:27" x14ac:dyDescent="0.25">
      <c r="B86" s="232"/>
      <c r="C86" s="234"/>
      <c r="D86" s="235"/>
      <c r="E86" s="304"/>
      <c r="F86" s="325"/>
      <c r="G86" s="384"/>
      <c r="H86" s="379"/>
      <c r="I86" s="384"/>
      <c r="J86" s="321"/>
      <c r="K86" s="304"/>
      <c r="L86" s="305"/>
      <c r="M86" s="295"/>
      <c r="N86" s="305"/>
      <c r="O86" s="304"/>
      <c r="P86" s="305"/>
      <c r="Q86" s="304"/>
      <c r="R86" s="305"/>
      <c r="S86" s="384"/>
      <c r="T86" s="379"/>
      <c r="U86" s="384"/>
      <c r="V86" s="379"/>
      <c r="W86" s="321"/>
      <c r="X86" s="321"/>
      <c r="Y86" s="304"/>
      <c r="Z86" s="305"/>
      <c r="AA86" s="294"/>
    </row>
    <row r="87" spans="2:27" x14ac:dyDescent="0.25">
      <c r="B87" s="232"/>
      <c r="C87" s="234"/>
      <c r="D87" s="235"/>
      <c r="E87" s="304"/>
      <c r="F87" s="325"/>
      <c r="G87" s="384"/>
      <c r="H87" s="379"/>
      <c r="I87" s="384"/>
      <c r="J87" s="321"/>
      <c r="K87" s="304"/>
      <c r="L87" s="305"/>
      <c r="M87" s="295"/>
      <c r="N87" s="305"/>
      <c r="O87" s="304"/>
      <c r="P87" s="305"/>
      <c r="Q87" s="304"/>
      <c r="R87" s="305"/>
      <c r="S87" s="384"/>
      <c r="T87" s="379"/>
      <c r="U87" s="384"/>
      <c r="V87" s="379"/>
      <c r="W87" s="321"/>
      <c r="X87" s="321"/>
      <c r="Y87" s="304"/>
      <c r="Z87" s="305"/>
      <c r="AA87" s="294"/>
    </row>
    <row r="88" spans="2:27" x14ac:dyDescent="0.25">
      <c r="B88" s="232" t="s">
        <v>631</v>
      </c>
      <c r="C88" s="234"/>
      <c r="D88" s="249">
        <v>6203</v>
      </c>
      <c r="E88" s="304"/>
      <c r="F88" s="325"/>
      <c r="G88" s="384"/>
      <c r="H88" s="379"/>
      <c r="I88" s="384"/>
      <c r="J88" s="321"/>
      <c r="K88" s="304"/>
      <c r="L88" s="305"/>
      <c r="M88" s="295"/>
      <c r="N88" s="305"/>
      <c r="O88" s="304"/>
      <c r="P88" s="305"/>
      <c r="Q88" s="304"/>
      <c r="R88" s="305"/>
      <c r="S88" s="384"/>
      <c r="T88" s="379"/>
      <c r="U88" s="384"/>
      <c r="V88" s="379"/>
      <c r="W88" s="321"/>
      <c r="X88" s="321"/>
      <c r="Y88" s="304"/>
      <c r="Z88" s="305"/>
      <c r="AA88" s="311">
        <f>D88+SUM(E88:Z88)</f>
        <v>6203</v>
      </c>
    </row>
    <row r="89" spans="2:27" x14ac:dyDescent="0.25">
      <c r="B89" s="232"/>
      <c r="C89" s="234"/>
      <c r="D89" s="235"/>
      <c r="E89" s="304"/>
      <c r="F89" s="325"/>
      <c r="G89" s="384"/>
      <c r="H89" s="379"/>
      <c r="I89" s="384"/>
      <c r="J89" s="321"/>
      <c r="K89" s="304"/>
      <c r="L89" s="305"/>
      <c r="M89" s="295"/>
      <c r="N89" s="305"/>
      <c r="O89" s="304"/>
      <c r="P89" s="305"/>
      <c r="Q89" s="304"/>
      <c r="R89" s="305"/>
      <c r="S89" s="384"/>
      <c r="T89" s="379"/>
      <c r="U89" s="384"/>
      <c r="V89" s="379"/>
      <c r="W89" s="321"/>
      <c r="X89" s="321"/>
      <c r="Y89" s="304"/>
      <c r="Z89" s="305"/>
      <c r="AA89" s="294"/>
    </row>
    <row r="90" spans="2:27" x14ac:dyDescent="0.25">
      <c r="B90" s="232"/>
      <c r="C90" s="234"/>
      <c r="D90" s="235"/>
      <c r="E90" s="304"/>
      <c r="F90" s="325"/>
      <c r="G90" s="384"/>
      <c r="H90" s="379"/>
      <c r="I90" s="384"/>
      <c r="J90" s="321"/>
      <c r="K90" s="304"/>
      <c r="L90" s="305"/>
      <c r="M90" s="295"/>
      <c r="N90" s="305"/>
      <c r="O90" s="304"/>
      <c r="P90" s="305"/>
      <c r="Q90" s="304"/>
      <c r="R90" s="305"/>
      <c r="S90" s="384"/>
      <c r="T90" s="379"/>
      <c r="U90" s="384"/>
      <c r="V90" s="379"/>
      <c r="W90" s="321"/>
      <c r="X90" s="321"/>
      <c r="Y90" s="304"/>
      <c r="Z90" s="305"/>
      <c r="AA90" s="294"/>
    </row>
    <row r="91" spans="2:27" x14ac:dyDescent="0.25">
      <c r="B91" s="232" t="s">
        <v>647</v>
      </c>
      <c r="C91" s="234"/>
      <c r="D91" s="236">
        <v>6054</v>
      </c>
      <c r="E91" s="304"/>
      <c r="F91" s="325"/>
      <c r="G91" s="384"/>
      <c r="H91" s="379"/>
      <c r="I91" s="384"/>
      <c r="J91" s="321"/>
      <c r="K91" s="304">
        <f>SUMIF($AD$33:$AD$34,"DR SPL - Finance Income",$AE$33:$AE$34)</f>
        <v>0</v>
      </c>
      <c r="L91" s="305">
        <f>-SUMIF($AD$33:$AD$34,"CR Finance income",$AF$33:$AF$34)</f>
        <v>0</v>
      </c>
      <c r="M91" s="295"/>
      <c r="N91" s="305"/>
      <c r="O91" s="304"/>
      <c r="P91" s="305"/>
      <c r="Q91" s="304"/>
      <c r="R91" s="305"/>
      <c r="S91" s="384"/>
      <c r="T91" s="379"/>
      <c r="U91" s="384"/>
      <c r="V91" s="379"/>
      <c r="W91" s="321"/>
      <c r="X91" s="321"/>
      <c r="Y91" s="304"/>
      <c r="Z91" s="305"/>
      <c r="AA91" s="311">
        <f>D91-SUM(E91:Z91)</f>
        <v>6054</v>
      </c>
    </row>
    <row r="92" spans="2:27" x14ac:dyDescent="0.25">
      <c r="B92" s="232"/>
      <c r="C92" s="234"/>
      <c r="D92" s="235"/>
      <c r="E92" s="304"/>
      <c r="F92" s="325"/>
      <c r="G92" s="384"/>
      <c r="H92" s="379"/>
      <c r="I92" s="384"/>
      <c r="J92" s="321"/>
      <c r="K92" s="304"/>
      <c r="L92" s="305"/>
      <c r="M92" s="295"/>
      <c r="N92" s="305"/>
      <c r="O92" s="304"/>
      <c r="P92" s="305"/>
      <c r="Q92" s="304"/>
      <c r="R92" s="305"/>
      <c r="S92" s="384"/>
      <c r="T92" s="379"/>
      <c r="U92" s="384"/>
      <c r="V92" s="379"/>
      <c r="W92" s="321"/>
      <c r="X92" s="321"/>
      <c r="Y92" s="304"/>
      <c r="Z92" s="305"/>
      <c r="AA92" s="294"/>
    </row>
    <row r="93" spans="2:27" x14ac:dyDescent="0.25">
      <c r="B93" s="232" t="s">
        <v>893</v>
      </c>
      <c r="C93" s="234"/>
      <c r="D93" s="250"/>
      <c r="E93" s="304"/>
      <c r="F93" s="325"/>
      <c r="G93" s="384"/>
      <c r="H93" s="379"/>
      <c r="I93" s="384">
        <f>SUMIF($AD$28:$AD$29,"DR SPL - Share of profit of the associate",$AE$28:$AE$29)</f>
        <v>0</v>
      </c>
      <c r="J93" s="321">
        <f>-SUMIF($AD$28:$AD$29,"CR SPL - Share of profit of the associate",$AF$28:$AF$29)</f>
        <v>-4238.3999999999996</v>
      </c>
      <c r="K93" s="304"/>
      <c r="L93" s="305"/>
      <c r="M93" s="295">
        <f>SUMIF($AD$41:$AD$47,"DR SPL - Share of profit of the associate",$AE$41:$AE$47)</f>
        <v>54</v>
      </c>
      <c r="N93" s="305">
        <f>-SUMIF($AD$40:$AD$47,"CR SPL - Share of profit of the associate",$AF$40:$AF$47)</f>
        <v>0</v>
      </c>
      <c r="O93" s="304"/>
      <c r="P93" s="305"/>
      <c r="Q93" s="304"/>
      <c r="R93" s="305"/>
      <c r="S93" s="384"/>
      <c r="T93" s="379"/>
      <c r="U93" s="384"/>
      <c r="V93" s="379"/>
      <c r="W93" s="321"/>
      <c r="X93" s="321"/>
      <c r="Y93" s="304"/>
      <c r="Z93" s="305"/>
      <c r="AA93" s="333"/>
    </row>
    <row r="94" spans="2:27" ht="15.75" x14ac:dyDescent="0.25">
      <c r="B94" s="229" t="s">
        <v>724</v>
      </c>
      <c r="C94" s="234" t="s">
        <v>725</v>
      </c>
      <c r="D94" s="243">
        <f>D73+D74-D77-D80-D85-D88+D91</f>
        <v>46255</v>
      </c>
      <c r="E94" s="302"/>
      <c r="F94" s="284"/>
      <c r="G94" s="382"/>
      <c r="H94" s="383"/>
      <c r="I94" s="382"/>
      <c r="J94" s="320"/>
      <c r="K94" s="302"/>
      <c r="L94" s="303"/>
      <c r="M94" s="294"/>
      <c r="N94" s="303"/>
      <c r="O94" s="302"/>
      <c r="P94" s="303"/>
      <c r="Q94" s="302"/>
      <c r="R94" s="303"/>
      <c r="S94" s="382"/>
      <c r="T94" s="383"/>
      <c r="U94" s="382"/>
      <c r="V94" s="383"/>
      <c r="W94" s="320"/>
      <c r="X94" s="320"/>
      <c r="Y94" s="302"/>
      <c r="Z94" s="303"/>
      <c r="AA94" s="315">
        <f>AA73+AA74-AA77-AA80-AA85-AA88+AA91</f>
        <v>46255</v>
      </c>
    </row>
    <row r="95" spans="2:27" x14ac:dyDescent="0.25">
      <c r="B95" s="232" t="s">
        <v>1</v>
      </c>
      <c r="C95" s="234" t="s">
        <v>726</v>
      </c>
      <c r="D95" s="251">
        <v>12102</v>
      </c>
      <c r="E95" s="343"/>
      <c r="F95" s="326"/>
      <c r="G95" s="404"/>
      <c r="H95" s="405"/>
      <c r="I95" s="404"/>
      <c r="J95" s="368"/>
      <c r="K95" s="343"/>
      <c r="L95" s="344"/>
      <c r="M95" s="360"/>
      <c r="N95" s="344"/>
      <c r="O95" s="343"/>
      <c r="P95" s="344"/>
      <c r="Q95" s="343"/>
      <c r="R95" s="344"/>
      <c r="S95" s="404"/>
      <c r="T95" s="405"/>
      <c r="U95" s="404"/>
      <c r="V95" s="405"/>
      <c r="W95" s="368"/>
      <c r="X95" s="368"/>
      <c r="Y95" s="343"/>
      <c r="Z95" s="344"/>
      <c r="AA95" s="311">
        <f>D95+SUM(E95:Z95)</f>
        <v>12102</v>
      </c>
    </row>
    <row r="96" spans="2:27" x14ac:dyDescent="0.25">
      <c r="B96" s="252"/>
      <c r="C96" s="234"/>
      <c r="D96" s="239"/>
      <c r="E96" s="343"/>
      <c r="F96" s="326"/>
      <c r="G96" s="404"/>
      <c r="H96" s="405"/>
      <c r="I96" s="404"/>
      <c r="J96" s="368"/>
      <c r="K96" s="343"/>
      <c r="L96" s="344"/>
      <c r="M96" s="360"/>
      <c r="N96" s="344"/>
      <c r="O96" s="343"/>
      <c r="P96" s="344"/>
      <c r="Q96" s="343"/>
      <c r="R96" s="344"/>
      <c r="S96" s="404"/>
      <c r="T96" s="405"/>
      <c r="U96" s="404"/>
      <c r="V96" s="405"/>
      <c r="W96" s="368"/>
      <c r="X96" s="368"/>
      <c r="Y96" s="343"/>
      <c r="Z96" s="344"/>
      <c r="AA96" s="297"/>
    </row>
    <row r="97" spans="2:27" x14ac:dyDescent="0.25">
      <c r="B97" s="252"/>
      <c r="C97" s="234"/>
      <c r="D97" s="235"/>
      <c r="E97" s="343"/>
      <c r="F97" s="326"/>
      <c r="G97" s="404"/>
      <c r="H97" s="405"/>
      <c r="I97" s="404"/>
      <c r="J97" s="368"/>
      <c r="K97" s="343"/>
      <c r="L97" s="344"/>
      <c r="M97" s="360"/>
      <c r="N97" s="344"/>
      <c r="O97" s="343"/>
      <c r="P97" s="344"/>
      <c r="Q97" s="343"/>
      <c r="R97" s="344"/>
      <c r="S97" s="404"/>
      <c r="T97" s="405"/>
      <c r="U97" s="404"/>
      <c r="V97" s="405"/>
      <c r="W97" s="368"/>
      <c r="X97" s="368"/>
      <c r="Y97" s="343"/>
      <c r="Z97" s="344"/>
      <c r="AA97" s="294"/>
    </row>
    <row r="98" spans="2:27" ht="15.75" x14ac:dyDescent="0.25">
      <c r="B98" s="253" t="s">
        <v>727</v>
      </c>
      <c r="C98" s="234" t="s">
        <v>725</v>
      </c>
      <c r="D98" s="254">
        <f>D94-D95</f>
        <v>34153</v>
      </c>
      <c r="E98" s="345"/>
      <c r="F98" s="327"/>
      <c r="G98" s="406"/>
      <c r="H98" s="407"/>
      <c r="I98" s="406"/>
      <c r="J98" s="369"/>
      <c r="K98" s="345"/>
      <c r="L98" s="346"/>
      <c r="M98" s="361"/>
      <c r="N98" s="346"/>
      <c r="O98" s="345"/>
      <c r="P98" s="346"/>
      <c r="Q98" s="345"/>
      <c r="R98" s="346"/>
      <c r="S98" s="406"/>
      <c r="T98" s="407"/>
      <c r="U98" s="406"/>
      <c r="V98" s="407"/>
      <c r="W98" s="369"/>
      <c r="X98" s="369"/>
      <c r="Y98" s="345"/>
      <c r="Z98" s="346"/>
      <c r="AA98" s="316">
        <f>AA94-AA95</f>
        <v>34153</v>
      </c>
    </row>
    <row r="99" spans="2:27" x14ac:dyDescent="0.25">
      <c r="B99" s="232" t="s">
        <v>728</v>
      </c>
      <c r="C99" s="234" t="s">
        <v>729</v>
      </c>
      <c r="D99" s="255"/>
      <c r="E99" s="347"/>
      <c r="F99" s="328"/>
      <c r="G99" s="408"/>
      <c r="H99" s="409"/>
      <c r="I99" s="408"/>
      <c r="J99" s="371"/>
      <c r="K99" s="347"/>
      <c r="L99" s="348"/>
      <c r="M99" s="362"/>
      <c r="N99" s="348"/>
      <c r="O99" s="347"/>
      <c r="P99" s="348"/>
      <c r="Q99" s="347"/>
      <c r="R99" s="348"/>
      <c r="S99" s="408"/>
      <c r="T99" s="409"/>
      <c r="U99" s="408"/>
      <c r="V99" s="409"/>
      <c r="W99" s="371"/>
      <c r="X99" s="371"/>
      <c r="Y99" s="347"/>
      <c r="Z99" s="348"/>
      <c r="AA99" s="335"/>
    </row>
    <row r="100" spans="2:27" ht="15.75" x14ac:dyDescent="0.25">
      <c r="B100" s="229" t="s">
        <v>730</v>
      </c>
      <c r="C100" s="234" t="s">
        <v>725</v>
      </c>
      <c r="D100" s="257">
        <f>D98-D99</f>
        <v>34153</v>
      </c>
      <c r="E100" s="349"/>
      <c r="F100" s="329"/>
      <c r="G100" s="410"/>
      <c r="H100" s="411"/>
      <c r="I100" s="410"/>
      <c r="J100" s="370"/>
      <c r="K100" s="349"/>
      <c r="L100" s="350"/>
      <c r="M100" s="337"/>
      <c r="N100" s="350"/>
      <c r="O100" s="349"/>
      <c r="P100" s="350"/>
      <c r="Q100" s="349"/>
      <c r="R100" s="350"/>
      <c r="S100" s="410"/>
      <c r="T100" s="411"/>
      <c r="U100" s="410"/>
      <c r="V100" s="411"/>
      <c r="W100" s="370"/>
      <c r="X100" s="370"/>
      <c r="Y100" s="349"/>
      <c r="Z100" s="350"/>
      <c r="AA100" s="336">
        <f>AA98-AA99</f>
        <v>34153</v>
      </c>
    </row>
    <row r="101" spans="2:27" x14ac:dyDescent="0.25">
      <c r="B101" s="232"/>
      <c r="C101" s="234"/>
      <c r="D101" s="258"/>
      <c r="E101" s="349"/>
      <c r="F101" s="329"/>
      <c r="G101" s="410"/>
      <c r="H101" s="411"/>
      <c r="I101" s="410"/>
      <c r="J101" s="370"/>
      <c r="K101" s="349"/>
      <c r="L101" s="350"/>
      <c r="M101" s="337"/>
      <c r="N101" s="350"/>
      <c r="O101" s="349"/>
      <c r="P101" s="350"/>
      <c r="Q101" s="349"/>
      <c r="R101" s="350"/>
      <c r="S101" s="410"/>
      <c r="T101" s="411"/>
      <c r="U101" s="410"/>
      <c r="V101" s="411"/>
      <c r="W101" s="370"/>
      <c r="X101" s="370"/>
      <c r="Y101" s="349"/>
      <c r="Z101" s="350"/>
      <c r="AA101" s="337"/>
    </row>
    <row r="102" spans="2:27" ht="15.75" x14ac:dyDescent="0.25">
      <c r="B102" s="229" t="s">
        <v>3</v>
      </c>
      <c r="C102" s="234"/>
      <c r="D102" s="258"/>
      <c r="E102" s="349"/>
      <c r="F102" s="329"/>
      <c r="G102" s="410"/>
      <c r="H102" s="411"/>
      <c r="I102" s="410"/>
      <c r="J102" s="370"/>
      <c r="K102" s="349"/>
      <c r="L102" s="350"/>
      <c r="M102" s="337"/>
      <c r="N102" s="350"/>
      <c r="O102" s="349"/>
      <c r="P102" s="350"/>
      <c r="Q102" s="349"/>
      <c r="R102" s="350"/>
      <c r="S102" s="410"/>
      <c r="T102" s="411"/>
      <c r="U102" s="410"/>
      <c r="V102" s="411"/>
      <c r="W102" s="370"/>
      <c r="X102" s="370"/>
      <c r="Y102" s="349"/>
      <c r="Z102" s="350"/>
      <c r="AA102" s="337"/>
    </row>
    <row r="103" spans="2:27" ht="15.75" x14ac:dyDescent="0.25">
      <c r="B103" s="229" t="s">
        <v>4</v>
      </c>
      <c r="C103" s="234"/>
      <c r="D103" s="258"/>
      <c r="E103" s="349"/>
      <c r="F103" s="329"/>
      <c r="G103" s="410"/>
      <c r="H103" s="411"/>
      <c r="I103" s="410"/>
      <c r="J103" s="370"/>
      <c r="K103" s="349"/>
      <c r="L103" s="350"/>
      <c r="M103" s="337"/>
      <c r="N103" s="350"/>
      <c r="O103" s="349"/>
      <c r="P103" s="350"/>
      <c r="Q103" s="349"/>
      <c r="R103" s="350"/>
      <c r="S103" s="410"/>
      <c r="T103" s="411"/>
      <c r="U103" s="410"/>
      <c r="V103" s="411"/>
      <c r="W103" s="370"/>
      <c r="X103" s="370"/>
      <c r="Y103" s="349"/>
      <c r="Z103" s="350"/>
      <c r="AA103" s="337"/>
    </row>
    <row r="104" spans="2:27" x14ac:dyDescent="0.25">
      <c r="B104" s="232" t="s">
        <v>731</v>
      </c>
      <c r="C104" s="234" t="s">
        <v>732</v>
      </c>
      <c r="D104" s="244"/>
      <c r="E104" s="347"/>
      <c r="F104" s="328"/>
      <c r="G104" s="408"/>
      <c r="H104" s="409"/>
      <c r="I104" s="408"/>
      <c r="J104" s="371"/>
      <c r="K104" s="347"/>
      <c r="L104" s="348"/>
      <c r="M104" s="362"/>
      <c r="N104" s="348"/>
      <c r="O104" s="347"/>
      <c r="P104" s="348"/>
      <c r="Q104" s="347"/>
      <c r="R104" s="348"/>
      <c r="S104" s="408"/>
      <c r="T104" s="409"/>
      <c r="U104" s="408"/>
      <c r="V104" s="409"/>
      <c r="W104" s="371"/>
      <c r="X104" s="371"/>
      <c r="Y104" s="347"/>
      <c r="Z104" s="348"/>
      <c r="AA104" s="311">
        <f>D104-SUM(E104:Z104)</f>
        <v>0</v>
      </c>
    </row>
    <row r="105" spans="2:27" x14ac:dyDescent="0.25">
      <c r="B105" s="232" t="s">
        <v>733</v>
      </c>
      <c r="C105" s="234" t="s">
        <v>732</v>
      </c>
      <c r="D105" s="244"/>
      <c r="E105" s="347"/>
      <c r="F105" s="328"/>
      <c r="G105" s="408"/>
      <c r="H105" s="409"/>
      <c r="I105" s="408"/>
      <c r="J105" s="371"/>
      <c r="K105" s="347"/>
      <c r="L105" s="348"/>
      <c r="M105" s="362"/>
      <c r="N105" s="348"/>
      <c r="O105" s="347"/>
      <c r="P105" s="348"/>
      <c r="Q105" s="347"/>
      <c r="R105" s="348"/>
      <c r="S105" s="408"/>
      <c r="T105" s="409"/>
      <c r="U105" s="408"/>
      <c r="V105" s="409"/>
      <c r="W105" s="371"/>
      <c r="X105" s="371"/>
      <c r="Y105" s="347"/>
      <c r="Z105" s="348"/>
      <c r="AA105" s="311">
        <f>D105-SUM(E105:Z105)</f>
        <v>0</v>
      </c>
    </row>
    <row r="106" spans="2:27" ht="30" x14ac:dyDescent="0.25">
      <c r="B106" s="232" t="s">
        <v>734</v>
      </c>
      <c r="C106" s="234" t="s">
        <v>735</v>
      </c>
      <c r="D106" s="244"/>
      <c r="E106" s="347"/>
      <c r="F106" s="328"/>
      <c r="G106" s="408"/>
      <c r="H106" s="409"/>
      <c r="I106" s="408"/>
      <c r="J106" s="371"/>
      <c r="K106" s="347"/>
      <c r="L106" s="348"/>
      <c r="M106" s="362"/>
      <c r="N106" s="348"/>
      <c r="O106" s="347"/>
      <c r="P106" s="348"/>
      <c r="Q106" s="347"/>
      <c r="R106" s="348"/>
      <c r="S106" s="408"/>
      <c r="T106" s="409"/>
      <c r="U106" s="408"/>
      <c r="V106" s="409"/>
      <c r="W106" s="371"/>
      <c r="X106" s="371"/>
      <c r="Y106" s="347"/>
      <c r="Z106" s="348"/>
      <c r="AA106" s="311">
        <f>D106-SUM(E106:Z106)</f>
        <v>0</v>
      </c>
    </row>
    <row r="107" spans="2:27" x14ac:dyDescent="0.25">
      <c r="B107" s="232" t="s">
        <v>736</v>
      </c>
      <c r="C107" s="234" t="s">
        <v>726</v>
      </c>
      <c r="D107" s="255"/>
      <c r="E107" s="347"/>
      <c r="F107" s="328"/>
      <c r="G107" s="408"/>
      <c r="H107" s="409"/>
      <c r="I107" s="408"/>
      <c r="J107" s="371"/>
      <c r="K107" s="347"/>
      <c r="L107" s="348"/>
      <c r="M107" s="362"/>
      <c r="N107" s="348"/>
      <c r="O107" s="347"/>
      <c r="P107" s="348"/>
      <c r="Q107" s="347"/>
      <c r="R107" s="348"/>
      <c r="S107" s="408"/>
      <c r="T107" s="409"/>
      <c r="U107" s="408"/>
      <c r="V107" s="409"/>
      <c r="W107" s="371"/>
      <c r="X107" s="371"/>
      <c r="Y107" s="347"/>
      <c r="Z107" s="348"/>
      <c r="AA107" s="486">
        <f>D107+SUM(E107:Z107)</f>
        <v>0</v>
      </c>
    </row>
    <row r="108" spans="2:27" x14ac:dyDescent="0.25">
      <c r="B108" s="232"/>
      <c r="C108" s="234"/>
      <c r="D108" s="257">
        <f>D104+D105+D106-D107</f>
        <v>0</v>
      </c>
      <c r="E108" s="349"/>
      <c r="F108" s="329"/>
      <c r="G108" s="410"/>
      <c r="H108" s="411"/>
      <c r="I108" s="410"/>
      <c r="J108" s="370"/>
      <c r="K108" s="349"/>
      <c r="L108" s="350"/>
      <c r="M108" s="337"/>
      <c r="N108" s="350"/>
      <c r="O108" s="349"/>
      <c r="P108" s="350"/>
      <c r="Q108" s="349"/>
      <c r="R108" s="350"/>
      <c r="S108" s="410"/>
      <c r="T108" s="411"/>
      <c r="U108" s="410"/>
      <c r="V108" s="411"/>
      <c r="W108" s="370"/>
      <c r="X108" s="370"/>
      <c r="Y108" s="349"/>
      <c r="Z108" s="350"/>
      <c r="AA108" s="487">
        <f>AA104+AA105+AA106-AA107</f>
        <v>0</v>
      </c>
    </row>
    <row r="109" spans="2:27" ht="15.75" x14ac:dyDescent="0.25">
      <c r="B109" s="229" t="s">
        <v>30</v>
      </c>
      <c r="C109" s="234"/>
      <c r="D109" s="258"/>
      <c r="E109" s="349"/>
      <c r="F109" s="329"/>
      <c r="G109" s="410"/>
      <c r="H109" s="411"/>
      <c r="I109" s="410"/>
      <c r="J109" s="370"/>
      <c r="K109" s="349"/>
      <c r="L109" s="350"/>
      <c r="M109" s="337"/>
      <c r="N109" s="350"/>
      <c r="O109" s="349"/>
      <c r="P109" s="350"/>
      <c r="Q109" s="349"/>
      <c r="R109" s="350"/>
      <c r="S109" s="410"/>
      <c r="T109" s="411"/>
      <c r="U109" s="410"/>
      <c r="V109" s="411"/>
      <c r="W109" s="370"/>
      <c r="X109" s="370"/>
      <c r="Y109" s="349"/>
      <c r="Z109" s="350"/>
      <c r="AA109" s="337"/>
    </row>
    <row r="110" spans="2:27" x14ac:dyDescent="0.25">
      <c r="B110" s="232" t="s">
        <v>32</v>
      </c>
      <c r="C110" s="234" t="s">
        <v>732</v>
      </c>
      <c r="D110" s="244"/>
      <c r="E110" s="347"/>
      <c r="F110" s="328"/>
      <c r="G110" s="408"/>
      <c r="H110" s="409"/>
      <c r="I110" s="408"/>
      <c r="J110" s="371"/>
      <c r="K110" s="347"/>
      <c r="L110" s="348"/>
      <c r="M110" s="362"/>
      <c r="N110" s="348"/>
      <c r="O110" s="347"/>
      <c r="P110" s="348"/>
      <c r="Q110" s="347"/>
      <c r="R110" s="348"/>
      <c r="S110" s="408"/>
      <c r="T110" s="409"/>
      <c r="U110" s="408"/>
      <c r="V110" s="409"/>
      <c r="W110" s="371"/>
      <c r="X110" s="371"/>
      <c r="Y110" s="347"/>
      <c r="Z110" s="348"/>
      <c r="AA110" s="316"/>
    </row>
    <row r="111" spans="2:27" x14ac:dyDescent="0.25">
      <c r="B111" s="232" t="s">
        <v>737</v>
      </c>
      <c r="C111" s="234" t="s">
        <v>726</v>
      </c>
      <c r="D111" s="255"/>
      <c r="E111" s="347"/>
      <c r="F111" s="328"/>
      <c r="G111" s="408"/>
      <c r="H111" s="409"/>
      <c r="I111" s="408"/>
      <c r="J111" s="371"/>
      <c r="K111" s="347"/>
      <c r="L111" s="348"/>
      <c r="M111" s="362"/>
      <c r="N111" s="348"/>
      <c r="O111" s="347"/>
      <c r="P111" s="348"/>
      <c r="Q111" s="347"/>
      <c r="R111" s="348"/>
      <c r="S111" s="408"/>
      <c r="T111" s="409"/>
      <c r="U111" s="408"/>
      <c r="V111" s="409"/>
      <c r="W111" s="371"/>
      <c r="X111" s="371"/>
      <c r="Y111" s="347"/>
      <c r="Z111" s="348"/>
      <c r="AA111" s="335"/>
    </row>
    <row r="112" spans="2:27" x14ac:dyDescent="0.25">
      <c r="B112" s="232"/>
      <c r="C112" s="234"/>
      <c r="D112" s="256">
        <f>D110-D111</f>
        <v>0</v>
      </c>
      <c r="E112" s="349"/>
      <c r="F112" s="329"/>
      <c r="G112" s="410"/>
      <c r="H112" s="411"/>
      <c r="I112" s="410"/>
      <c r="J112" s="370"/>
      <c r="K112" s="349"/>
      <c r="L112" s="350"/>
      <c r="M112" s="337"/>
      <c r="N112" s="350"/>
      <c r="O112" s="349"/>
      <c r="P112" s="350"/>
      <c r="Q112" s="349"/>
      <c r="R112" s="350"/>
      <c r="S112" s="410"/>
      <c r="T112" s="411"/>
      <c r="U112" s="410"/>
      <c r="V112" s="411"/>
      <c r="W112" s="370"/>
      <c r="X112" s="370"/>
      <c r="Y112" s="349"/>
      <c r="Z112" s="350"/>
      <c r="AA112" s="335">
        <f>AA110-AA111</f>
        <v>0</v>
      </c>
    </row>
    <row r="113" spans="2:27" ht="15.75" x14ac:dyDescent="0.25">
      <c r="B113" s="229" t="s">
        <v>8</v>
      </c>
      <c r="C113" s="234"/>
      <c r="D113" s="256">
        <f>SUM(D108,D112)</f>
        <v>0</v>
      </c>
      <c r="E113" s="349"/>
      <c r="F113" s="329"/>
      <c r="G113" s="410"/>
      <c r="H113" s="411"/>
      <c r="I113" s="410"/>
      <c r="J113" s="370"/>
      <c r="K113" s="349"/>
      <c r="L113" s="350"/>
      <c r="M113" s="337"/>
      <c r="N113" s="350"/>
      <c r="O113" s="349"/>
      <c r="P113" s="350"/>
      <c r="Q113" s="349"/>
      <c r="R113" s="350"/>
      <c r="S113" s="410"/>
      <c r="T113" s="411"/>
      <c r="U113" s="410"/>
      <c r="V113" s="411"/>
      <c r="W113" s="370"/>
      <c r="X113" s="370"/>
      <c r="Y113" s="349"/>
      <c r="Z113" s="350"/>
      <c r="AA113" s="335">
        <f>AA108+AA112</f>
        <v>0</v>
      </c>
    </row>
    <row r="114" spans="2:27" ht="16.5" thickBot="1" x14ac:dyDescent="0.3">
      <c r="B114" s="253" t="s">
        <v>9</v>
      </c>
      <c r="C114" s="259"/>
      <c r="D114" s="260">
        <f>D100+D113</f>
        <v>34153</v>
      </c>
      <c r="E114" s="345"/>
      <c r="F114" s="327"/>
      <c r="G114" s="406"/>
      <c r="H114" s="407"/>
      <c r="I114" s="406"/>
      <c r="J114" s="369"/>
      <c r="K114" s="345"/>
      <c r="L114" s="346"/>
      <c r="M114" s="361"/>
      <c r="N114" s="346"/>
      <c r="O114" s="345"/>
      <c r="P114" s="346"/>
      <c r="Q114" s="345"/>
      <c r="R114" s="346"/>
      <c r="S114" s="406"/>
      <c r="T114" s="407"/>
      <c r="U114" s="406"/>
      <c r="V114" s="407"/>
      <c r="W114" s="369"/>
      <c r="X114" s="369"/>
      <c r="Y114" s="345"/>
      <c r="Z114" s="346"/>
      <c r="AA114" s="338">
        <f>AA100+AA113</f>
        <v>34153</v>
      </c>
    </row>
    <row r="115" spans="2:27" x14ac:dyDescent="0.25">
      <c r="B115" s="232"/>
      <c r="C115" s="259"/>
      <c r="D115" s="239"/>
      <c r="E115" s="302"/>
      <c r="F115" s="284"/>
      <c r="G115" s="382"/>
      <c r="H115" s="383"/>
      <c r="I115" s="382"/>
      <c r="J115" s="320"/>
      <c r="K115" s="302"/>
      <c r="L115" s="303"/>
      <c r="M115" s="294"/>
      <c r="N115" s="303"/>
      <c r="O115" s="302"/>
      <c r="P115" s="303"/>
      <c r="Q115" s="302"/>
      <c r="R115" s="303"/>
      <c r="S115" s="382"/>
      <c r="T115" s="383"/>
      <c r="U115" s="382"/>
      <c r="V115" s="383"/>
      <c r="W115" s="320"/>
      <c r="X115" s="320"/>
      <c r="Y115" s="302"/>
      <c r="Z115" s="303"/>
      <c r="AA115" s="297"/>
    </row>
    <row r="116" spans="2:27" x14ac:dyDescent="0.25">
      <c r="B116" s="232" t="s">
        <v>738</v>
      </c>
      <c r="C116" s="234" t="s">
        <v>725</v>
      </c>
      <c r="D116" s="235"/>
      <c r="E116" s="302"/>
      <c r="F116" s="284"/>
      <c r="G116" s="382"/>
      <c r="H116" s="383"/>
      <c r="I116" s="382"/>
      <c r="J116" s="320"/>
      <c r="K116" s="302"/>
      <c r="L116" s="303"/>
      <c r="M116" s="294"/>
      <c r="N116" s="303"/>
      <c r="O116" s="302"/>
      <c r="P116" s="303"/>
      <c r="Q116" s="302"/>
      <c r="R116" s="303"/>
      <c r="S116" s="382"/>
      <c r="T116" s="383"/>
      <c r="U116" s="382"/>
      <c r="V116" s="383"/>
      <c r="W116" s="320"/>
      <c r="X116" s="320"/>
      <c r="Y116" s="302"/>
      <c r="Z116" s="303"/>
      <c r="AA116" s="294"/>
    </row>
    <row r="117" spans="2:27" x14ac:dyDescent="0.25">
      <c r="B117" s="261" t="s">
        <v>739</v>
      </c>
      <c r="C117" s="259"/>
      <c r="D117" s="235"/>
      <c r="E117" s="351"/>
      <c r="F117" s="330"/>
      <c r="G117" s="412"/>
      <c r="H117" s="413"/>
      <c r="I117" s="412"/>
      <c r="J117" s="372"/>
      <c r="K117" s="351"/>
      <c r="L117" s="352"/>
      <c r="M117" s="332"/>
      <c r="N117" s="352"/>
      <c r="O117" s="351"/>
      <c r="P117" s="352"/>
      <c r="Q117" s="351"/>
      <c r="R117" s="352"/>
      <c r="S117" s="412"/>
      <c r="T117" s="413"/>
      <c r="U117" s="412"/>
      <c r="V117" s="413"/>
      <c r="W117" s="320"/>
      <c r="X117" s="320"/>
      <c r="Y117" s="351"/>
      <c r="Z117" s="352"/>
      <c r="AA117" s="334">
        <f>AA119-AA118</f>
        <v>34358.800000000003</v>
      </c>
    </row>
    <row r="118" spans="2:27" x14ac:dyDescent="0.25">
      <c r="B118" s="262" t="s">
        <v>682</v>
      </c>
      <c r="C118" s="259"/>
      <c r="D118" s="235"/>
      <c r="E118" s="304"/>
      <c r="F118" s="325"/>
      <c r="G118" s="384"/>
      <c r="H118" s="379"/>
      <c r="I118" s="384"/>
      <c r="J118" s="321"/>
      <c r="K118" s="304"/>
      <c r="L118" s="305"/>
      <c r="M118" s="295">
        <f>Consol!AN33</f>
        <v>-205.8</v>
      </c>
      <c r="N118" s="305"/>
      <c r="O118" s="304"/>
      <c r="P118" s="305"/>
      <c r="Q118" s="304"/>
      <c r="R118" s="305"/>
      <c r="S118" s="304"/>
      <c r="T118" s="305"/>
      <c r="U118" s="384"/>
      <c r="V118" s="379"/>
      <c r="W118" s="295"/>
      <c r="X118" s="305"/>
      <c r="Y118" s="304"/>
      <c r="Z118" s="305"/>
      <c r="AA118" s="297">
        <f>SUM(E118:P118)</f>
        <v>-205.8</v>
      </c>
    </row>
    <row r="119" spans="2:27" ht="15.75" thickBot="1" x14ac:dyDescent="0.3">
      <c r="B119" s="232"/>
      <c r="C119" s="259"/>
      <c r="D119" s="235"/>
      <c r="E119" s="302"/>
      <c r="F119" s="284"/>
      <c r="G119" s="382"/>
      <c r="H119" s="383"/>
      <c r="I119" s="382"/>
      <c r="J119" s="320"/>
      <c r="K119" s="302"/>
      <c r="L119" s="303"/>
      <c r="M119" s="294"/>
      <c r="N119" s="303"/>
      <c r="O119" s="302"/>
      <c r="P119" s="303"/>
      <c r="Q119" s="302"/>
      <c r="R119" s="303"/>
      <c r="S119" s="382"/>
      <c r="T119" s="383"/>
      <c r="U119" s="382"/>
      <c r="V119" s="383"/>
      <c r="W119" s="320"/>
      <c r="X119" s="320"/>
      <c r="Y119" s="302"/>
      <c r="Z119" s="303"/>
      <c r="AA119" s="313">
        <f>AA114</f>
        <v>34153</v>
      </c>
    </row>
    <row r="120" spans="2:27" x14ac:dyDescent="0.25">
      <c r="B120" s="232" t="s">
        <v>740</v>
      </c>
      <c r="C120" s="259"/>
      <c r="D120" s="235"/>
      <c r="E120" s="302"/>
      <c r="F120" s="284"/>
      <c r="G120" s="382"/>
      <c r="H120" s="383"/>
      <c r="I120" s="382"/>
      <c r="J120" s="320"/>
      <c r="K120" s="302"/>
      <c r="L120" s="303"/>
      <c r="M120" s="294"/>
      <c r="N120" s="303"/>
      <c r="O120" s="302"/>
      <c r="P120" s="303"/>
      <c r="Q120" s="302"/>
      <c r="R120" s="303"/>
      <c r="S120" s="382"/>
      <c r="T120" s="383"/>
      <c r="U120" s="382"/>
      <c r="V120" s="383"/>
      <c r="W120" s="320"/>
      <c r="X120" s="320"/>
      <c r="Y120" s="302"/>
      <c r="Z120" s="303"/>
      <c r="AA120" s="297"/>
    </row>
    <row r="121" spans="2:27" x14ac:dyDescent="0.25">
      <c r="B121" s="262" t="s">
        <v>739</v>
      </c>
      <c r="C121" s="259"/>
      <c r="D121" s="235"/>
      <c r="E121" s="302"/>
      <c r="F121" s="284"/>
      <c r="G121" s="382"/>
      <c r="H121" s="383"/>
      <c r="I121" s="382"/>
      <c r="J121" s="320"/>
      <c r="K121" s="302"/>
      <c r="L121" s="303"/>
      <c r="M121" s="294"/>
      <c r="N121" s="303"/>
      <c r="O121" s="302"/>
      <c r="P121" s="303"/>
      <c r="Q121" s="302"/>
      <c r="R121" s="303"/>
      <c r="S121" s="382"/>
      <c r="T121" s="383"/>
      <c r="U121" s="382"/>
      <c r="V121" s="383"/>
      <c r="W121" s="320"/>
      <c r="X121" s="320"/>
      <c r="Y121" s="302"/>
      <c r="Z121" s="303"/>
      <c r="AA121" s="334">
        <f>AA123-AA122</f>
        <v>34153</v>
      </c>
    </row>
    <row r="122" spans="2:27" x14ac:dyDescent="0.25">
      <c r="B122" s="262" t="s">
        <v>682</v>
      </c>
      <c r="C122" s="259"/>
      <c r="D122" s="235"/>
      <c r="E122" s="304"/>
      <c r="F122" s="325"/>
      <c r="G122" s="384"/>
      <c r="H122" s="379"/>
      <c r="I122" s="384"/>
      <c r="J122" s="321"/>
      <c r="K122" s="304"/>
      <c r="L122" s="305"/>
      <c r="M122" s="295"/>
      <c r="N122" s="305"/>
      <c r="O122" s="304"/>
      <c r="P122" s="305"/>
      <c r="Q122" s="304"/>
      <c r="R122" s="305"/>
      <c r="S122" s="384"/>
      <c r="T122" s="379"/>
      <c r="U122" s="384"/>
      <c r="V122" s="379"/>
      <c r="W122" s="321"/>
      <c r="X122" s="321"/>
      <c r="Y122" s="304"/>
      <c r="Z122" s="305"/>
      <c r="AA122" s="339">
        <f>E122-F122</f>
        <v>0</v>
      </c>
    </row>
    <row r="123" spans="2:27" ht="15.75" thickBot="1" x14ac:dyDescent="0.3">
      <c r="B123" s="232"/>
      <c r="C123" s="259"/>
      <c r="D123" s="235"/>
      <c r="E123" s="302"/>
      <c r="F123" s="284"/>
      <c r="G123" s="382"/>
      <c r="H123" s="383"/>
      <c r="I123" s="382"/>
      <c r="J123" s="320"/>
      <c r="K123" s="302"/>
      <c r="L123" s="303"/>
      <c r="M123" s="294"/>
      <c r="N123" s="303"/>
      <c r="O123" s="302"/>
      <c r="P123" s="303"/>
      <c r="Q123" s="302"/>
      <c r="R123" s="303"/>
      <c r="S123" s="382"/>
      <c r="T123" s="383"/>
      <c r="U123" s="382"/>
      <c r="V123" s="383"/>
      <c r="W123" s="320"/>
      <c r="X123" s="320"/>
      <c r="Y123" s="302"/>
      <c r="Z123" s="303"/>
      <c r="AA123" s="313">
        <f>AA114</f>
        <v>34153</v>
      </c>
    </row>
    <row r="124" spans="2:27" x14ac:dyDescent="0.25">
      <c r="B124" s="232"/>
      <c r="C124" s="259"/>
      <c r="D124" s="235"/>
      <c r="E124" s="302"/>
      <c r="F124" s="284"/>
      <c r="G124" s="382"/>
      <c r="H124" s="383"/>
      <c r="I124" s="382"/>
      <c r="J124" s="320"/>
      <c r="K124" s="302"/>
      <c r="L124" s="303"/>
      <c r="M124" s="294"/>
      <c r="N124" s="303"/>
      <c r="O124" s="302"/>
      <c r="P124" s="303"/>
      <c r="Q124" s="302"/>
      <c r="R124" s="303"/>
      <c r="S124" s="382"/>
      <c r="T124" s="383"/>
      <c r="U124" s="382"/>
      <c r="V124" s="383"/>
      <c r="W124" s="320"/>
      <c r="X124" s="320"/>
      <c r="Y124" s="302"/>
      <c r="Z124" s="303"/>
      <c r="AA124" s="340"/>
    </row>
    <row r="125" spans="2:27" ht="15.75" x14ac:dyDescent="0.25">
      <c r="B125" s="232" t="s">
        <v>741</v>
      </c>
      <c r="C125" s="259" t="s">
        <v>742</v>
      </c>
      <c r="D125" s="235"/>
      <c r="E125" s="302"/>
      <c r="F125" s="284"/>
      <c r="G125" s="382"/>
      <c r="H125" s="383"/>
      <c r="I125" s="382"/>
      <c r="J125" s="320"/>
      <c r="K125" s="302"/>
      <c r="L125" s="303"/>
      <c r="M125" s="294"/>
      <c r="N125" s="303"/>
      <c r="O125" s="302"/>
      <c r="P125" s="303"/>
      <c r="Q125" s="302"/>
      <c r="R125" s="303"/>
      <c r="S125" s="382"/>
      <c r="T125" s="383"/>
      <c r="U125" s="382"/>
      <c r="V125" s="383"/>
      <c r="W125" s="320"/>
      <c r="X125" s="320"/>
      <c r="Y125" s="302"/>
      <c r="Z125" s="303"/>
      <c r="AA125" s="293" t="s">
        <v>743</v>
      </c>
    </row>
    <row r="126" spans="2:27" x14ac:dyDescent="0.25">
      <c r="B126" s="262" t="s">
        <v>744</v>
      </c>
      <c r="C126" s="259"/>
      <c r="D126" s="235"/>
      <c r="E126" s="302"/>
      <c r="F126" s="284"/>
      <c r="G126" s="382"/>
      <c r="H126" s="383"/>
      <c r="I126" s="382"/>
      <c r="J126" s="320"/>
      <c r="K126" s="302"/>
      <c r="L126" s="303"/>
      <c r="M126" s="294"/>
      <c r="N126" s="303"/>
      <c r="O126" s="302"/>
      <c r="P126" s="303"/>
      <c r="Q126" s="302"/>
      <c r="R126" s="303"/>
      <c r="S126" s="382"/>
      <c r="T126" s="383"/>
      <c r="U126" s="382"/>
      <c r="V126" s="383"/>
      <c r="W126" s="320"/>
      <c r="X126" s="320"/>
      <c r="Y126" s="302"/>
      <c r="Z126" s="303"/>
      <c r="AA126" s="341"/>
    </row>
    <row r="127" spans="2:27" x14ac:dyDescent="0.25">
      <c r="B127" s="262" t="s">
        <v>745</v>
      </c>
      <c r="C127" s="234" t="s">
        <v>746</v>
      </c>
      <c r="D127" s="235"/>
      <c r="E127" s="308"/>
      <c r="F127" s="354"/>
      <c r="G127" s="390"/>
      <c r="H127" s="391"/>
      <c r="I127" s="390"/>
      <c r="J127" s="378"/>
      <c r="K127" s="308"/>
      <c r="L127" s="309"/>
      <c r="M127" s="333"/>
      <c r="N127" s="309"/>
      <c r="O127" s="308"/>
      <c r="P127" s="309"/>
      <c r="Q127" s="308"/>
      <c r="R127" s="309"/>
      <c r="S127" s="390"/>
      <c r="T127" s="391"/>
      <c r="U127" s="390"/>
      <c r="V127" s="391"/>
      <c r="W127" s="378"/>
      <c r="X127" s="378"/>
      <c r="Y127" s="308"/>
      <c r="Z127" s="309"/>
      <c r="AA127" s="342"/>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B2:P52"/>
  <sheetViews>
    <sheetView topLeftCell="A22"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0" t="s">
        <v>1891</v>
      </c>
    </row>
    <row r="24" spans="2:16" x14ac:dyDescent="0.25">
      <c r="B24" t="s">
        <v>1357</v>
      </c>
      <c r="P24" s="420" t="s">
        <v>1360</v>
      </c>
    </row>
    <row r="25" spans="2:16" x14ac:dyDescent="0.25">
      <c r="B25" t="s">
        <v>1358</v>
      </c>
      <c r="P25" s="420" t="s">
        <v>1361</v>
      </c>
    </row>
    <row r="26" spans="2:16" x14ac:dyDescent="0.25">
      <c r="P26" s="420"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C56"/>
  <sheetViews>
    <sheetView zoomScale="80" zoomScaleNormal="80" workbookViewId="0">
      <selection activeCell="A36" sqref="A36"/>
    </sheetView>
  </sheetViews>
  <sheetFormatPr defaultRowHeight="15" x14ac:dyDescent="0.25"/>
  <sheetData>
    <row r="1" spans="1:1" x14ac:dyDescent="0.25">
      <c r="A1" s="420" t="s">
        <v>1678</v>
      </c>
    </row>
    <row r="2" spans="1:1" x14ac:dyDescent="0.25">
      <c r="A2" s="420" t="s">
        <v>1679</v>
      </c>
    </row>
    <row r="3" spans="1:1" x14ac:dyDescent="0.25">
      <c r="A3" s="420" t="s">
        <v>1680</v>
      </c>
    </row>
    <row r="4" spans="1:1" x14ac:dyDescent="0.25">
      <c r="A4" s="420" t="s">
        <v>1781</v>
      </c>
    </row>
    <row r="5" spans="1:1" x14ac:dyDescent="0.25">
      <c r="A5" s="420"/>
    </row>
    <row r="6" spans="1:1" x14ac:dyDescent="0.25">
      <c r="A6" s="420" t="s">
        <v>1682</v>
      </c>
    </row>
    <row r="7" spans="1:1" x14ac:dyDescent="0.25">
      <c r="A7" s="420" t="s">
        <v>1681</v>
      </c>
    </row>
    <row r="8" spans="1:1" x14ac:dyDescent="0.25">
      <c r="A8" s="420" t="s">
        <v>1683</v>
      </c>
    </row>
    <row r="9" spans="1:1" x14ac:dyDescent="0.25">
      <c r="A9" s="420"/>
    </row>
    <row r="10" spans="1:1" x14ac:dyDescent="0.25">
      <c r="A10" s="420" t="s">
        <v>1684</v>
      </c>
    </row>
    <row r="11" spans="1:1" x14ac:dyDescent="0.25">
      <c r="A11" s="420" t="s">
        <v>1685</v>
      </c>
    </row>
    <row r="12" spans="1:1" x14ac:dyDescent="0.25">
      <c r="A12" s="420" t="s">
        <v>1686</v>
      </c>
    </row>
    <row r="14" spans="1:1" x14ac:dyDescent="0.25">
      <c r="A14" s="420" t="s">
        <v>1687</v>
      </c>
    </row>
    <row r="15" spans="1:1" x14ac:dyDescent="0.25">
      <c r="A15" s="420" t="s">
        <v>1688</v>
      </c>
    </row>
    <row r="16" spans="1:1" x14ac:dyDescent="0.25">
      <c r="A16" s="420" t="s">
        <v>1689</v>
      </c>
    </row>
    <row r="18" spans="1:3" x14ac:dyDescent="0.25">
      <c r="A18" s="420" t="s">
        <v>1782</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1783</v>
      </c>
    </row>
    <row r="48" spans="1:3" x14ac:dyDescent="0.25">
      <c r="A48" t="s">
        <v>1784</v>
      </c>
    </row>
    <row r="50" spans="1:1" x14ac:dyDescent="0.25">
      <c r="A50" t="s">
        <v>1787</v>
      </c>
    </row>
    <row r="51" spans="1:1" x14ac:dyDescent="0.25">
      <c r="A51" t="s">
        <v>1786</v>
      </c>
    </row>
    <row r="53" spans="1:1" x14ac:dyDescent="0.25">
      <c r="A53" t="s">
        <v>1785</v>
      </c>
    </row>
    <row r="54" spans="1:1" x14ac:dyDescent="0.25">
      <c r="A54" t="s">
        <v>1788</v>
      </c>
    </row>
    <row r="56" spans="1:1" x14ac:dyDescent="0.25">
      <c r="A56" t="s">
        <v>1789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64" zoomScale="60" zoomScaleNormal="60" workbookViewId="0"/>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23" t="s">
        <v>226</v>
      </c>
      <c r="C1" s="824"/>
      <c r="D1" s="824"/>
      <c r="E1" s="824"/>
      <c r="F1" s="825"/>
    </row>
    <row r="2" spans="2:10" x14ac:dyDescent="0.25">
      <c r="B2" s="826"/>
      <c r="C2" s="827"/>
      <c r="D2" s="827"/>
      <c r="E2" s="827"/>
      <c r="F2" s="828"/>
    </row>
    <row r="3" spans="2:10" x14ac:dyDescent="0.25">
      <c r="B3" s="826"/>
      <c r="C3" s="827"/>
      <c r="D3" s="827"/>
      <c r="E3" s="827"/>
      <c r="F3" s="828"/>
    </row>
    <row r="4" spans="2:10" x14ac:dyDescent="0.25">
      <c r="B4" s="826"/>
      <c r="C4" s="827"/>
      <c r="D4" s="827"/>
      <c r="E4" s="827"/>
      <c r="F4" s="828"/>
    </row>
    <row r="5" spans="2:10" x14ac:dyDescent="0.25">
      <c r="B5" s="826"/>
      <c r="C5" s="827"/>
      <c r="D5" s="827"/>
      <c r="E5" s="827"/>
      <c r="F5" s="828"/>
    </row>
    <row r="6" spans="2:10" x14ac:dyDescent="0.25">
      <c r="B6" s="826"/>
      <c r="C6" s="827"/>
      <c r="D6" s="827"/>
      <c r="E6" s="827"/>
      <c r="F6" s="828"/>
    </row>
    <row r="7" spans="2:10" x14ac:dyDescent="0.25">
      <c r="B7" s="826"/>
      <c r="C7" s="827"/>
      <c r="D7" s="827"/>
      <c r="E7" s="827"/>
      <c r="F7" s="828"/>
    </row>
    <row r="8" spans="2:10" x14ac:dyDescent="0.25">
      <c r="B8" s="826"/>
      <c r="C8" s="827"/>
      <c r="D8" s="827"/>
      <c r="E8" s="827"/>
      <c r="F8" s="828"/>
    </row>
    <row r="9" spans="2:10" x14ac:dyDescent="0.25">
      <c r="B9" s="826"/>
      <c r="C9" s="827"/>
      <c r="D9" s="827"/>
      <c r="E9" s="827"/>
      <c r="F9" s="828"/>
    </row>
    <row r="10" spans="2:10" x14ac:dyDescent="0.25">
      <c r="B10" s="826"/>
      <c r="C10" s="827"/>
      <c r="D10" s="827"/>
      <c r="E10" s="827"/>
      <c r="F10" s="828"/>
    </row>
    <row r="11" spans="2:10" ht="15.75" thickBot="1" x14ac:dyDescent="0.3">
      <c r="B11" s="829"/>
      <c r="C11" s="830"/>
      <c r="D11" s="830"/>
      <c r="E11" s="830"/>
      <c r="F11" s="831"/>
    </row>
    <row r="12" spans="2:10" ht="15.75" thickBot="1" x14ac:dyDescent="0.3"/>
    <row r="13" spans="2:10" x14ac:dyDescent="0.25">
      <c r="B13" s="1"/>
      <c r="F13" s="75" t="s">
        <v>192</v>
      </c>
      <c r="G13" s="64"/>
    </row>
    <row r="14" spans="2:10" x14ac:dyDescent="0.25">
      <c r="B14" s="420" t="s">
        <v>1420</v>
      </c>
      <c r="F14" s="65"/>
      <c r="G14" s="68"/>
    </row>
    <row r="15" spans="2:10" x14ac:dyDescent="0.25">
      <c r="B15" s="832" t="s">
        <v>1423</v>
      </c>
      <c r="C15" s="832"/>
      <c r="D15" s="832"/>
      <c r="F15" s="65" t="s">
        <v>185</v>
      </c>
      <c r="G15" s="126" t="s">
        <v>187</v>
      </c>
      <c r="I15" t="s">
        <v>285</v>
      </c>
      <c r="J15" s="42"/>
    </row>
    <row r="16" spans="2:10" x14ac:dyDescent="0.25">
      <c r="B16" s="832"/>
      <c r="C16" s="832"/>
      <c r="D16" s="832"/>
      <c r="F16" s="65" t="s">
        <v>184</v>
      </c>
      <c r="G16" s="127" t="e">
        <f>IF(G15="years",1/G17,1/(G17/12))</f>
        <v>#DIV/0!</v>
      </c>
      <c r="I16" t="s">
        <v>286</v>
      </c>
      <c r="J16" s="42"/>
    </row>
    <row r="17" spans="2:16" x14ac:dyDescent="0.25">
      <c r="F17" s="65" t="s">
        <v>203</v>
      </c>
      <c r="G17" s="100"/>
      <c r="I17" t="s">
        <v>186</v>
      </c>
      <c r="J17" s="53">
        <f>YEARFRAC(J15,J16)*12</f>
        <v>0</v>
      </c>
    </row>
    <row r="18" spans="2:16" x14ac:dyDescent="0.25">
      <c r="C18" s="40"/>
      <c r="F18" s="65" t="s">
        <v>189</v>
      </c>
      <c r="G18" s="100"/>
      <c r="I18" s="41"/>
    </row>
    <row r="19" spans="2:16" x14ac:dyDescent="0.25">
      <c r="B19" s="833" t="s">
        <v>1929</v>
      </c>
      <c r="C19" s="833"/>
      <c r="D19" s="833"/>
      <c r="F19" s="65" t="s">
        <v>190</v>
      </c>
      <c r="G19" s="181" t="e">
        <f>IF(G15="months",G16/12,G16)</f>
        <v>#DIV/0!</v>
      </c>
      <c r="I19" s="41"/>
    </row>
    <row r="20" spans="2:16" x14ac:dyDescent="0.25">
      <c r="B20" s="833"/>
      <c r="C20" s="833"/>
      <c r="D20" s="833"/>
      <c r="F20" s="65" t="s">
        <v>193</v>
      </c>
      <c r="G20" s="78"/>
      <c r="I20" s="12"/>
    </row>
    <row r="21" spans="2:16" x14ac:dyDescent="0.25">
      <c r="B21" s="833"/>
      <c r="C21" s="833"/>
      <c r="D21" s="833"/>
      <c r="F21" s="65" t="s">
        <v>150</v>
      </c>
      <c r="G21" s="78">
        <v>0</v>
      </c>
    </row>
    <row r="22" spans="2:16" x14ac:dyDescent="0.25">
      <c r="C22" s="12"/>
      <c r="F22" s="65"/>
      <c r="G22" s="68"/>
    </row>
    <row r="23" spans="2:16" x14ac:dyDescent="0.25">
      <c r="C23" s="12"/>
      <c r="F23" s="65" t="s">
        <v>194</v>
      </c>
      <c r="G23" s="71" t="e">
        <f>G20-(G20-G21)*(G19*G18)</f>
        <v>#DIV/0!</v>
      </c>
    </row>
    <row r="24" spans="2:16" x14ac:dyDescent="0.25">
      <c r="F24" s="65" t="s">
        <v>188</v>
      </c>
      <c r="G24" s="71" t="e">
        <f>G20-G23</f>
        <v>#DIV/0!</v>
      </c>
    </row>
    <row r="25" spans="2:16" ht="15.75" thickBot="1" x14ac:dyDescent="0.3">
      <c r="F25" s="72" t="s">
        <v>191</v>
      </c>
      <c r="G25" s="110" t="e">
        <f>(G20-G21)/G17</f>
        <v>#DIV/0!</v>
      </c>
      <c r="H25" s="12"/>
    </row>
    <row r="26" spans="2:16" x14ac:dyDescent="0.25">
      <c r="G26" s="12"/>
    </row>
    <row r="27" spans="2:16" x14ac:dyDescent="0.25">
      <c r="N27" s="12"/>
    </row>
    <row r="28" spans="2:16" x14ac:dyDescent="0.25">
      <c r="B28" s="420" t="s">
        <v>1418</v>
      </c>
    </row>
    <row r="29" spans="2:16" x14ac:dyDescent="0.25">
      <c r="B29" s="420" t="s">
        <v>1338</v>
      </c>
      <c r="F29" s="420"/>
    </row>
    <row r="31" spans="2:16" ht="15.75" thickBot="1" x14ac:dyDescent="0.3">
      <c r="F31" s="420"/>
    </row>
    <row r="32" spans="2:16" ht="15.75" thickBot="1" x14ac:dyDescent="0.3">
      <c r="J32" s="819" t="s">
        <v>222</v>
      </c>
      <c r="K32" s="820"/>
      <c r="L32" s="820"/>
      <c r="M32" s="820"/>
      <c r="N32" s="63"/>
      <c r="O32" s="63"/>
      <c r="P32" s="64"/>
    </row>
    <row r="33" spans="2:16" x14ac:dyDescent="0.25">
      <c r="B33" s="113" t="s">
        <v>195</v>
      </c>
      <c r="C33" s="114"/>
      <c r="D33" s="115"/>
      <c r="F33" s="113" t="s">
        <v>219</v>
      </c>
      <c r="G33" s="114"/>
      <c r="H33" s="115"/>
      <c r="J33" s="821"/>
      <c r="K33" s="822"/>
      <c r="L33" s="822"/>
      <c r="M33" s="822"/>
      <c r="N33" s="66"/>
      <c r="O33" s="66"/>
      <c r="P33" s="68"/>
    </row>
    <row r="34" spans="2:16" x14ac:dyDescent="0.25">
      <c r="B34" s="496" t="s">
        <v>1421</v>
      </c>
      <c r="C34" s="66"/>
      <c r="D34" s="68"/>
      <c r="F34" s="826" t="s">
        <v>1928</v>
      </c>
      <c r="G34" s="827"/>
      <c r="H34" s="828"/>
      <c r="J34" s="821"/>
      <c r="K34" s="822"/>
      <c r="L34" s="822"/>
      <c r="M34" s="822"/>
      <c r="N34" s="85"/>
      <c r="O34" s="66"/>
      <c r="P34" s="68"/>
    </row>
    <row r="35" spans="2:16" x14ac:dyDescent="0.25">
      <c r="B35" s="65" t="s">
        <v>199</v>
      </c>
      <c r="C35" s="96"/>
      <c r="D35" s="68"/>
      <c r="F35" s="826"/>
      <c r="G35" s="827"/>
      <c r="H35" s="828"/>
      <c r="J35" s="65" t="s">
        <v>220</v>
      </c>
      <c r="K35" s="66"/>
      <c r="L35" s="66"/>
      <c r="M35" s="66"/>
      <c r="N35" s="70"/>
      <c r="O35" s="66"/>
      <c r="P35" s="68"/>
    </row>
    <row r="36" spans="2:16" x14ac:dyDescent="0.25">
      <c r="B36" s="65" t="s">
        <v>196</v>
      </c>
      <c r="C36" s="105" t="e">
        <f>-G24</f>
        <v>#DIV/0!</v>
      </c>
      <c r="D36" s="68"/>
      <c r="F36" s="826"/>
      <c r="G36" s="827"/>
      <c r="H36" s="828"/>
      <c r="J36" s="65" t="s">
        <v>1175</v>
      </c>
      <c r="K36" s="66"/>
      <c r="L36" s="66"/>
      <c r="M36" s="66"/>
      <c r="N36" s="70"/>
      <c r="O36" s="66"/>
      <c r="P36" s="68"/>
    </row>
    <row r="37" spans="2:16" x14ac:dyDescent="0.25">
      <c r="B37" s="65" t="s">
        <v>194</v>
      </c>
      <c r="C37" s="106" t="e">
        <f>SUM(C35:C36)</f>
        <v>#DIV/0!</v>
      </c>
      <c r="D37" s="68"/>
      <c r="F37" s="65" t="s">
        <v>217</v>
      </c>
      <c r="G37" s="66"/>
      <c r="H37" s="78"/>
      <c r="J37" s="65" t="s">
        <v>221</v>
      </c>
      <c r="K37" s="66"/>
      <c r="L37" s="66"/>
      <c r="M37" s="66"/>
      <c r="N37" s="85">
        <f>N35-N36</f>
        <v>0</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c r="D39" s="68"/>
      <c r="F39" s="65"/>
      <c r="G39" s="66"/>
      <c r="H39" s="79">
        <f>H37-H38</f>
        <v>0</v>
      </c>
      <c r="J39" s="65" t="s">
        <v>223</v>
      </c>
      <c r="K39" s="66"/>
      <c r="L39" s="66"/>
      <c r="M39" s="66"/>
      <c r="N39" s="66"/>
      <c r="O39" s="66"/>
      <c r="P39" s="68"/>
    </row>
    <row r="40" spans="2:16" ht="15.75" thickBot="1" x14ac:dyDescent="0.3">
      <c r="B40" s="72" t="s">
        <v>198</v>
      </c>
      <c r="C40" s="33" t="e">
        <f>C39-C37</f>
        <v>#DIV/0!</v>
      </c>
      <c r="D40" s="82"/>
      <c r="F40" s="65"/>
      <c r="G40" s="66"/>
      <c r="H40" s="68"/>
      <c r="J40" s="65"/>
      <c r="K40" s="66"/>
      <c r="L40" s="66"/>
      <c r="M40" s="66"/>
      <c r="N40" s="66"/>
      <c r="O40" s="66"/>
      <c r="P40" s="68"/>
    </row>
    <row r="41" spans="2:16" ht="15.75" thickBot="1" x14ac:dyDescent="0.3">
      <c r="B41" s="66"/>
      <c r="C41" s="17"/>
      <c r="D41" s="66"/>
      <c r="F41" s="65" t="s">
        <v>218</v>
      </c>
      <c r="G41" s="66"/>
      <c r="H41" s="78"/>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30"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t="e">
        <f>-C36</f>
        <v>#DIV/0!</v>
      </c>
      <c r="D45" s="68"/>
      <c r="F45" s="65"/>
      <c r="G45" s="66"/>
      <c r="H45" s="68"/>
      <c r="J45" s="65" t="s">
        <v>200</v>
      </c>
      <c r="K45" s="103"/>
      <c r="L45" s="66"/>
      <c r="M45" s="66"/>
      <c r="N45" s="66"/>
      <c r="O45" s="66"/>
      <c r="P45" s="68"/>
    </row>
    <row r="46" spans="2:16" x14ac:dyDescent="0.25">
      <c r="B46" s="65" t="str">
        <f>IF(C39&lt;C35,"Cr "&amp;B35,"DR "&amp;B35)</f>
        <v>DR Cost - Buildings</v>
      </c>
      <c r="C46" s="17">
        <f>IF(C35&lt;C39,C39-C35,0)</f>
        <v>0</v>
      </c>
      <c r="D46" s="79">
        <f>IF(C35&gt;C39,C35-C39,0)</f>
        <v>0</v>
      </c>
      <c r="F46" s="65"/>
      <c r="G46" s="101" t="s">
        <v>173</v>
      </c>
      <c r="H46" s="102" t="s">
        <v>165</v>
      </c>
      <c r="J46" s="65" t="s">
        <v>202</v>
      </c>
      <c r="K46" s="103"/>
      <c r="L46" s="66"/>
      <c r="M46" s="66"/>
      <c r="N46" s="66"/>
      <c r="O46" s="66"/>
      <c r="P46" s="68"/>
    </row>
    <row r="47" spans="2:16" x14ac:dyDescent="0.25">
      <c r="B47" s="65" t="s">
        <v>201</v>
      </c>
      <c r="C47" s="66"/>
      <c r="D47" s="71" t="e">
        <f>C40</f>
        <v>#DIV/0!</v>
      </c>
      <c r="E47" s="12"/>
      <c r="F47" s="65" t="s">
        <v>215</v>
      </c>
      <c r="G47" s="111">
        <f>IF(H41&gt;H39,H39,H41)</f>
        <v>0</v>
      </c>
      <c r="H47" s="83"/>
      <c r="J47" s="65" t="s">
        <v>201</v>
      </c>
      <c r="K47" s="66"/>
      <c r="L47" s="17" t="e">
        <f>C40-L48</f>
        <v>#DIV/0!</v>
      </c>
      <c r="M47" s="66"/>
      <c r="N47" s="66"/>
      <c r="O47" s="66"/>
      <c r="P47" s="68"/>
    </row>
    <row r="48" spans="2:16" x14ac:dyDescent="0.25">
      <c r="B48" s="65"/>
      <c r="C48" s="66"/>
      <c r="D48" s="68"/>
      <c r="F48" s="65" t="s">
        <v>291</v>
      </c>
      <c r="G48" s="111">
        <f>IF(H41&gt;H39,H41-H39,0)</f>
        <v>0</v>
      </c>
      <c r="H48" s="83"/>
      <c r="J48" s="65" t="s">
        <v>224</v>
      </c>
      <c r="K48" s="66"/>
      <c r="L48" s="85">
        <f>N37</f>
        <v>0</v>
      </c>
      <c r="M48" s="66"/>
      <c r="N48" s="66"/>
      <c r="O48" s="66"/>
      <c r="P48" s="68"/>
    </row>
    <row r="49" spans="2:16" x14ac:dyDescent="0.25">
      <c r="B49" s="65"/>
      <c r="C49" s="66"/>
      <c r="D49" s="68"/>
      <c r="F49" s="65" t="s">
        <v>281</v>
      </c>
      <c r="G49" s="103"/>
      <c r="H49" s="112"/>
      <c r="J49" s="65"/>
      <c r="K49" s="66"/>
      <c r="L49" s="66"/>
      <c r="M49" s="66"/>
      <c r="N49" s="66"/>
      <c r="O49" s="66"/>
      <c r="P49" s="68"/>
    </row>
    <row r="50" spans="2:16" x14ac:dyDescent="0.25">
      <c r="B50" s="65" t="s">
        <v>204</v>
      </c>
      <c r="C50" s="66"/>
      <c r="D50" s="54" t="e">
        <f>D47/(G17-G18)</f>
        <v>#DIV/0!</v>
      </c>
      <c r="E50" s="12"/>
      <c r="F50" s="65" t="s">
        <v>282</v>
      </c>
      <c r="G50" s="111"/>
      <c r="H50" s="78">
        <f>C35-C39</f>
        <v>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0"/>
    </row>
    <row r="55" spans="2:16" x14ac:dyDescent="0.25">
      <c r="B55" t="s">
        <v>1546</v>
      </c>
      <c r="D55" s="3"/>
      <c r="E55" s="420" t="s">
        <v>1547</v>
      </c>
    </row>
    <row r="56" spans="2:16" x14ac:dyDescent="0.25">
      <c r="B56" t="s">
        <v>938</v>
      </c>
      <c r="D56">
        <f>D54-D55</f>
        <v>0</v>
      </c>
    </row>
    <row r="57" spans="2:16" x14ac:dyDescent="0.25">
      <c r="B57" s="420"/>
    </row>
    <row r="58" spans="2:16" x14ac:dyDescent="0.25">
      <c r="B58" s="420" t="s">
        <v>1759</v>
      </c>
      <c r="I58" s="420" t="s">
        <v>1761</v>
      </c>
    </row>
    <row r="59" spans="2:16" x14ac:dyDescent="0.25">
      <c r="B59" s="420" t="s">
        <v>1760</v>
      </c>
    </row>
    <row r="60" spans="2:16" x14ac:dyDescent="0.25">
      <c r="B60" s="420" t="s">
        <v>1762</v>
      </c>
    </row>
    <row r="61" spans="2:16" x14ac:dyDescent="0.25">
      <c r="B61" s="420" t="s">
        <v>1859</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1974</v>
      </c>
      <c r="C65" s="95">
        <v>20</v>
      </c>
      <c r="D65" s="44">
        <v>44592</v>
      </c>
      <c r="E65" s="44"/>
      <c r="F65" s="45"/>
      <c r="G65" s="46">
        <v>7.0000000000000007E-2</v>
      </c>
      <c r="H65" s="47">
        <f t="shared" ref="H65:H71" si="0">YEARFRAC(D65,$E$63)*12</f>
        <v>8</v>
      </c>
      <c r="I65" s="98">
        <f>G65*(H65-F65)/12*C65</f>
        <v>0.93333333333333335</v>
      </c>
    </row>
    <row r="66" spans="2:11" x14ac:dyDescent="0.25">
      <c r="B66" s="48" t="s">
        <v>1975</v>
      </c>
      <c r="C66" s="96">
        <v>37</v>
      </c>
      <c r="D66" s="50">
        <v>44592</v>
      </c>
      <c r="E66" s="50"/>
      <c r="F66" s="51"/>
      <c r="G66" s="52">
        <v>7.0000000000000007E-2</v>
      </c>
      <c r="H66" s="53">
        <f t="shared" si="0"/>
        <v>8</v>
      </c>
      <c r="I66" s="54">
        <f>G66*(H66-F66)/12*C66</f>
        <v>1.7266666666666668</v>
      </c>
    </row>
    <row r="67" spans="2:11" x14ac:dyDescent="0.25">
      <c r="B67" s="48" t="s">
        <v>1976</v>
      </c>
      <c r="C67" s="96">
        <v>140</v>
      </c>
      <c r="D67" s="50">
        <v>44592</v>
      </c>
      <c r="E67" s="49"/>
      <c r="F67" s="51"/>
      <c r="G67" s="55">
        <v>7.0000000000000007E-2</v>
      </c>
      <c r="H67" s="53">
        <f t="shared" si="0"/>
        <v>8</v>
      </c>
      <c r="I67" s="54">
        <f t="shared" ref="I67:I71" si="1">G67*(H67-F67)/12*C67</f>
        <v>6.5333333333333332</v>
      </c>
    </row>
    <row r="68" spans="2:11" x14ac:dyDescent="0.25">
      <c r="B68" s="48" t="s">
        <v>1976</v>
      </c>
      <c r="C68" s="96">
        <v>140</v>
      </c>
      <c r="D68" s="50">
        <v>44620</v>
      </c>
      <c r="E68" s="49"/>
      <c r="F68" s="51"/>
      <c r="G68" s="55">
        <v>7.0000000000000007E-2</v>
      </c>
      <c r="H68" s="53">
        <f t="shared" si="0"/>
        <v>7</v>
      </c>
      <c r="I68" s="54">
        <f t="shared" si="1"/>
        <v>5.7166666666666677</v>
      </c>
    </row>
    <row r="69" spans="2:11" x14ac:dyDescent="0.25">
      <c r="B69" s="48" t="s">
        <v>1977</v>
      </c>
      <c r="C69" s="96">
        <v>140</v>
      </c>
      <c r="D69" s="50">
        <v>44651</v>
      </c>
      <c r="E69" s="49"/>
      <c r="F69" s="51"/>
      <c r="G69" s="55">
        <v>7.0000000000000007E-2</v>
      </c>
      <c r="H69" s="53">
        <f t="shared" si="0"/>
        <v>6</v>
      </c>
      <c r="I69" s="54">
        <f t="shared" si="1"/>
        <v>4.9000000000000004</v>
      </c>
    </row>
    <row r="70" spans="2:11" x14ac:dyDescent="0.25">
      <c r="B70" s="48" t="s">
        <v>1978</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0"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1763</v>
      </c>
      <c r="J82" s="738">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0" t="s">
        <v>1425</v>
      </c>
    </row>
    <row r="98" spans="2:2" x14ac:dyDescent="0.25">
      <c r="B98" s="420" t="s">
        <v>1426</v>
      </c>
    </row>
    <row r="99" spans="2:2" x14ac:dyDescent="0.25">
      <c r="B99" s="420" t="s">
        <v>1427</v>
      </c>
    </row>
    <row r="100" spans="2:2" x14ac:dyDescent="0.25">
      <c r="B100" s="420"/>
    </row>
    <row r="101" spans="2:2" x14ac:dyDescent="0.25">
      <c r="B101" s="420" t="s">
        <v>1428</v>
      </c>
    </row>
    <row r="102" spans="2:2" x14ac:dyDescent="0.25">
      <c r="B102" s="420"/>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0" t="s">
        <v>941</v>
      </c>
    </row>
    <row r="11" spans="2:6" x14ac:dyDescent="0.25">
      <c r="B11" t="s">
        <v>546</v>
      </c>
      <c r="C11" s="11">
        <f>C5</f>
        <v>0</v>
      </c>
      <c r="D11" s="32"/>
    </row>
    <row r="12" spans="2:6" x14ac:dyDescent="0.25">
      <c r="B12" t="s">
        <v>547</v>
      </c>
      <c r="D12" s="32">
        <f>C8</f>
        <v>0</v>
      </c>
      <c r="F12" s="420"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0" t="s">
        <v>1538</v>
      </c>
    </row>
    <row r="18" spans="2:7" x14ac:dyDescent="0.25">
      <c r="B18" s="65"/>
      <c r="C18" s="66"/>
      <c r="D18" s="68"/>
      <c r="F18" s="420"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0" t="s">
        <v>940</v>
      </c>
    </row>
    <row r="32" spans="2:7" x14ac:dyDescent="0.25">
      <c r="B32" t="s">
        <v>538</v>
      </c>
      <c r="C32" s="12">
        <f>C19+C22</f>
        <v>0</v>
      </c>
      <c r="F32" s="420"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topLeftCell="A28" zoomScale="76" zoomScaleNormal="80" workbookViewId="0">
      <selection activeCell="D32" sqref="D32"/>
    </sheetView>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34" t="s">
        <v>418</v>
      </c>
      <c r="C1" s="835"/>
      <c r="D1" t="s">
        <v>305</v>
      </c>
    </row>
    <row r="2" spans="2:10" x14ac:dyDescent="0.25">
      <c r="B2" s="836"/>
      <c r="C2" s="837"/>
    </row>
    <row r="3" spans="2:10" x14ac:dyDescent="0.25">
      <c r="B3" s="836"/>
      <c r="C3" s="837"/>
    </row>
    <row r="4" spans="2:10" x14ac:dyDescent="0.25">
      <c r="B4" s="836"/>
      <c r="C4" s="837"/>
    </row>
    <row r="5" spans="2:10" x14ac:dyDescent="0.25">
      <c r="B5" s="836"/>
      <c r="C5" s="837"/>
    </row>
    <row r="6" spans="2:10" x14ac:dyDescent="0.25">
      <c r="B6" s="836"/>
      <c r="C6" s="837"/>
    </row>
    <row r="7" spans="2:10" ht="15.75" thickBot="1" x14ac:dyDescent="0.3">
      <c r="B7" s="838"/>
      <c r="C7" s="839"/>
    </row>
    <row r="8" spans="2:10" ht="15.75" thickBot="1" x14ac:dyDescent="0.3">
      <c r="J8" s="1" t="s">
        <v>1930</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0"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0"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0"/>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60" t="s">
        <v>1542</v>
      </c>
      <c r="C45" s="66"/>
      <c r="D45" s="17"/>
    </row>
    <row r="46" spans="2:12" ht="15.75" thickBot="1" x14ac:dyDescent="0.3">
      <c r="B46" s="420"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0" t="s">
        <v>299</v>
      </c>
    </row>
    <row r="52" spans="2:6" x14ac:dyDescent="0.25">
      <c r="B52" s="65" t="s">
        <v>296</v>
      </c>
      <c r="C52" s="70"/>
      <c r="D52" s="68"/>
    </row>
    <row r="53" spans="2:6" x14ac:dyDescent="0.25">
      <c r="B53" s="65" t="s">
        <v>304</v>
      </c>
      <c r="C53" s="133" cm="1">
        <f t="array" ref="C53">_xlfn.IFS($C$51&lt;0,C51,AND($C$51&lt;$C$52,C51&gt;0),C51,AND($C$51&gt;$C$52,C51&gt;0),C52,C51=0,0)</f>
        <v>0</v>
      </c>
      <c r="D53" s="68"/>
      <c r="F53" s="668" t="s">
        <v>1858</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0"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0"/>
      <c r="B1" s="571"/>
      <c r="C1" s="571"/>
      <c r="D1" s="571"/>
      <c r="E1" s="572"/>
      <c r="F1" s="392"/>
      <c r="G1" s="398"/>
    </row>
    <row r="2" spans="1:15" ht="47.1" customHeight="1" thickBot="1" x14ac:dyDescent="0.3">
      <c r="A2" s="573" t="s">
        <v>13</v>
      </c>
      <c r="B2" s="227"/>
      <c r="C2" s="227"/>
      <c r="D2" s="227"/>
      <c r="E2" s="574"/>
      <c r="F2" s="811">
        <v>1</v>
      </c>
      <c r="G2" s="811"/>
    </row>
    <row r="3" spans="1:15" ht="29.45" customHeight="1" thickBot="1" x14ac:dyDescent="0.3">
      <c r="A3" s="575" t="s">
        <v>717</v>
      </c>
      <c r="B3" s="699" t="s">
        <v>20</v>
      </c>
      <c r="C3" s="699" t="s">
        <v>1182</v>
      </c>
      <c r="D3" s="699" t="s">
        <v>1732</v>
      </c>
      <c r="E3" s="724" t="s">
        <v>1183</v>
      </c>
      <c r="F3" s="293" t="s">
        <v>718</v>
      </c>
      <c r="G3" s="283" t="s">
        <v>719</v>
      </c>
      <c r="K3" s="75" t="s">
        <v>1184</v>
      </c>
      <c r="L3" s="84"/>
      <c r="M3" s="84"/>
      <c r="N3" s="84"/>
      <c r="O3" s="120"/>
    </row>
    <row r="4" spans="1:15" ht="15.75" x14ac:dyDescent="0.25">
      <c r="A4" s="694"/>
      <c r="B4" s="700" t="s">
        <v>10</v>
      </c>
      <c r="C4" s="571" t="s">
        <v>10</v>
      </c>
      <c r="D4" s="701" t="s">
        <v>10</v>
      </c>
      <c r="E4" s="725" t="s">
        <v>10</v>
      </c>
      <c r="F4" s="293" t="s">
        <v>10</v>
      </c>
      <c r="G4" s="283" t="s">
        <v>10</v>
      </c>
      <c r="K4" s="65" t="s">
        <v>1185</v>
      </c>
      <c r="L4" s="66"/>
      <c r="M4" s="66"/>
      <c r="N4" s="66"/>
      <c r="O4" s="78"/>
    </row>
    <row r="5" spans="1:15" ht="24.95" customHeight="1" x14ac:dyDescent="0.25">
      <c r="A5" s="695" t="s">
        <v>58</v>
      </c>
      <c r="B5" s="768"/>
      <c r="C5" s="769"/>
      <c r="D5" s="702">
        <f>B5-C5</f>
        <v>0</v>
      </c>
      <c r="E5" s="726">
        <f>B5-C5</f>
        <v>0</v>
      </c>
      <c r="F5" s="295"/>
      <c r="G5" s="325"/>
      <c r="K5" s="65"/>
      <c r="L5" s="66"/>
      <c r="M5" s="66"/>
      <c r="N5" s="66"/>
      <c r="O5" s="79"/>
    </row>
    <row r="6" spans="1:15" ht="15.75" x14ac:dyDescent="0.25">
      <c r="A6" s="695"/>
      <c r="B6" s="703"/>
      <c r="C6" s="330"/>
      <c r="D6" s="704"/>
      <c r="E6" s="727"/>
      <c r="F6" s="295"/>
      <c r="G6" s="325"/>
      <c r="K6" s="65" t="s">
        <v>1187</v>
      </c>
      <c r="L6" s="66"/>
      <c r="M6" s="66"/>
      <c r="N6" s="66"/>
      <c r="O6" s="78"/>
    </row>
    <row r="7" spans="1:15" ht="15.75" x14ac:dyDescent="0.25">
      <c r="A7" s="695"/>
      <c r="B7" s="703"/>
      <c r="C7" s="330"/>
      <c r="D7" s="704"/>
      <c r="E7" s="727"/>
      <c r="F7" s="295"/>
      <c r="G7" s="325"/>
      <c r="K7" s="65" t="s">
        <v>865</v>
      </c>
      <c r="L7" s="66"/>
      <c r="M7" s="66"/>
      <c r="N7" s="66"/>
      <c r="O7" s="78"/>
    </row>
    <row r="8" spans="1:15" ht="18.95" customHeight="1" x14ac:dyDescent="0.25">
      <c r="A8" s="694" t="s">
        <v>67</v>
      </c>
      <c r="B8" s="770"/>
      <c r="C8" s="771"/>
      <c r="D8" s="705">
        <f>B8-C8</f>
        <v>0</v>
      </c>
      <c r="E8" s="726">
        <f>B8-C8</f>
        <v>0</v>
      </c>
      <c r="F8" s="295"/>
      <c r="G8" s="325"/>
      <c r="K8" s="65" t="s">
        <v>1186</v>
      </c>
      <c r="L8" s="66"/>
      <c r="M8" s="66"/>
      <c r="N8" s="66"/>
      <c r="O8" s="79">
        <f>O6-O7</f>
        <v>0</v>
      </c>
    </row>
    <row r="9" spans="1:15" ht="15.75" x14ac:dyDescent="0.25">
      <c r="A9" s="694"/>
      <c r="B9" s="706"/>
      <c r="C9" s="284"/>
      <c r="D9" s="707"/>
      <c r="E9" s="728"/>
      <c r="F9" s="295"/>
      <c r="G9" s="325"/>
      <c r="K9" s="65"/>
      <c r="L9" s="66"/>
      <c r="M9" s="66"/>
      <c r="N9" s="66"/>
      <c r="O9" s="79"/>
    </row>
    <row r="10" spans="1:15" ht="16.5" thickBot="1" x14ac:dyDescent="0.3">
      <c r="A10" s="694"/>
      <c r="B10" s="703"/>
      <c r="C10" s="330"/>
      <c r="D10" s="704"/>
      <c r="E10" s="727"/>
      <c r="F10" s="295"/>
      <c r="G10" s="325"/>
      <c r="K10" s="72" t="s">
        <v>1188</v>
      </c>
      <c r="L10" s="73"/>
      <c r="M10" s="73"/>
      <c r="N10" s="73"/>
      <c r="O10" s="99">
        <f>O4+O8</f>
        <v>0</v>
      </c>
    </row>
    <row r="11" spans="1:15" ht="15.75" x14ac:dyDescent="0.25">
      <c r="A11" s="694" t="s">
        <v>720</v>
      </c>
      <c r="B11" s="708">
        <f>B5-B8</f>
        <v>0</v>
      </c>
      <c r="C11" s="290">
        <f>C5-C8</f>
        <v>0</v>
      </c>
      <c r="D11" s="709">
        <f>D5-D8</f>
        <v>0</v>
      </c>
      <c r="E11" s="729">
        <f>E5-E8</f>
        <v>0</v>
      </c>
      <c r="F11" s="294"/>
      <c r="G11" s="284"/>
    </row>
    <row r="12" spans="1:15" ht="15.75" x14ac:dyDescent="0.25">
      <c r="A12" s="694" t="s">
        <v>95</v>
      </c>
      <c r="B12" s="770"/>
      <c r="C12" s="771"/>
      <c r="D12" s="705">
        <f>B12-C12</f>
        <v>0</v>
      </c>
      <c r="E12" s="726">
        <f>SUM(B12:C12)</f>
        <v>0</v>
      </c>
      <c r="F12" s="295"/>
      <c r="G12" s="325"/>
    </row>
    <row r="13" spans="1:15" ht="15.75" x14ac:dyDescent="0.25">
      <c r="A13" s="694"/>
      <c r="B13" s="706"/>
      <c r="C13" s="284"/>
      <c r="D13" s="707"/>
      <c r="E13" s="728"/>
      <c r="F13" s="295"/>
      <c r="G13" s="325"/>
    </row>
    <row r="14" spans="1:15" ht="15.75" x14ac:dyDescent="0.25">
      <c r="A14" s="694"/>
      <c r="B14" s="706"/>
      <c r="C14" s="284"/>
      <c r="D14" s="707"/>
      <c r="E14" s="728"/>
      <c r="F14" s="295"/>
      <c r="G14" s="325"/>
      <c r="K14" t="s">
        <v>1733</v>
      </c>
    </row>
    <row r="15" spans="1:15" ht="15.75" x14ac:dyDescent="0.25">
      <c r="A15" s="694" t="s">
        <v>721</v>
      </c>
      <c r="B15" s="772"/>
      <c r="C15" s="773"/>
      <c r="D15" s="711">
        <f>B15-C15</f>
        <v>0</v>
      </c>
      <c r="E15" s="726">
        <f>B15-C15</f>
        <v>0</v>
      </c>
      <c r="F15" s="295"/>
      <c r="G15" s="325"/>
    </row>
    <row r="16" spans="1:15" ht="15.75" x14ac:dyDescent="0.25">
      <c r="A16" s="694"/>
      <c r="B16" s="706"/>
      <c r="C16" s="284"/>
      <c r="D16" s="707"/>
      <c r="E16" s="728"/>
      <c r="F16" s="295"/>
      <c r="G16" s="325"/>
      <c r="K16" s="420" t="s">
        <v>1942</v>
      </c>
    </row>
    <row r="17" spans="1:11" ht="15.75" x14ac:dyDescent="0.25">
      <c r="A17" s="694"/>
      <c r="B17" s="706"/>
      <c r="C17" s="284"/>
      <c r="D17" s="707"/>
      <c r="E17" s="728"/>
      <c r="F17" s="295"/>
      <c r="G17" s="325"/>
      <c r="K17" s="420" t="s">
        <v>1943</v>
      </c>
    </row>
    <row r="18" spans="1:11" ht="15.75" x14ac:dyDescent="0.25">
      <c r="A18" s="694" t="s">
        <v>722</v>
      </c>
      <c r="B18" s="772"/>
      <c r="C18" s="773"/>
      <c r="D18" s="711">
        <f>B18-C18</f>
        <v>0</v>
      </c>
      <c r="E18" s="726">
        <f>B18-C18</f>
        <v>0</v>
      </c>
      <c r="F18" s="295"/>
      <c r="G18" s="325"/>
      <c r="K18" s="420" t="s">
        <v>1944</v>
      </c>
    </row>
    <row r="19" spans="1:11" ht="15.75" x14ac:dyDescent="0.25">
      <c r="A19" s="694"/>
      <c r="B19" s="706"/>
      <c r="C19" s="284"/>
      <c r="D19" s="704"/>
      <c r="E19" s="728"/>
      <c r="F19" s="295"/>
      <c r="G19" s="325"/>
    </row>
    <row r="20" spans="1:11" ht="15.75" x14ac:dyDescent="0.25">
      <c r="A20" s="694" t="str">
        <f>IF(C20&gt;0,"Gain on Disposal","Loss on disposal")</f>
        <v>Loss on disposal</v>
      </c>
      <c r="B20" s="710"/>
      <c r="C20" s="693">
        <f>O8</f>
        <v>0</v>
      </c>
      <c r="D20" s="711"/>
      <c r="E20" s="728"/>
      <c r="F20" s="295"/>
      <c r="G20" s="325"/>
      <c r="K20" s="420" t="s">
        <v>1945</v>
      </c>
    </row>
    <row r="21" spans="1:11" ht="15.75" x14ac:dyDescent="0.25">
      <c r="A21" s="694"/>
      <c r="B21" s="706"/>
      <c r="C21" s="284"/>
      <c r="D21" s="712"/>
      <c r="E21" s="728"/>
      <c r="F21" s="295"/>
      <c r="G21" s="325"/>
      <c r="K21" s="420" t="s">
        <v>1946</v>
      </c>
    </row>
    <row r="22" spans="1:11" ht="15.75" x14ac:dyDescent="0.25">
      <c r="A22" s="694"/>
      <c r="B22" s="706"/>
      <c r="C22" s="284"/>
      <c r="D22" s="707"/>
      <c r="E22" s="728"/>
      <c r="F22" s="295"/>
      <c r="G22" s="325"/>
      <c r="K22" s="420" t="s">
        <v>1931</v>
      </c>
    </row>
    <row r="23" spans="1:11" ht="15.75" x14ac:dyDescent="0.25">
      <c r="A23" s="694" t="s">
        <v>723</v>
      </c>
      <c r="B23" s="768"/>
      <c r="C23" s="769"/>
      <c r="D23" s="702">
        <f>B23-C23</f>
        <v>0</v>
      </c>
      <c r="E23" s="726">
        <f>B23-C23</f>
        <v>0</v>
      </c>
      <c r="F23" s="295"/>
      <c r="G23" s="325"/>
      <c r="K23" s="420" t="s">
        <v>1932</v>
      </c>
    </row>
    <row r="24" spans="1:11" ht="15.75" x14ac:dyDescent="0.25">
      <c r="A24" s="694"/>
      <c r="B24" s="706"/>
      <c r="C24" s="284"/>
      <c r="D24" s="707"/>
      <c r="E24" s="728"/>
      <c r="F24" s="295"/>
      <c r="G24" s="325"/>
      <c r="K24" s="420"/>
    </row>
    <row r="25" spans="1:11" ht="15.75" x14ac:dyDescent="0.25">
      <c r="A25" s="694"/>
      <c r="B25" s="706"/>
      <c r="C25" s="284"/>
      <c r="D25" s="707"/>
      <c r="E25" s="728"/>
      <c r="F25" s="295"/>
      <c r="G25" s="325"/>
      <c r="K25" s="420" t="s">
        <v>1933</v>
      </c>
    </row>
    <row r="26" spans="1:11" ht="15.75" x14ac:dyDescent="0.25">
      <c r="A26" s="694" t="s">
        <v>631</v>
      </c>
      <c r="B26" s="772"/>
      <c r="C26" s="773"/>
      <c r="D26" s="711">
        <f>B26-C26</f>
        <v>0</v>
      </c>
      <c r="E26" s="726">
        <f>B26-C26</f>
        <v>0</v>
      </c>
      <c r="F26" s="295"/>
      <c r="G26" s="325"/>
      <c r="K26" s="420" t="s">
        <v>1934</v>
      </c>
    </row>
    <row r="27" spans="1:11" ht="15.75" x14ac:dyDescent="0.25">
      <c r="A27" s="694"/>
      <c r="B27" s="706"/>
      <c r="C27" s="284"/>
      <c r="D27" s="707"/>
      <c r="E27" s="728"/>
      <c r="F27" s="295"/>
      <c r="G27" s="325"/>
      <c r="K27" s="420" t="s">
        <v>1935</v>
      </c>
    </row>
    <row r="28" spans="1:11" ht="15.75" x14ac:dyDescent="0.25">
      <c r="A28" s="694"/>
      <c r="B28" s="706"/>
      <c r="C28" s="284"/>
      <c r="D28" s="707"/>
      <c r="E28" s="728"/>
      <c r="F28" s="295"/>
      <c r="G28" s="325"/>
      <c r="K28" s="420" t="s">
        <v>1936</v>
      </c>
    </row>
    <row r="29" spans="1:11" ht="15.75" x14ac:dyDescent="0.25">
      <c r="A29" s="694" t="s">
        <v>647</v>
      </c>
      <c r="B29" s="768"/>
      <c r="C29" s="769"/>
      <c r="D29" s="702">
        <f>B29-C29</f>
        <v>0</v>
      </c>
      <c r="E29" s="726">
        <f>B29-C29</f>
        <v>0</v>
      </c>
      <c r="F29" s="295"/>
      <c r="G29" s="325"/>
      <c r="K29" s="420" t="s">
        <v>1937</v>
      </c>
    </row>
    <row r="30" spans="1:11" ht="15.75" x14ac:dyDescent="0.25">
      <c r="A30" s="694"/>
      <c r="B30" s="706"/>
      <c r="C30" s="284"/>
      <c r="D30" s="707"/>
      <c r="E30" s="728"/>
      <c r="F30" s="295"/>
      <c r="G30" s="325"/>
      <c r="K30" s="420"/>
    </row>
    <row r="31" spans="1:11" ht="15.75" x14ac:dyDescent="0.25">
      <c r="A31" s="694"/>
      <c r="B31" s="713"/>
      <c r="C31" s="354"/>
      <c r="D31" s="714"/>
      <c r="E31" s="730"/>
      <c r="F31" s="295"/>
      <c r="G31" s="325"/>
      <c r="K31" s="420" t="s">
        <v>1938</v>
      </c>
    </row>
    <row r="32" spans="1:11" ht="39.950000000000003" customHeight="1" x14ac:dyDescent="0.25">
      <c r="A32" s="695" t="s">
        <v>724</v>
      </c>
      <c r="B32" s="715">
        <f>B11+B12-B15-B18-B23-B26+B29</f>
        <v>0</v>
      </c>
      <c r="C32" s="291">
        <f>C11+C12-C15-C18-C23-C26+C29+C20</f>
        <v>0</v>
      </c>
      <c r="D32" s="716">
        <f>D11+D12-D15-D18-D23-D26+D29+D20</f>
        <v>0</v>
      </c>
      <c r="E32" s="731">
        <f>E11+E12-E15-E18-E23-E26+E29</f>
        <v>0</v>
      </c>
      <c r="F32" s="294"/>
      <c r="G32" s="284"/>
    </row>
    <row r="33" spans="1:11" ht="15.75" x14ac:dyDescent="0.25">
      <c r="A33" s="694" t="s">
        <v>1</v>
      </c>
      <c r="B33" s="766"/>
      <c r="C33" s="767"/>
      <c r="D33" s="717">
        <f>B33-C33</f>
        <v>0</v>
      </c>
      <c r="E33" s="732">
        <f>B33-C33</f>
        <v>0</v>
      </c>
      <c r="F33" s="360"/>
      <c r="G33" s="326"/>
      <c r="K33" s="420" t="s">
        <v>1939</v>
      </c>
    </row>
    <row r="34" spans="1:11" ht="15.75" x14ac:dyDescent="0.25">
      <c r="A34" s="696"/>
      <c r="B34" s="718"/>
      <c r="C34" s="288"/>
      <c r="D34" s="712"/>
      <c r="E34" s="733"/>
      <c r="F34" s="360"/>
      <c r="G34" s="326"/>
      <c r="K34" s="420" t="s">
        <v>1940</v>
      </c>
    </row>
    <row r="35" spans="1:11" ht="15.75" x14ac:dyDescent="0.25">
      <c r="A35" s="696"/>
      <c r="B35" s="706"/>
      <c r="C35" s="284"/>
      <c r="D35" s="707"/>
      <c r="E35" s="728"/>
      <c r="F35" s="360"/>
      <c r="G35" s="326"/>
    </row>
    <row r="36" spans="1:11" ht="61.5" customHeight="1" x14ac:dyDescent="0.25">
      <c r="A36" s="697" t="s">
        <v>727</v>
      </c>
      <c r="B36" s="719">
        <f>B32-B33</f>
        <v>0</v>
      </c>
      <c r="C36" s="356">
        <f>C32-C33</f>
        <v>0</v>
      </c>
      <c r="D36" s="720">
        <f>D32-D33</f>
        <v>0</v>
      </c>
      <c r="E36" s="734">
        <f>E32-E33</f>
        <v>0</v>
      </c>
      <c r="F36" s="361"/>
      <c r="G36" s="327"/>
      <c r="K36" s="625" t="s">
        <v>1941</v>
      </c>
    </row>
    <row r="37" spans="1:11" ht="39" customHeight="1" x14ac:dyDescent="0.25">
      <c r="A37" s="694" t="s">
        <v>728</v>
      </c>
      <c r="B37" s="721"/>
      <c r="C37" s="356"/>
      <c r="D37" s="720"/>
      <c r="E37" s="720">
        <f>-C36</f>
        <v>0</v>
      </c>
      <c r="F37" s="566"/>
      <c r="G37" s="564"/>
      <c r="K37" s="420" t="s">
        <v>1947</v>
      </c>
    </row>
    <row r="38" spans="1:11" ht="45.95" customHeight="1" thickBot="1" x14ac:dyDescent="0.3">
      <c r="A38" s="698" t="s">
        <v>730</v>
      </c>
      <c r="B38" s="722">
        <f>B36-B37</f>
        <v>0</v>
      </c>
      <c r="C38" s="576">
        <f>C36-C37</f>
        <v>0</v>
      </c>
      <c r="D38" s="723">
        <f>D36-D37</f>
        <v>0</v>
      </c>
      <c r="E38" s="723">
        <f>E36-E37</f>
        <v>0</v>
      </c>
      <c r="F38" s="567"/>
      <c r="G38" s="565"/>
      <c r="K38" s="495" t="s">
        <v>1949</v>
      </c>
    </row>
    <row r="39" spans="1:11" x14ac:dyDescent="0.25">
      <c r="A39" s="568"/>
      <c r="B39" s="569"/>
      <c r="C39" s="569"/>
      <c r="D39" s="569"/>
      <c r="E39" s="565"/>
      <c r="F39" s="349"/>
      <c r="G39" s="329"/>
      <c r="K39" s="420" t="s">
        <v>1948</v>
      </c>
    </row>
    <row r="40" spans="1:11" ht="15.75" hidden="1" x14ac:dyDescent="0.25">
      <c r="A40" s="229" t="s">
        <v>3</v>
      </c>
      <c r="B40" s="258"/>
      <c r="C40" s="258"/>
      <c r="D40" s="258"/>
      <c r="E40" s="329"/>
      <c r="F40" s="349"/>
      <c r="G40" s="329"/>
    </row>
    <row r="41" spans="1:11" ht="91.5" hidden="1" customHeight="1" x14ac:dyDescent="0.25">
      <c r="A41" s="229" t="s">
        <v>4</v>
      </c>
      <c r="B41" s="258"/>
      <c r="C41" s="258"/>
      <c r="D41" s="258"/>
      <c r="E41" s="329"/>
      <c r="F41" s="349"/>
      <c r="G41" s="329"/>
    </row>
    <row r="42" spans="1:11" ht="63.95" hidden="1" customHeight="1" x14ac:dyDescent="0.25">
      <c r="A42" s="232" t="s">
        <v>731</v>
      </c>
      <c r="B42" s="244"/>
      <c r="C42" s="244"/>
      <c r="D42" s="244" t="e">
        <f>SUM(#REF!)</f>
        <v>#REF!</v>
      </c>
      <c r="E42" s="292">
        <f>SUM(B42:C42)</f>
        <v>0</v>
      </c>
      <c r="F42" s="347"/>
      <c r="G42" s="328"/>
    </row>
    <row r="43" spans="1:11" ht="76.5" hidden="1" customHeight="1" x14ac:dyDescent="0.25">
      <c r="A43" s="232" t="s">
        <v>733</v>
      </c>
      <c r="B43" s="244"/>
      <c r="C43" s="244"/>
      <c r="D43" s="244" t="e">
        <f>SUM(#REF!)</f>
        <v>#REF!</v>
      </c>
      <c r="E43" s="292">
        <f>SUM(B43:C43)</f>
        <v>0</v>
      </c>
      <c r="F43" s="347"/>
      <c r="G43" s="328"/>
    </row>
    <row r="44" spans="1:11" ht="106.5" hidden="1" customHeight="1" x14ac:dyDescent="0.25">
      <c r="A44" s="232" t="s">
        <v>734</v>
      </c>
      <c r="B44" s="244"/>
      <c r="C44" s="244"/>
      <c r="D44" s="244" t="e">
        <f>SUM(#REF!)</f>
        <v>#REF!</v>
      </c>
      <c r="E44" s="292">
        <f>SUM(B44:C44)</f>
        <v>0</v>
      </c>
      <c r="F44" s="347"/>
      <c r="G44" s="328"/>
    </row>
    <row r="45" spans="1:11" ht="30" hidden="1" x14ac:dyDescent="0.25">
      <c r="A45" s="232" t="s">
        <v>736</v>
      </c>
      <c r="B45" s="255"/>
      <c r="C45" s="255"/>
      <c r="D45" s="255" t="e">
        <f>SUM(#REF!)</f>
        <v>#REF!</v>
      </c>
      <c r="E45" s="469">
        <f>SUM(B45:C45)</f>
        <v>0</v>
      </c>
      <c r="F45" s="347"/>
      <c r="G45" s="328"/>
    </row>
    <row r="46" spans="1:11" hidden="1" x14ac:dyDescent="0.25">
      <c r="A46" s="232"/>
      <c r="B46" s="257">
        <f>B42+B43+B44-B45</f>
        <v>0</v>
      </c>
      <c r="C46" s="257">
        <f>C42+C43+C44-C45</f>
        <v>0</v>
      </c>
      <c r="D46" s="257" t="e">
        <f>D42+D43+D44-D45</f>
        <v>#REF!</v>
      </c>
      <c r="E46" s="470">
        <f>E42+E43+E44-E45</f>
        <v>0</v>
      </c>
      <c r="F46" s="349"/>
      <c r="G46" s="329"/>
    </row>
    <row r="47" spans="1:11" ht="31.5" hidden="1" x14ac:dyDescent="0.25">
      <c r="A47" s="229" t="s">
        <v>30</v>
      </c>
      <c r="B47" s="258"/>
      <c r="C47" s="258"/>
      <c r="D47" s="258"/>
      <c r="E47" s="329"/>
      <c r="F47" s="349"/>
      <c r="G47" s="329"/>
    </row>
    <row r="48" spans="1:11" ht="30" hidden="1" x14ac:dyDescent="0.25">
      <c r="A48" s="232" t="s">
        <v>32</v>
      </c>
      <c r="B48" s="244"/>
      <c r="C48" s="244"/>
      <c r="D48" s="244" t="e">
        <f>SUM(#REF!)</f>
        <v>#REF!</v>
      </c>
      <c r="E48" s="292">
        <f>SUM(B48:C48)</f>
        <v>0</v>
      </c>
      <c r="F48" s="347"/>
      <c r="G48" s="328"/>
    </row>
    <row r="49" spans="1:7" ht="30" hidden="1" x14ac:dyDescent="0.25">
      <c r="A49" s="232" t="s">
        <v>737</v>
      </c>
      <c r="B49" s="255"/>
      <c r="C49" s="255"/>
      <c r="D49" s="255" t="e">
        <f>SUM(#REF!)</f>
        <v>#REF!</v>
      </c>
      <c r="E49" s="357">
        <f>SUM(B49:C49)</f>
        <v>0</v>
      </c>
      <c r="F49" s="347"/>
      <c r="G49" s="328"/>
    </row>
    <row r="50" spans="1:7" hidden="1" x14ac:dyDescent="0.25">
      <c r="A50" s="232"/>
      <c r="B50" s="256">
        <f>B48-B49</f>
        <v>0</v>
      </c>
      <c r="C50" s="256">
        <f>C48-C49</f>
        <v>0</v>
      </c>
      <c r="D50" s="256" t="e">
        <f>D48-D49</f>
        <v>#REF!</v>
      </c>
      <c r="E50" s="357">
        <f>E48-E49</f>
        <v>0</v>
      </c>
      <c r="F50" s="349"/>
      <c r="G50" s="329"/>
    </row>
    <row r="51" spans="1:7" ht="31.5" hidden="1" x14ac:dyDescent="0.25">
      <c r="A51" s="229" t="s">
        <v>8</v>
      </c>
      <c r="B51" s="256">
        <f>SUM(B46,B50)</f>
        <v>0</v>
      </c>
      <c r="C51" s="256">
        <f>SUM(C46,C50)</f>
        <v>0</v>
      </c>
      <c r="D51" s="256" t="e">
        <f>SUM(D46,D50)</f>
        <v>#REF!</v>
      </c>
      <c r="E51" s="357">
        <f>SUM(E46,E50)</f>
        <v>0</v>
      </c>
      <c r="F51" s="349"/>
      <c r="G51" s="329"/>
    </row>
    <row r="52" spans="1:7" ht="32.25" hidden="1" thickBot="1" x14ac:dyDescent="0.3">
      <c r="A52" s="253" t="s">
        <v>9</v>
      </c>
      <c r="B52" s="260">
        <f>B38+B51</f>
        <v>0</v>
      </c>
      <c r="C52" s="260">
        <f>C38+C51</f>
        <v>0</v>
      </c>
      <c r="D52" s="260" t="e">
        <f>D38+D51</f>
        <v>#REF!</v>
      </c>
      <c r="E52" s="359">
        <f>E38+E51</f>
        <v>0</v>
      </c>
      <c r="F52" s="345"/>
      <c r="G52" s="327"/>
    </row>
    <row r="53" spans="1:7" hidden="1" x14ac:dyDescent="0.25">
      <c r="A53" s="232"/>
      <c r="B53" s="239"/>
      <c r="C53" s="239"/>
      <c r="D53" s="239"/>
      <c r="E53" s="288"/>
      <c r="F53" s="302"/>
      <c r="G53" s="284"/>
    </row>
    <row r="54" spans="1:7" hidden="1" x14ac:dyDescent="0.25">
      <c r="A54" s="232" t="s">
        <v>738</v>
      </c>
      <c r="B54" s="235"/>
      <c r="C54" s="235"/>
      <c r="D54" s="235"/>
      <c r="E54" s="284"/>
      <c r="F54" s="302"/>
      <c r="G54" s="284"/>
    </row>
    <row r="55" spans="1:7" hidden="1" x14ac:dyDescent="0.25">
      <c r="A55" s="261" t="s">
        <v>739</v>
      </c>
      <c r="B55" s="235"/>
      <c r="C55" s="235"/>
      <c r="D55" s="235"/>
      <c r="E55" s="284"/>
      <c r="F55" s="351"/>
      <c r="G55" s="330"/>
    </row>
    <row r="56" spans="1:7" hidden="1" x14ac:dyDescent="0.25">
      <c r="A56" s="262" t="s">
        <v>682</v>
      </c>
      <c r="B56" s="235"/>
      <c r="C56" s="235"/>
      <c r="D56" s="235"/>
      <c r="E56" s="284"/>
      <c r="F56" s="304"/>
      <c r="G56" s="325"/>
    </row>
    <row r="57" spans="1:7" hidden="1" x14ac:dyDescent="0.25">
      <c r="A57" s="232"/>
      <c r="B57" s="235"/>
      <c r="C57" s="235"/>
      <c r="D57" s="235"/>
      <c r="E57" s="284"/>
      <c r="F57" s="302"/>
      <c r="G57" s="284"/>
    </row>
    <row r="58" spans="1:7" hidden="1" x14ac:dyDescent="0.25">
      <c r="A58" s="232" t="s">
        <v>740</v>
      </c>
      <c r="B58" s="235"/>
      <c r="C58" s="235"/>
      <c r="D58" s="235"/>
      <c r="E58" s="284"/>
      <c r="F58" s="302"/>
      <c r="G58" s="284"/>
    </row>
    <row r="59" spans="1:7" hidden="1" x14ac:dyDescent="0.25">
      <c r="A59" s="262" t="s">
        <v>739</v>
      </c>
      <c r="B59" s="235"/>
      <c r="C59" s="235"/>
      <c r="D59" s="235"/>
      <c r="E59" s="284"/>
      <c r="F59" s="302"/>
      <c r="G59" s="284"/>
    </row>
    <row r="60" spans="1:7" hidden="1" x14ac:dyDescent="0.25">
      <c r="A60" s="262" t="s">
        <v>682</v>
      </c>
      <c r="B60" s="235"/>
      <c r="C60" s="235"/>
      <c r="D60" s="235"/>
      <c r="E60" s="284"/>
      <c r="F60" s="304"/>
      <c r="G60" s="325"/>
    </row>
    <row r="61" spans="1:7" hidden="1" x14ac:dyDescent="0.25">
      <c r="A61" s="232"/>
      <c r="B61" s="235"/>
      <c r="C61" s="235"/>
      <c r="D61" s="235"/>
      <c r="E61" s="284"/>
      <c r="F61" s="302"/>
      <c r="G61" s="284"/>
    </row>
    <row r="62" spans="1:7" hidden="1" x14ac:dyDescent="0.25">
      <c r="A62" s="232"/>
      <c r="B62" s="235"/>
      <c r="C62" s="235"/>
      <c r="D62" s="235"/>
      <c r="E62" s="284"/>
      <c r="F62" s="302"/>
      <c r="G62" s="284"/>
    </row>
    <row r="63" spans="1:7" hidden="1" x14ac:dyDescent="0.25">
      <c r="A63" s="232" t="s">
        <v>741</v>
      </c>
      <c r="B63" s="235"/>
      <c r="C63" s="235"/>
      <c r="D63" s="235"/>
      <c r="E63" s="284"/>
      <c r="F63" s="302"/>
      <c r="G63" s="284"/>
    </row>
    <row r="64" spans="1:7" hidden="1" x14ac:dyDescent="0.25">
      <c r="A64" s="262" t="s">
        <v>744</v>
      </c>
      <c r="B64" s="235"/>
      <c r="C64" s="235"/>
      <c r="D64" s="235"/>
      <c r="E64" s="284"/>
      <c r="F64" s="302"/>
      <c r="G64" s="284"/>
    </row>
    <row r="65" spans="1:7" hidden="1" x14ac:dyDescent="0.25">
      <c r="A65" s="262" t="s">
        <v>745</v>
      </c>
      <c r="B65" s="235"/>
      <c r="C65" s="235"/>
      <c r="D65" s="235"/>
      <c r="E65" s="284"/>
      <c r="F65" s="308"/>
      <c r="G65" s="354"/>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topLeftCell="A4" zoomScale="115" zoomScaleNormal="115" workbookViewId="0">
      <selection activeCell="G13" sqref="G13"/>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0" t="s">
        <v>1626</v>
      </c>
    </row>
    <row r="3" spans="2:8" ht="51" customHeight="1" x14ac:dyDescent="0.25">
      <c r="B3" s="178" t="s">
        <v>420</v>
      </c>
      <c r="C3" s="49" t="s">
        <v>147</v>
      </c>
      <c r="D3" s="66"/>
      <c r="E3" s="66"/>
      <c r="F3" s="68"/>
      <c r="G3" s="420"/>
    </row>
    <row r="4" spans="2:8" x14ac:dyDescent="0.25">
      <c r="B4" s="178" t="s">
        <v>421</v>
      </c>
      <c r="C4" s="49" t="s">
        <v>147</v>
      </c>
      <c r="D4" s="66"/>
      <c r="E4" s="66"/>
      <c r="F4" s="68"/>
      <c r="G4" s="420" t="s">
        <v>1627</v>
      </c>
    </row>
    <row r="5" spans="2:8" x14ac:dyDescent="0.25">
      <c r="B5" s="178" t="s">
        <v>1729</v>
      </c>
      <c r="C5" s="49" t="s">
        <v>147</v>
      </c>
      <c r="D5" s="66"/>
      <c r="E5" s="66"/>
      <c r="F5" s="68"/>
      <c r="G5" s="420" t="s">
        <v>1730</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5" t="s">
        <v>1451</v>
      </c>
      <c r="H16" s="420" t="s">
        <v>1965</v>
      </c>
    </row>
    <row r="17" spans="2:15" x14ac:dyDescent="0.25">
      <c r="B17" s="832" t="s">
        <v>1966</v>
      </c>
      <c r="C17" s="832"/>
      <c r="D17" s="832"/>
      <c r="F17" s="495"/>
      <c r="J17" s="420"/>
    </row>
    <row r="18" spans="2:15" x14ac:dyDescent="0.25">
      <c r="B18" s="832"/>
      <c r="C18" s="832"/>
      <c r="D18" s="832"/>
      <c r="F18" s="495"/>
      <c r="J18" s="420"/>
    </row>
    <row r="19" spans="2:15" x14ac:dyDescent="0.25">
      <c r="B19" s="832"/>
      <c r="C19" s="832"/>
      <c r="D19" s="832"/>
      <c r="F19" s="495"/>
      <c r="J19" s="420"/>
    </row>
    <row r="20" spans="2:15" x14ac:dyDescent="0.25">
      <c r="B20" s="832"/>
      <c r="C20" s="832"/>
      <c r="D20" s="832"/>
      <c r="F20" s="495"/>
      <c r="J20" s="420"/>
    </row>
    <row r="21" spans="2:15" x14ac:dyDescent="0.25">
      <c r="B21" s="832"/>
      <c r="C21" s="832"/>
      <c r="D21" s="832"/>
      <c r="F21" s="495"/>
      <c r="J21" s="420"/>
    </row>
    <row r="22" spans="2:15" x14ac:dyDescent="0.25">
      <c r="B22" s="832"/>
      <c r="C22" s="832"/>
      <c r="D22" s="832"/>
      <c r="F22" s="495"/>
      <c r="J22" s="420"/>
    </row>
    <row r="23" spans="2:15" x14ac:dyDescent="0.25">
      <c r="B23" s="832"/>
      <c r="C23" s="832"/>
      <c r="D23" s="832"/>
      <c r="F23" s="495"/>
      <c r="J23" s="420"/>
    </row>
    <row r="24" spans="2:15" x14ac:dyDescent="0.25">
      <c r="B24" s="832"/>
      <c r="C24" s="832"/>
      <c r="D24" s="832"/>
      <c r="F24" s="495"/>
      <c r="J24" s="420"/>
    </row>
    <row r="25" spans="2:15" x14ac:dyDescent="0.25">
      <c r="B25" s="832"/>
      <c r="C25" s="832"/>
      <c r="D25" s="832"/>
      <c r="F25" s="495"/>
      <c r="J25" s="420"/>
    </row>
    <row r="26" spans="2:15" x14ac:dyDescent="0.25">
      <c r="B26" s="832"/>
      <c r="C26" s="832"/>
      <c r="D26" s="832"/>
      <c r="F26" s="495"/>
    </row>
    <row r="27" spans="2:15" ht="61.5" customHeight="1" x14ac:dyDescent="0.25">
      <c r="B27" s="177" t="s">
        <v>427</v>
      </c>
      <c r="C27" s="37" t="s">
        <v>432</v>
      </c>
      <c r="D27" s="194"/>
      <c r="F27" s="420" t="s">
        <v>1449</v>
      </c>
      <c r="J27" s="778"/>
      <c r="K27" s="29"/>
      <c r="L27" s="29"/>
      <c r="M27" s="29"/>
      <c r="N27" s="29"/>
      <c r="O27" s="29"/>
    </row>
    <row r="28" spans="2:15" ht="57.95" customHeight="1" x14ac:dyDescent="0.25">
      <c r="B28" s="177" t="s">
        <v>428</v>
      </c>
      <c r="C28" s="37" t="s">
        <v>432</v>
      </c>
      <c r="D28" s="692"/>
      <c r="J28" s="29"/>
      <c r="K28" s="29"/>
      <c r="L28" s="29"/>
      <c r="M28" s="29"/>
      <c r="N28" s="29"/>
      <c r="O28" s="29"/>
    </row>
    <row r="29" spans="2:15" ht="30" x14ac:dyDescent="0.25">
      <c r="B29" s="177" t="s">
        <v>429</v>
      </c>
      <c r="C29" s="37" t="s">
        <v>432</v>
      </c>
      <c r="D29" s="194"/>
      <c r="E29" s="623" t="s">
        <v>435</v>
      </c>
      <c r="F29" s="420" t="s">
        <v>1450</v>
      </c>
    </row>
    <row r="30" spans="2:15" ht="30" x14ac:dyDescent="0.25">
      <c r="B30" s="177" t="s">
        <v>1727</v>
      </c>
      <c r="C30" s="37" t="s">
        <v>432</v>
      </c>
      <c r="D30" s="3"/>
      <c r="F30" s="420" t="s">
        <v>1666</v>
      </c>
    </row>
    <row r="31" spans="2:15" ht="60" x14ac:dyDescent="0.25">
      <c r="B31" s="177" t="s">
        <v>430</v>
      </c>
      <c r="C31" s="37" t="s">
        <v>432</v>
      </c>
      <c r="D31" s="692"/>
    </row>
    <row r="32" spans="2:15" ht="45" x14ac:dyDescent="0.25">
      <c r="B32" s="177" t="s">
        <v>431</v>
      </c>
      <c r="C32" s="37" t="s">
        <v>432</v>
      </c>
      <c r="D32" s="692"/>
    </row>
    <row r="34" spans="2:10" x14ac:dyDescent="0.25">
      <c r="B34" s="177" t="s">
        <v>434</v>
      </c>
      <c r="C34" t="str">
        <f>IF(AND(C27="MET",C28="MET",C29="MET",C30="MET",C31="MET",C32="MET"),"Expenditure must be capitalised","Expenditure must be recognised as an expense")</f>
        <v>Expenditure must be capitalised</v>
      </c>
    </row>
    <row r="36" spans="2:10" x14ac:dyDescent="0.25">
      <c r="B36" s="624" t="s">
        <v>1967</v>
      </c>
    </row>
    <row r="37" spans="2:10" x14ac:dyDescent="0.25">
      <c r="B37" s="420" t="s">
        <v>1728</v>
      </c>
      <c r="C37" s="16"/>
      <c r="D37" s="1"/>
      <c r="E37" s="1"/>
      <c r="F37" s="1"/>
      <c r="G37" s="16"/>
    </row>
    <row r="38" spans="2:10" x14ac:dyDescent="0.25">
      <c r="B38" s="420" t="s">
        <v>1969</v>
      </c>
      <c r="D38" s="1"/>
      <c r="F38" s="1"/>
    </row>
    <row r="39" spans="2:10" x14ac:dyDescent="0.25">
      <c r="B39" s="1" t="s">
        <v>437</v>
      </c>
      <c r="C39" s="16" t="s">
        <v>141</v>
      </c>
      <c r="D39" s="1"/>
      <c r="E39" s="1" t="s">
        <v>1964</v>
      </c>
      <c r="F39" s="1"/>
      <c r="G39" s="16" t="s">
        <v>141</v>
      </c>
    </row>
    <row r="40" spans="2:10" x14ac:dyDescent="0.25">
      <c r="B40" s="3"/>
      <c r="C40" s="3"/>
      <c r="E40" s="736"/>
      <c r="F40" s="3"/>
      <c r="G40" s="27"/>
    </row>
    <row r="41" spans="2:10" x14ac:dyDescent="0.25">
      <c r="B41" s="3"/>
      <c r="C41" s="3"/>
      <c r="E41" s="3"/>
      <c r="F41" s="3"/>
      <c r="G41" s="3"/>
      <c r="J41" s="420" t="s">
        <v>436</v>
      </c>
    </row>
    <row r="42" spans="2:10" x14ac:dyDescent="0.25">
      <c r="B42" s="3"/>
      <c r="C42" s="3"/>
      <c r="E42" s="3"/>
      <c r="F42" s="3"/>
      <c r="G42" s="3"/>
      <c r="J42" s="420" t="s">
        <v>1866</v>
      </c>
    </row>
    <row r="43" spans="2:10" s="420" customFormat="1" x14ac:dyDescent="0.25"/>
    <row r="44" spans="2:10" x14ac:dyDescent="0.25">
      <c r="B44" t="s">
        <v>1452</v>
      </c>
      <c r="C44">
        <f>SUM(C40:C42)</f>
        <v>0</v>
      </c>
      <c r="G44" s="10">
        <f>SUM(G40:G42)</f>
        <v>0</v>
      </c>
    </row>
    <row r="45" spans="2:10" x14ac:dyDescent="0.25">
      <c r="B45" s="3"/>
      <c r="C45" s="3"/>
    </row>
    <row r="47" spans="2:10" ht="15.75" thickBot="1" x14ac:dyDescent="0.3">
      <c r="B47" s="420" t="s">
        <v>1968</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76"/>
      <c r="H51" s="777"/>
    </row>
    <row r="52" spans="2:8" x14ac:dyDescent="0.25">
      <c r="B52" s="65" t="s">
        <v>203</v>
      </c>
      <c r="C52" s="100"/>
      <c r="G52" s="183"/>
      <c r="H52" s="183"/>
    </row>
    <row r="53" spans="2:8" x14ac:dyDescent="0.25">
      <c r="B53" s="65" t="s">
        <v>285</v>
      </c>
      <c r="C53" s="638"/>
      <c r="G53" s="183"/>
      <c r="H53" s="183"/>
    </row>
    <row r="54" spans="2:8" x14ac:dyDescent="0.25">
      <c r="B54" s="65" t="s">
        <v>286</v>
      </c>
      <c r="C54" s="638"/>
      <c r="E54" s="12"/>
      <c r="G54" s="183"/>
      <c r="H54" s="183"/>
    </row>
    <row r="55" spans="2:8" x14ac:dyDescent="0.25">
      <c r="B55" s="65" t="s">
        <v>189</v>
      </c>
      <c r="C55" s="639"/>
      <c r="G55" s="183"/>
      <c r="H55" s="183"/>
    </row>
    <row r="56" spans="2:8" x14ac:dyDescent="0.25">
      <c r="B56" s="65" t="s">
        <v>190</v>
      </c>
      <c r="C56" s="181" t="e">
        <f>IF(C50="months",C51/12,C51)</f>
        <v>#DIV/0!</v>
      </c>
      <c r="E56" s="420" t="s">
        <v>1892</v>
      </c>
      <c r="G56" s="183"/>
      <c r="H56" s="183"/>
    </row>
    <row r="57" spans="2:8" x14ac:dyDescent="0.25">
      <c r="B57" s="65" t="s">
        <v>193</v>
      </c>
      <c r="C57" s="78"/>
    </row>
    <row r="58" spans="2:8" x14ac:dyDescent="0.25">
      <c r="B58" s="65" t="s">
        <v>150</v>
      </c>
      <c r="C58" s="78">
        <v>0</v>
      </c>
      <c r="E58" s="420"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40" t="s">
        <v>222</v>
      </c>
      <c r="H66" s="841"/>
      <c r="I66" s="841"/>
      <c r="J66" s="841"/>
      <c r="K66" s="63"/>
      <c r="L66" s="64"/>
    </row>
    <row r="67" spans="2:12" x14ac:dyDescent="0.25">
      <c r="B67" s="65"/>
      <c r="C67" s="66"/>
      <c r="D67" s="68"/>
      <c r="G67" s="842"/>
      <c r="H67" s="843"/>
      <c r="I67" s="843"/>
      <c r="J67" s="843"/>
      <c r="K67" s="66"/>
      <c r="L67" s="68"/>
    </row>
    <row r="68" spans="2:12" x14ac:dyDescent="0.25">
      <c r="B68" s="65" t="s">
        <v>441</v>
      </c>
      <c r="C68" s="96"/>
      <c r="D68" s="68"/>
      <c r="G68" s="842"/>
      <c r="H68" s="843"/>
      <c r="I68" s="843"/>
      <c r="J68" s="843"/>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0" t="s">
        <v>924</v>
      </c>
      <c r="G74" s="65"/>
      <c r="H74" s="66"/>
      <c r="I74" s="66"/>
      <c r="J74" s="66"/>
      <c r="K74" s="66"/>
      <c r="L74" s="68"/>
    </row>
    <row r="75" spans="2:12" x14ac:dyDescent="0.25">
      <c r="B75" s="578" t="s">
        <v>1664</v>
      </c>
      <c r="G75" s="65"/>
      <c r="H75" s="66"/>
      <c r="I75" s="66"/>
      <c r="J75" s="66"/>
      <c r="K75" s="66"/>
      <c r="L75" s="68"/>
    </row>
    <row r="76" spans="2:12" x14ac:dyDescent="0.25">
      <c r="B76" s="578"/>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1665</v>
      </c>
      <c r="C94" s="114"/>
      <c r="D94" s="115"/>
    </row>
    <row r="95" spans="2:12" x14ac:dyDescent="0.25">
      <c r="B95" s="65"/>
      <c r="C95" s="66"/>
      <c r="D95" s="68"/>
    </row>
    <row r="96" spans="2:12" x14ac:dyDescent="0.25">
      <c r="B96" s="65" t="s">
        <v>217</v>
      </c>
      <c r="C96" s="66"/>
      <c r="D96" s="78"/>
      <c r="F96" s="420"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B1:Q39"/>
  <sheetViews>
    <sheetView zoomScaleNormal="100" workbookViewId="0">
      <selection activeCell="E6" sqref="E6"/>
    </sheetView>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2:17" x14ac:dyDescent="0.25">
      <c r="B1" t="s">
        <v>1140</v>
      </c>
      <c r="E1" s="42">
        <v>45107</v>
      </c>
    </row>
    <row r="2" spans="2:17" x14ac:dyDescent="0.25">
      <c r="B2" t="s">
        <v>1141</v>
      </c>
      <c r="D2" s="41">
        <f>EOMONTH(E1,-5)</f>
        <v>44957</v>
      </c>
      <c r="E2" s="562">
        <v>44940</v>
      </c>
      <c r="F2" s="420" t="s">
        <v>1142</v>
      </c>
      <c r="M2" t="s">
        <v>1143</v>
      </c>
      <c r="O2" s="3">
        <v>2800</v>
      </c>
      <c r="Q2" t="s">
        <v>1738</v>
      </c>
    </row>
    <row r="3" spans="2:17" x14ac:dyDescent="0.25">
      <c r="B3" t="s">
        <v>1144</v>
      </c>
      <c r="D3" s="41">
        <f>EOMONTH(E2,3)</f>
        <v>45046</v>
      </c>
      <c r="E3" s="42">
        <v>45030</v>
      </c>
      <c r="M3" t="s">
        <v>89</v>
      </c>
      <c r="O3" s="3"/>
      <c r="Q3" s="420" t="s">
        <v>1151</v>
      </c>
    </row>
    <row r="4" spans="2:17" x14ac:dyDescent="0.25">
      <c r="B4" t="s">
        <v>1145</v>
      </c>
      <c r="D4" s="41">
        <f>EOMONTH(E3,3)</f>
        <v>45138</v>
      </c>
      <c r="E4" s="42">
        <v>45121</v>
      </c>
      <c r="H4" s="41"/>
      <c r="O4" s="3"/>
      <c r="Q4" s="420" t="s">
        <v>1195</v>
      </c>
    </row>
    <row r="5" spans="2:17" x14ac:dyDescent="0.25">
      <c r="B5" t="s">
        <v>1146</v>
      </c>
      <c r="D5" s="41">
        <f>EOMONTH(D4,3)</f>
        <v>45230</v>
      </c>
      <c r="E5" s="42">
        <v>45213</v>
      </c>
      <c r="O5">
        <f>SUM(O2:O4)</f>
        <v>2800</v>
      </c>
      <c r="Q5" s="420"/>
    </row>
    <row r="6" spans="2:17" x14ac:dyDescent="0.25">
      <c r="D6" s="41"/>
      <c r="M6" t="s">
        <v>1148</v>
      </c>
      <c r="O6" s="3">
        <f>O5*0.19</f>
        <v>532</v>
      </c>
      <c r="Q6" s="420" t="s">
        <v>1196</v>
      </c>
    </row>
    <row r="7" spans="2:17" x14ac:dyDescent="0.25">
      <c r="B7" t="s">
        <v>1740</v>
      </c>
      <c r="D7" s="41"/>
    </row>
    <row r="8" spans="2:17" x14ac:dyDescent="0.25">
      <c r="B8" s="420" t="s">
        <v>1194</v>
      </c>
      <c r="G8" t="s">
        <v>1147</v>
      </c>
      <c r="J8" s="14">
        <v>170</v>
      </c>
    </row>
    <row r="9" spans="2:17" x14ac:dyDescent="0.25">
      <c r="B9" t="s">
        <v>1149</v>
      </c>
      <c r="D9" s="14">
        <v>2103200</v>
      </c>
      <c r="G9" t="s">
        <v>1150</v>
      </c>
      <c r="J9" s="14">
        <v>177</v>
      </c>
      <c r="M9" t="s">
        <v>1154</v>
      </c>
      <c r="O9" s="3"/>
    </row>
    <row r="10" spans="2:17" x14ac:dyDescent="0.25">
      <c r="B10" t="s">
        <v>1152</v>
      </c>
      <c r="D10" s="14">
        <v>0</v>
      </c>
      <c r="G10" t="s">
        <v>1153</v>
      </c>
      <c r="J10" s="577">
        <f>J9-J8</f>
        <v>7</v>
      </c>
    </row>
    <row r="12" spans="2:17" x14ac:dyDescent="0.25">
      <c r="B12" t="s">
        <v>1155</v>
      </c>
      <c r="D12" s="12">
        <f>D9</f>
        <v>2103200</v>
      </c>
    </row>
    <row r="13" spans="2:17" x14ac:dyDescent="0.25">
      <c r="B13" t="s">
        <v>407</v>
      </c>
      <c r="E13" s="12">
        <f>D10</f>
        <v>0</v>
      </c>
      <c r="G13" t="str">
        <f>IF(J10&lt;0,"DR SPL - Taxation","CR SPL - Taxation")</f>
        <v>CR SPL - Taxation</v>
      </c>
      <c r="J13" s="32">
        <f>IF($J$10&lt;0,-$J$10,0)</f>
        <v>0</v>
      </c>
      <c r="K13" s="32">
        <f>IF($J$10&gt;0,$J$10,0)</f>
        <v>7</v>
      </c>
      <c r="M13" t="s">
        <v>1156</v>
      </c>
      <c r="O13">
        <f>O9</f>
        <v>0</v>
      </c>
    </row>
    <row r="14" spans="2:17" x14ac:dyDescent="0.25">
      <c r="B14" t="s">
        <v>1157</v>
      </c>
      <c r="E14" s="12">
        <f>D9-D10</f>
        <v>2103200</v>
      </c>
      <c r="G14" t="str">
        <f>IF(J10&lt;0,"CR Current tax payable","DR Current tax payable")</f>
        <v>DR Current tax payable</v>
      </c>
      <c r="J14" s="32">
        <f>IF($J$10&gt;0,$J$10,0)</f>
        <v>7</v>
      </c>
      <c r="K14" s="32">
        <f>IF($J$10&lt;0,-$J$10,0)</f>
        <v>0</v>
      </c>
      <c r="M14" t="s">
        <v>1158</v>
      </c>
      <c r="P14">
        <f>O9</f>
        <v>0</v>
      </c>
    </row>
    <row r="16" spans="2:17" x14ac:dyDescent="0.25">
      <c r="G16" t="s">
        <v>1739</v>
      </c>
    </row>
    <row r="17" spans="2:8" x14ac:dyDescent="0.25">
      <c r="B17" s="420"/>
      <c r="C17" s="420"/>
      <c r="D17" s="420"/>
      <c r="E17" s="420"/>
      <c r="G17" s="420" t="s">
        <v>1649</v>
      </c>
    </row>
    <row r="18" spans="2:8" x14ac:dyDescent="0.25">
      <c r="G18" s="420" t="s">
        <v>1648</v>
      </c>
    </row>
    <row r="19" spans="2:8" x14ac:dyDescent="0.25">
      <c r="B19" s="420"/>
      <c r="C19" s="420"/>
      <c r="D19" s="420"/>
      <c r="E19" s="420"/>
      <c r="G19" s="420" t="s">
        <v>1193</v>
      </c>
    </row>
    <row r="20" spans="2:8" x14ac:dyDescent="0.25">
      <c r="B20" s="420"/>
      <c r="C20" s="420"/>
      <c r="D20" s="420"/>
    </row>
    <row r="21" spans="2:8" x14ac:dyDescent="0.25">
      <c r="B21" s="420"/>
      <c r="C21" s="420"/>
      <c r="D21" s="420"/>
      <c r="E21" s="420"/>
    </row>
    <row r="22" spans="2:8" x14ac:dyDescent="0.25">
      <c r="B22" s="420"/>
      <c r="C22" s="420"/>
      <c r="D22" s="420"/>
      <c r="E22" s="420"/>
    </row>
    <row r="23" spans="2:8" x14ac:dyDescent="0.25">
      <c r="B23" s="626" t="s">
        <v>1741</v>
      </c>
      <c r="D23" s="420"/>
      <c r="E23" s="420"/>
      <c r="F23" s="420"/>
    </row>
    <row r="24" spans="2:8" x14ac:dyDescent="0.25">
      <c r="B24" s="420" t="s">
        <v>1742</v>
      </c>
      <c r="C24" s="420"/>
      <c r="D24" s="420"/>
      <c r="F24" s="420"/>
      <c r="G24" s="420"/>
    </row>
    <row r="25" spans="2:8" x14ac:dyDescent="0.25">
      <c r="B25" s="420"/>
      <c r="C25" s="420"/>
      <c r="D25" s="420"/>
      <c r="E25" s="420"/>
    </row>
    <row r="26" spans="2:8" x14ac:dyDescent="0.25">
      <c r="B26" s="420"/>
      <c r="C26" s="420"/>
      <c r="D26" s="420"/>
      <c r="E26" s="420"/>
      <c r="F26" s="420"/>
      <c r="G26" s="420"/>
      <c r="H26" s="420"/>
    </row>
    <row r="27" spans="2:8" x14ac:dyDescent="0.25">
      <c r="B27" s="420"/>
      <c r="C27" s="420"/>
      <c r="D27" s="420"/>
      <c r="E27" s="420"/>
      <c r="F27" s="420"/>
      <c r="G27" s="420"/>
      <c r="H27" s="420"/>
    </row>
    <row r="28" spans="2:8" x14ac:dyDescent="0.25">
      <c r="B28" s="420"/>
      <c r="C28" s="420"/>
      <c r="D28" s="420"/>
      <c r="E28" s="420"/>
    </row>
    <row r="29" spans="2:8" x14ac:dyDescent="0.25">
      <c r="B29" s="420"/>
      <c r="C29" s="420"/>
      <c r="D29" s="420"/>
      <c r="E29" s="420"/>
    </row>
    <row r="30" spans="2:8" x14ac:dyDescent="0.25">
      <c r="B30" s="420"/>
      <c r="C30" s="420"/>
      <c r="D30" s="420"/>
      <c r="F30" s="420"/>
      <c r="H30" s="676"/>
    </row>
    <row r="31" spans="2:8" x14ac:dyDescent="0.25">
      <c r="B31" s="420"/>
      <c r="C31" s="420"/>
      <c r="D31" s="420"/>
    </row>
    <row r="32" spans="2:8" x14ac:dyDescent="0.25">
      <c r="B32" s="420"/>
      <c r="C32" s="420"/>
      <c r="D32" s="420"/>
      <c r="E32" s="420"/>
      <c r="F32" s="420"/>
      <c r="G32" s="420"/>
      <c r="H32" s="420"/>
    </row>
    <row r="33" spans="2:8" x14ac:dyDescent="0.25">
      <c r="B33" s="420"/>
      <c r="C33" s="420"/>
      <c r="D33" s="420"/>
      <c r="E33" s="420"/>
      <c r="F33" s="420"/>
      <c r="G33" s="420"/>
      <c r="H33" s="420"/>
    </row>
    <row r="34" spans="2:8" x14ac:dyDescent="0.25">
      <c r="B34" s="420"/>
      <c r="C34" s="420"/>
      <c r="D34" s="420"/>
      <c r="E34" s="420"/>
      <c r="F34" s="420"/>
      <c r="G34" s="420"/>
      <c r="H34" s="420"/>
    </row>
    <row r="35" spans="2:8" x14ac:dyDescent="0.25">
      <c r="B35" s="420"/>
      <c r="C35" s="420"/>
      <c r="D35" s="420"/>
      <c r="E35" s="420"/>
    </row>
    <row r="36" spans="2:8" x14ac:dyDescent="0.25">
      <c r="B36" s="420"/>
      <c r="C36" s="420"/>
      <c r="D36" s="420"/>
      <c r="E36" s="420"/>
    </row>
    <row r="37" spans="2:8" x14ac:dyDescent="0.25">
      <c r="B37" s="420"/>
      <c r="D37" s="420"/>
    </row>
    <row r="38" spans="2:8" x14ac:dyDescent="0.25">
      <c r="D38" s="420"/>
    </row>
    <row r="39" spans="2:8" x14ac:dyDescent="0.25">
      <c r="B39" s="420"/>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Z91"/>
  <sheetViews>
    <sheetView topLeftCell="A62" zoomScale="145" zoomScaleNormal="145" workbookViewId="0">
      <selection activeCell="C68" sqref="C68"/>
    </sheetView>
  </sheetViews>
  <sheetFormatPr defaultRowHeight="15" x14ac:dyDescent="0.25"/>
  <cols>
    <col min="1" max="1" width="24.5703125" customWidth="1"/>
    <col min="2" max="2" width="19.42578125" customWidth="1"/>
    <col min="3" max="3" width="14.42578125" bestFit="1" customWidth="1"/>
    <col min="4" max="4" width="36.5703125" customWidth="1"/>
    <col min="5" max="5" width="13.140625" bestFit="1" customWidth="1"/>
  </cols>
  <sheetData>
    <row r="1" spans="1:5" hidden="1" x14ac:dyDescent="0.25"/>
    <row r="2" spans="1:5" hidden="1" x14ac:dyDescent="0.25"/>
    <row r="3" spans="1:5" hidden="1" x14ac:dyDescent="0.25">
      <c r="A3" s="1" t="s">
        <v>1513</v>
      </c>
    </row>
    <row r="4" spans="1:5" hidden="1" x14ac:dyDescent="0.25">
      <c r="A4" t="s">
        <v>1511</v>
      </c>
      <c r="B4" s="658" t="s">
        <v>1510</v>
      </c>
    </row>
    <row r="5" spans="1:5" hidden="1" x14ac:dyDescent="0.25">
      <c r="A5" s="1"/>
      <c r="B5" s="1"/>
      <c r="C5" s="1"/>
      <c r="D5" s="1"/>
    </row>
    <row r="6" spans="1:5" hidden="1" x14ac:dyDescent="0.25"/>
    <row r="7" spans="1:5" hidden="1" x14ac:dyDescent="0.25">
      <c r="A7" t="s">
        <v>12</v>
      </c>
      <c r="B7" t="s">
        <v>233</v>
      </c>
      <c r="C7" t="s">
        <v>1509</v>
      </c>
      <c r="D7" s="2" t="str">
        <f>IF($B$4="DTA","Deductible temporary difference","Taxable temporary difference")</f>
        <v>Taxable temporary difference</v>
      </c>
      <c r="E7" s="2" t="str">
        <f>IF($B$4="DTA","DTA","DTL")</f>
        <v>DTL</v>
      </c>
    </row>
    <row r="8" spans="1:5" hidden="1" x14ac:dyDescent="0.25">
      <c r="B8" s="2" t="s">
        <v>10</v>
      </c>
      <c r="C8" s="2" t="s">
        <v>10</v>
      </c>
      <c r="D8" s="2" t="s">
        <v>10</v>
      </c>
      <c r="E8" s="2" t="s">
        <v>10</v>
      </c>
    </row>
    <row r="9" spans="1:5" hidden="1" x14ac:dyDescent="0.25">
      <c r="A9" s="3"/>
      <c r="B9" s="14">
        <v>900</v>
      </c>
      <c r="C9" s="14">
        <v>820</v>
      </c>
      <c r="D9" s="12">
        <f>B9-C9</f>
        <v>80</v>
      </c>
      <c r="E9" s="10"/>
    </row>
    <row r="10" spans="1:5" hidden="1" x14ac:dyDescent="0.25">
      <c r="A10" s="659">
        <v>41364</v>
      </c>
      <c r="B10" s="14">
        <v>40000000</v>
      </c>
      <c r="C10" s="14">
        <v>28000000</v>
      </c>
      <c r="D10" s="657">
        <f>IF(B4="DTA",-(B10-C10),B10-C10)</f>
        <v>12000000</v>
      </c>
      <c r="E10" s="656">
        <f>D10*0.17</f>
        <v>2040000.0000000002</v>
      </c>
    </row>
    <row r="11" spans="1:5" hidden="1" x14ac:dyDescent="0.25">
      <c r="A11" s="3"/>
      <c r="B11" s="3"/>
      <c r="C11" s="3"/>
    </row>
    <row r="12" spans="1:5" hidden="1" x14ac:dyDescent="0.25">
      <c r="E12" s="191">
        <f>E10-E9</f>
        <v>2040000.0000000002</v>
      </c>
    </row>
    <row r="13" spans="1:5" hidden="1" x14ac:dyDescent="0.25">
      <c r="E13" s="191"/>
    </row>
    <row r="14" spans="1:5" hidden="1" x14ac:dyDescent="0.25">
      <c r="A14" t="str" cm="1">
        <f t="array" ref="A14">_xlfn.IFS(AND($B$4="DTA",E12&gt;0),"DR DTA",AND($B$4="DTA",E12&lt;0),"CR DTA",AND($B$4="DTL",E12&gt;0),"CR DTL",AND($B$4="DTL",E12&lt;0),"DR DTL")</f>
        <v>CR DTL</v>
      </c>
      <c r="B14" s="11">
        <f>IF($E$12&gt;0,$E$12,0)</f>
        <v>2040000.0000000002</v>
      </c>
      <c r="C14" s="11"/>
    </row>
    <row r="15" spans="1:5" hidden="1" x14ac:dyDescent="0.25">
      <c r="A15" t="str" cm="1">
        <f t="array" ref="A15">_xlfn.IFS(AND($B$4="DTA",E12&gt;0),"CR SPL - Taxation",AND($B$4="DTA",E12&lt;0),"DR SPL - Taxation",AND($B$4="DTL",E12&gt;0),"DR SPL - Taxation",AND($B$4="DTL",E12&lt;0),"CR SPL - Taxation")</f>
        <v>DR SPL - Taxation</v>
      </c>
      <c r="B15" s="11">
        <f>IF($E$12&gt;0,$E$12,0)</f>
        <v>2040000.0000000002</v>
      </c>
    </row>
    <row r="16" spans="1:5" hidden="1" x14ac:dyDescent="0.25"/>
    <row r="17" spans="1:5" hidden="1" x14ac:dyDescent="0.25"/>
    <row r="18" spans="1:5" ht="15" hidden="1" customHeight="1" x14ac:dyDescent="0.25">
      <c r="A18" s="1" t="s">
        <v>679</v>
      </c>
    </row>
    <row r="19" spans="1:5" ht="15" hidden="1" customHeight="1" x14ac:dyDescent="0.25">
      <c r="A19" t="s">
        <v>1511</v>
      </c>
      <c r="B19" s="658" t="s">
        <v>1510</v>
      </c>
    </row>
    <row r="20" spans="1:5" ht="15" hidden="1" customHeight="1" x14ac:dyDescent="0.25"/>
    <row r="21" spans="1:5" hidden="1" x14ac:dyDescent="0.25"/>
    <row r="22" spans="1:5" hidden="1" x14ac:dyDescent="0.25">
      <c r="A22" t="s">
        <v>12</v>
      </c>
      <c r="B22" t="s">
        <v>233</v>
      </c>
      <c r="C22" t="s">
        <v>1509</v>
      </c>
      <c r="D22" s="2" t="str">
        <f>IF($B$4="DTA","Deductible temporary difference","Taxable temporary difference")</f>
        <v>Taxable temporary difference</v>
      </c>
      <c r="E22" s="2" t="str">
        <f>IF($B$4="DTA","DTA","DTL")</f>
        <v>DTL</v>
      </c>
    </row>
    <row r="23" spans="1:5" hidden="1" x14ac:dyDescent="0.25">
      <c r="B23" s="2" t="s">
        <v>10</v>
      </c>
      <c r="C23" s="2" t="s">
        <v>10</v>
      </c>
      <c r="D23" s="2" t="s">
        <v>10</v>
      </c>
      <c r="E23" s="2" t="s">
        <v>10</v>
      </c>
    </row>
    <row r="24" spans="1:5" hidden="1" x14ac:dyDescent="0.25">
      <c r="A24" s="3"/>
      <c r="B24" s="3"/>
      <c r="C24" s="3"/>
      <c r="E24" s="10"/>
    </row>
    <row r="25" spans="1:5" hidden="1" x14ac:dyDescent="0.25">
      <c r="A25" s="42"/>
      <c r="B25" s="14"/>
      <c r="C25" s="14">
        <v>0</v>
      </c>
      <c r="D25" s="657">
        <f>IF(B16="DTA",-(B25-C25),B25-C25)</f>
        <v>0</v>
      </c>
      <c r="E25" s="656">
        <f>D25*0.19</f>
        <v>0</v>
      </c>
    </row>
    <row r="26" spans="1:5" hidden="1" x14ac:dyDescent="0.25">
      <c r="A26" s="3"/>
      <c r="B26" s="3"/>
      <c r="C26" s="3"/>
    </row>
    <row r="27" spans="1:5" hidden="1" x14ac:dyDescent="0.25">
      <c r="E27" s="191">
        <f>E25-E24</f>
        <v>0</v>
      </c>
    </row>
    <row r="28" spans="1:5" hidden="1" x14ac:dyDescent="0.25">
      <c r="E28" s="191"/>
    </row>
    <row r="29" spans="1:5" hidden="1" x14ac:dyDescent="0.25">
      <c r="A29" t="e" cm="1">
        <f t="array" ref="A29">_xlfn.IFS(AND($B$4="DTA",E27&gt;0),"DR DTA",AND($B$4="DTA",E27&lt;0),"CR DTA",AND($B$4="DTL",E27&gt;0),"CR DTL",AND($B$4="DTL",E27&lt;0),"DR DTL")</f>
        <v>#N/A</v>
      </c>
      <c r="B29" s="11">
        <f>IF($E$27&gt;0,$E$27,0)</f>
        <v>0</v>
      </c>
      <c r="C29" s="11">
        <f>IF($E$27&lt;0,-$E$27,0)</f>
        <v>0</v>
      </c>
    </row>
    <row r="30" spans="1:5" hidden="1" x14ac:dyDescent="0.25">
      <c r="A30" t="e" cm="1">
        <f t="array" ref="A30">_xlfn.IFS(AND($B$4="DTA",E27&gt;0),"CR Retained earnings",AND($B$4="DTA",E27&lt;0),"DR Retained earnings",AND($B$4="DTL",E27&gt;0),"DR Retained earnings",AND($B$4="DTL",E27&lt;0),"CR Retained earnings")</f>
        <v>#N/A</v>
      </c>
      <c r="B30" s="11">
        <f>IF($E$27&lt;0,-$E$27,0)</f>
        <v>0</v>
      </c>
      <c r="C30" s="11">
        <f>IF($E$27&gt;0,$E$27,0)</f>
        <v>0</v>
      </c>
    </row>
    <row r="31" spans="1:5" hidden="1" x14ac:dyDescent="0.25"/>
    <row r="32" spans="1:5" hidden="1" x14ac:dyDescent="0.25"/>
    <row r="33" spans="1:5" hidden="1" x14ac:dyDescent="0.25"/>
    <row r="34" spans="1:5" hidden="1" x14ac:dyDescent="0.25">
      <c r="A34" s="1" t="s">
        <v>1514</v>
      </c>
    </row>
    <row r="35" spans="1:5" hidden="1" x14ac:dyDescent="0.25">
      <c r="A35" t="s">
        <v>1511</v>
      </c>
      <c r="B35" s="658" t="s">
        <v>1512</v>
      </c>
    </row>
    <row r="36" spans="1:5" hidden="1" x14ac:dyDescent="0.25"/>
    <row r="37" spans="1:5" hidden="1" x14ac:dyDescent="0.25"/>
    <row r="38" spans="1:5" hidden="1" x14ac:dyDescent="0.25">
      <c r="A38" t="s">
        <v>12</v>
      </c>
      <c r="B38" t="s">
        <v>233</v>
      </c>
      <c r="C38" t="s">
        <v>1509</v>
      </c>
      <c r="D38" s="2" t="str">
        <f>IF($B$35="DTA","Deductible temporary difference","Taxable temporary difference")</f>
        <v>Deductible temporary difference</v>
      </c>
      <c r="E38" s="2" t="str">
        <f>IF($B$35="DTA","DTA","DTL")</f>
        <v>DTA</v>
      </c>
    </row>
    <row r="39" spans="1:5" hidden="1" x14ac:dyDescent="0.25">
      <c r="B39" s="2" t="s">
        <v>10</v>
      </c>
      <c r="C39" s="2" t="s">
        <v>10</v>
      </c>
      <c r="D39" s="2" t="s">
        <v>10</v>
      </c>
      <c r="E39" s="2" t="s">
        <v>10</v>
      </c>
    </row>
    <row r="40" spans="1:5" hidden="1" x14ac:dyDescent="0.25">
      <c r="A40" s="3"/>
      <c r="B40" s="3"/>
      <c r="C40" s="3"/>
      <c r="E40" s="10"/>
    </row>
    <row r="41" spans="1:5" hidden="1" x14ac:dyDescent="0.25">
      <c r="A41" s="3"/>
      <c r="B41" s="14"/>
      <c r="C41" s="14">
        <v>0</v>
      </c>
      <c r="D41" s="657">
        <f>IF(B32="DTA",-(B41-C41),B41-C41)</f>
        <v>0</v>
      </c>
      <c r="E41" s="656">
        <f>D41*0.19</f>
        <v>0</v>
      </c>
    </row>
    <row r="42" spans="1:5" hidden="1" x14ac:dyDescent="0.25">
      <c r="A42" s="3"/>
      <c r="B42" s="3"/>
      <c r="C42" s="3"/>
    </row>
    <row r="43" spans="1:5" hidden="1" x14ac:dyDescent="0.25">
      <c r="E43" s="191">
        <f>E41-E40</f>
        <v>0</v>
      </c>
    </row>
    <row r="44" spans="1:5" hidden="1" x14ac:dyDescent="0.25">
      <c r="E44" s="191"/>
    </row>
    <row r="45" spans="1:5" hidden="1" x14ac:dyDescent="0.25">
      <c r="A45" t="e" cm="1">
        <f t="array" ref="A45">_xlfn.IFS(AND($B$35="DTA",E43&gt;0),"DR DTA",AND($B$35="DTA",E43&lt;0),"CR DTA",AND($B$35="DTL",E43&gt;0),"CR DTL",AND($B$35="DTL",E43&lt;0),"DR DTL")</f>
        <v>#N/A</v>
      </c>
      <c r="B45" s="11">
        <f>IF($E$43&gt;0,$E$43,0)</f>
        <v>0</v>
      </c>
      <c r="C45" s="11">
        <f>IF($E$12&lt;0,-$E$12,0)</f>
        <v>0</v>
      </c>
    </row>
    <row r="46" spans="1:5" hidden="1" x14ac:dyDescent="0.25">
      <c r="A46" t="e" cm="1">
        <f t="array" ref="A46">_xlfn.IFS(AND($B$35="DTA",E43&gt;0),"CR SPL - Taxation",AND($B$35="DTA",E43&lt;0),"DR SPL - Taxation",AND($B$35="DTL",E43&gt;0),"DR SPL - Taxation",AND($B$35="DTL",E43&lt;0),"CR SPL - Taxation")</f>
        <v>#N/A</v>
      </c>
      <c r="B46" s="11">
        <f>IF($E$43&lt;0,-$E$43,0)</f>
        <v>0</v>
      </c>
      <c r="C46" s="11">
        <f>IF($E$43&gt;0,$E$43,0)</f>
        <v>0</v>
      </c>
    </row>
    <row r="47" spans="1:5" hidden="1" x14ac:dyDescent="0.25"/>
    <row r="48" spans="1:5" hidden="1" x14ac:dyDescent="0.25"/>
    <row r="49" spans="1:23" hidden="1" x14ac:dyDescent="0.25">
      <c r="A49" s="1" t="s">
        <v>1515</v>
      </c>
    </row>
    <row r="50" spans="1:23" hidden="1" x14ac:dyDescent="0.25">
      <c r="A50" t="s">
        <v>1511</v>
      </c>
      <c r="B50" s="658" t="s">
        <v>1512</v>
      </c>
    </row>
    <row r="51" spans="1:23" hidden="1" x14ac:dyDescent="0.25"/>
    <row r="52" spans="1:23" hidden="1" x14ac:dyDescent="0.25"/>
    <row r="53" spans="1:23" hidden="1" x14ac:dyDescent="0.25">
      <c r="A53" t="s">
        <v>12</v>
      </c>
      <c r="B53" t="s">
        <v>233</v>
      </c>
      <c r="C53" t="s">
        <v>1509</v>
      </c>
      <c r="D53" s="2" t="str">
        <f>IF($B$35="DTA","Deductible temporary difference","Taxable temporary difference")</f>
        <v>Deductible temporary difference</v>
      </c>
      <c r="E53" s="2" t="str">
        <f>IF($B$35="DTA","DTA","DTL")</f>
        <v>DTA</v>
      </c>
    </row>
    <row r="54" spans="1:23" hidden="1" x14ac:dyDescent="0.25">
      <c r="B54" s="2" t="s">
        <v>10</v>
      </c>
      <c r="C54" s="2" t="s">
        <v>10</v>
      </c>
      <c r="D54" s="2" t="s">
        <v>10</v>
      </c>
      <c r="E54" s="2" t="s">
        <v>10</v>
      </c>
    </row>
    <row r="55" spans="1:23" hidden="1" x14ac:dyDescent="0.25">
      <c r="A55" s="3"/>
      <c r="B55" s="3"/>
      <c r="C55" s="3"/>
      <c r="E55" s="10"/>
    </row>
    <row r="56" spans="1:23" hidden="1" x14ac:dyDescent="0.25">
      <c r="A56" s="3"/>
      <c r="B56" s="14"/>
      <c r="C56" s="14">
        <v>0</v>
      </c>
      <c r="D56" s="657">
        <f>IF(B47="DTA",-(B56-C56),B56-C56)</f>
        <v>0</v>
      </c>
      <c r="E56" s="656">
        <f>D56*0.19</f>
        <v>0</v>
      </c>
    </row>
    <row r="57" spans="1:23" hidden="1" x14ac:dyDescent="0.25">
      <c r="A57" s="3"/>
      <c r="B57" s="3"/>
      <c r="C57" s="3"/>
    </row>
    <row r="58" spans="1:23" hidden="1" x14ac:dyDescent="0.25">
      <c r="E58" s="191">
        <f>E56-E55</f>
        <v>0</v>
      </c>
    </row>
    <row r="59" spans="1:23" hidden="1" x14ac:dyDescent="0.25">
      <c r="E59" s="191"/>
    </row>
    <row r="60" spans="1:23" hidden="1" x14ac:dyDescent="0.25">
      <c r="A60" t="e" cm="1">
        <f t="array" ref="A60">_xlfn.IFS(AND($B$35="DTA",E58&gt;0),"DR DTA",AND($B$35="DTA",E58&lt;0),"CR DTA",AND($B$35="DTL",E58&gt;0),"CR DTL",AND($B$35="DTL",E58&lt;0),"DR DTL")</f>
        <v>#N/A</v>
      </c>
      <c r="B60" s="11">
        <f>IF($E$58&gt;0,$E$58,0)</f>
        <v>0</v>
      </c>
      <c r="C60" s="11">
        <f>IF($E$58&lt;0,-$E$58,0)</f>
        <v>0</v>
      </c>
    </row>
    <row r="61" spans="1:23" ht="14.45" hidden="1" customHeight="1" x14ac:dyDescent="0.25">
      <c r="A61" t="e" cm="1">
        <f t="array" ref="A61">_xlfn.IFS(AND($B$35="DTA",E58&gt;0),"CR SPL - Taxation",AND($B$35="DTA",E58&lt;0),"DR SPL - Taxation",AND($B$35="DTL",E58&gt;0),"DR SPL - Taxation",AND($B$35="DTL",E58&lt;0),"CR SPL - Taxation")</f>
        <v>#N/A</v>
      </c>
      <c r="B61" s="11">
        <f>IF($E$58&lt;0,-$E$58,0)</f>
        <v>0</v>
      </c>
      <c r="C61" s="11">
        <f>IF($E$58&gt;0,$E$58,0)</f>
        <v>0</v>
      </c>
      <c r="H61" s="832" t="s">
        <v>1841</v>
      </c>
      <c r="I61" s="832"/>
      <c r="J61" s="832"/>
      <c r="K61" s="832"/>
      <c r="L61" s="832"/>
      <c r="M61" s="832"/>
      <c r="N61" s="832"/>
      <c r="O61" s="832"/>
      <c r="P61" s="832"/>
      <c r="Q61" s="832"/>
      <c r="R61" s="832"/>
      <c r="S61" s="832"/>
      <c r="T61" s="832"/>
      <c r="U61" s="832"/>
      <c r="V61" s="832"/>
      <c r="W61" s="832"/>
    </row>
    <row r="62" spans="1:23" x14ac:dyDescent="0.25">
      <c r="H62" s="832"/>
      <c r="I62" s="832"/>
      <c r="J62" s="832"/>
      <c r="K62" s="832"/>
      <c r="L62" s="832"/>
      <c r="M62" s="832"/>
      <c r="N62" s="832"/>
      <c r="O62" s="832"/>
      <c r="P62" s="832"/>
      <c r="Q62" s="832"/>
      <c r="R62" s="832"/>
      <c r="S62" s="832"/>
      <c r="T62" s="832"/>
      <c r="U62" s="832"/>
      <c r="V62" s="832"/>
      <c r="W62" s="832"/>
    </row>
    <row r="63" spans="1:23" x14ac:dyDescent="0.25">
      <c r="H63" s="832"/>
      <c r="I63" s="832"/>
      <c r="J63" s="832"/>
      <c r="K63" s="832"/>
      <c r="L63" s="832"/>
      <c r="M63" s="832"/>
      <c r="N63" s="832"/>
      <c r="O63" s="832"/>
      <c r="P63" s="832"/>
      <c r="Q63" s="832"/>
      <c r="R63" s="832"/>
      <c r="S63" s="832"/>
      <c r="T63" s="832"/>
      <c r="U63" s="832"/>
      <c r="V63" s="832"/>
      <c r="W63" s="832"/>
    </row>
    <row r="64" spans="1:23" ht="15.75" thickBot="1" x14ac:dyDescent="0.3">
      <c r="H64" s="832"/>
      <c r="I64" s="832"/>
      <c r="J64" s="832"/>
      <c r="K64" s="832"/>
      <c r="L64" s="832"/>
      <c r="M64" s="832"/>
      <c r="N64" s="832"/>
      <c r="O64" s="832"/>
      <c r="P64" s="832"/>
      <c r="Q64" s="832"/>
      <c r="R64" s="832"/>
      <c r="S64" s="832"/>
      <c r="T64" s="832"/>
      <c r="U64" s="832"/>
      <c r="V64" s="832"/>
      <c r="W64" s="832"/>
    </row>
    <row r="65" spans="1:26" x14ac:dyDescent="0.25">
      <c r="A65" s="62"/>
      <c r="B65" s="63"/>
      <c r="C65" s="63"/>
      <c r="D65" s="63"/>
      <c r="E65" s="63"/>
      <c r="F65" s="64"/>
      <c r="H65" s="832" t="str">
        <f>"As there are £"&amp;SUMIF(D68:D77,"&gt;0")&amp;" of taxable temporary differences as at …, all deductible differences can be recognised"</f>
        <v>As there are £2400 of taxable temporary differences as at …, all deductible differences can be recognised</v>
      </c>
      <c r="I65" s="832"/>
      <c r="J65" s="832"/>
      <c r="K65" s="832"/>
      <c r="L65" s="832"/>
      <c r="M65" s="832"/>
      <c r="N65" s="832"/>
      <c r="O65" s="832"/>
      <c r="P65" s="832"/>
      <c r="Q65" s="832"/>
      <c r="R65" s="832"/>
      <c r="S65" s="832"/>
      <c r="T65" s="832"/>
      <c r="U65" s="832"/>
      <c r="V65" s="832"/>
      <c r="W65" s="832"/>
    </row>
    <row r="66" spans="1:26" x14ac:dyDescent="0.25">
      <c r="A66" s="65" t="s">
        <v>1645</v>
      </c>
      <c r="B66" s="52">
        <v>0.25</v>
      </c>
      <c r="C66" s="66"/>
      <c r="D66" s="66"/>
      <c r="E66" s="66"/>
      <c r="F66" s="68"/>
      <c r="H66" s="832"/>
      <c r="I66" s="832"/>
      <c r="J66" s="832"/>
      <c r="K66" s="832"/>
      <c r="L66" s="832"/>
      <c r="M66" s="832"/>
      <c r="N66" s="832"/>
      <c r="O66" s="832"/>
      <c r="P66" s="832"/>
      <c r="Q66" s="832"/>
      <c r="R66" s="832"/>
      <c r="S66" s="832"/>
      <c r="T66" s="832"/>
      <c r="U66" s="832"/>
      <c r="V66" s="832"/>
      <c r="W66" s="832"/>
    </row>
    <row r="67" spans="1:26" x14ac:dyDescent="0.25">
      <c r="A67" s="65"/>
      <c r="B67" s="152" t="s">
        <v>233</v>
      </c>
      <c r="C67" s="152" t="s">
        <v>1509</v>
      </c>
      <c r="D67" s="152" t="s">
        <v>1521</v>
      </c>
      <c r="E67" s="152" t="s">
        <v>1838</v>
      </c>
      <c r="F67" s="68"/>
      <c r="H67" s="832"/>
      <c r="I67" s="832"/>
      <c r="J67" s="832"/>
      <c r="K67" s="832"/>
      <c r="L67" s="832"/>
      <c r="M67" s="832"/>
      <c r="N67" s="832"/>
      <c r="O67" s="832"/>
      <c r="P67" s="832"/>
      <c r="Q67" s="832"/>
      <c r="R67" s="832"/>
      <c r="S67" s="832"/>
      <c r="T67" s="832"/>
      <c r="U67" s="832"/>
      <c r="V67" s="832"/>
      <c r="W67" s="832"/>
    </row>
    <row r="68" spans="1:26" x14ac:dyDescent="0.25">
      <c r="A68" s="65" t="s">
        <v>1526</v>
      </c>
      <c r="B68" s="70">
        <v>2400</v>
      </c>
      <c r="C68" s="70"/>
      <c r="D68" s="678">
        <f t="shared" ref="D68:D74" si="0">B68-C68</f>
        <v>2400</v>
      </c>
      <c r="E68" s="85">
        <f t="shared" ref="E68:E74" si="1">D68*$B$66</f>
        <v>600</v>
      </c>
      <c r="F68" s="68"/>
    </row>
    <row r="69" spans="1:26" x14ac:dyDescent="0.25">
      <c r="A69" s="65" t="s">
        <v>1517</v>
      </c>
      <c r="B69" s="70"/>
      <c r="C69" s="70"/>
      <c r="D69" s="678">
        <f t="shared" si="0"/>
        <v>0</v>
      </c>
      <c r="E69" s="85">
        <f t="shared" si="1"/>
        <v>0</v>
      </c>
      <c r="F69" s="68"/>
    </row>
    <row r="70" spans="1:26" x14ac:dyDescent="0.25">
      <c r="A70" s="65" t="s">
        <v>1518</v>
      </c>
      <c r="B70" s="70"/>
      <c r="C70" s="70"/>
      <c r="D70" s="678">
        <f t="shared" si="0"/>
        <v>0</v>
      </c>
      <c r="E70" s="85">
        <f t="shared" si="1"/>
        <v>0</v>
      </c>
      <c r="F70" s="68"/>
      <c r="G70" s="420"/>
    </row>
    <row r="71" spans="1:26" x14ac:dyDescent="0.25">
      <c r="A71" s="65" t="s">
        <v>1519</v>
      </c>
      <c r="B71" s="70"/>
      <c r="C71" s="70"/>
      <c r="D71" s="678">
        <f>B71-C71</f>
        <v>0</v>
      </c>
      <c r="E71" s="85">
        <f t="shared" si="1"/>
        <v>0</v>
      </c>
      <c r="F71" s="68"/>
      <c r="H71" s="420" t="s">
        <v>1840</v>
      </c>
    </row>
    <row r="72" spans="1:26" x14ac:dyDescent="0.25">
      <c r="A72" s="65" t="s">
        <v>1520</v>
      </c>
      <c r="B72" s="70"/>
      <c r="C72" s="70"/>
      <c r="D72" s="678">
        <f>B72-C72</f>
        <v>0</v>
      </c>
      <c r="E72" s="85">
        <f t="shared" si="1"/>
        <v>0</v>
      </c>
      <c r="F72" s="68"/>
      <c r="H72" s="420" t="s">
        <v>1671</v>
      </c>
    </row>
    <row r="73" spans="1:26" x14ac:dyDescent="0.25">
      <c r="A73" s="65" t="s">
        <v>1136</v>
      </c>
      <c r="B73" s="70"/>
      <c r="C73" s="70"/>
      <c r="D73" s="678">
        <f t="shared" si="0"/>
        <v>0</v>
      </c>
      <c r="E73" s="85">
        <f t="shared" si="1"/>
        <v>0</v>
      </c>
      <c r="F73" s="68"/>
      <c r="H73" s="420" t="s">
        <v>1839</v>
      </c>
    </row>
    <row r="74" spans="1:26" ht="14.45" customHeight="1" x14ac:dyDescent="0.25">
      <c r="A74" s="65" t="s">
        <v>1154</v>
      </c>
      <c r="B74" s="70"/>
      <c r="C74" s="70"/>
      <c r="D74" s="678">
        <f t="shared" si="0"/>
        <v>0</v>
      </c>
      <c r="E74" s="85">
        <f t="shared" si="1"/>
        <v>0</v>
      </c>
      <c r="F74" s="68"/>
      <c r="H74" s="832"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£2400 of taxable losses would be covered by such differences. This would leave … of losses, creating a potential DTA.</v>
      </c>
      <c r="I74" s="832"/>
      <c r="J74" s="832"/>
      <c r="K74" s="832"/>
      <c r="L74" s="832"/>
      <c r="M74" s="832"/>
      <c r="N74" s="832"/>
      <c r="O74" s="832"/>
      <c r="P74" s="832"/>
      <c r="Q74" s="832"/>
      <c r="R74" s="832"/>
      <c r="S74" s="832"/>
      <c r="T74" s="832"/>
      <c r="U74" s="832"/>
      <c r="V74" s="832"/>
      <c r="W74" s="832"/>
    </row>
    <row r="75" spans="1:26" x14ac:dyDescent="0.25">
      <c r="A75" s="65"/>
      <c r="B75" s="66"/>
      <c r="C75" s="66"/>
      <c r="D75" s="678"/>
      <c r="E75" s="265">
        <f>SUM(E68:E74)</f>
        <v>600</v>
      </c>
      <c r="F75" s="68"/>
      <c r="H75" s="832"/>
      <c r="I75" s="832"/>
      <c r="J75" s="832"/>
      <c r="K75" s="832"/>
      <c r="L75" s="832"/>
      <c r="M75" s="832"/>
      <c r="N75" s="832"/>
      <c r="O75" s="832"/>
      <c r="P75" s="832"/>
      <c r="Q75" s="832"/>
      <c r="R75" s="832"/>
      <c r="S75" s="832"/>
      <c r="T75" s="832"/>
      <c r="U75" s="832"/>
      <c r="V75" s="832"/>
      <c r="W75" s="832"/>
    </row>
    <row r="76" spans="1:26" x14ac:dyDescent="0.25">
      <c r="A76" s="65"/>
      <c r="B76" s="66"/>
      <c r="C76" s="66"/>
      <c r="D76" s="66"/>
      <c r="E76" s="66"/>
      <c r="F76" s="68"/>
      <c r="H76" s="832"/>
      <c r="I76" s="832"/>
      <c r="J76" s="832"/>
      <c r="K76" s="832"/>
      <c r="L76" s="832"/>
      <c r="M76" s="832"/>
      <c r="N76" s="832"/>
      <c r="O76" s="832"/>
      <c r="P76" s="832"/>
      <c r="Q76" s="832"/>
      <c r="R76" s="832"/>
      <c r="S76" s="832"/>
      <c r="T76" s="832"/>
      <c r="U76" s="832"/>
      <c r="V76" s="832"/>
      <c r="W76" s="832"/>
      <c r="Y76" s="420" t="s">
        <v>1669</v>
      </c>
    </row>
    <row r="77" spans="1:26" x14ac:dyDescent="0.25">
      <c r="A77" s="65" t="s">
        <v>1734</v>
      </c>
      <c r="B77" s="70"/>
      <c r="C77" s="70">
        <v>0</v>
      </c>
      <c r="D77" s="678">
        <f>B77-C77</f>
        <v>0</v>
      </c>
      <c r="E77" s="679">
        <f>D77*$B$66</f>
        <v>0</v>
      </c>
      <c r="F77" s="68"/>
      <c r="H77" s="833" t="s">
        <v>1842</v>
      </c>
      <c r="I77" s="833"/>
      <c r="J77" s="833"/>
      <c r="K77" s="833"/>
      <c r="L77" s="833"/>
      <c r="M77" s="833"/>
      <c r="N77" s="833"/>
      <c r="O77" s="833"/>
      <c r="P77" s="833"/>
      <c r="Q77" s="833"/>
      <c r="R77" s="833"/>
      <c r="S77" s="833"/>
      <c r="T77" s="833"/>
      <c r="U77" s="833"/>
      <c r="V77" s="833"/>
      <c r="W77" s="833"/>
      <c r="Z77" s="495" t="s">
        <v>1523</v>
      </c>
    </row>
    <row r="78" spans="1:26" x14ac:dyDescent="0.25">
      <c r="A78" s="65"/>
      <c r="B78" s="66"/>
      <c r="C78" s="66"/>
      <c r="D78" s="66"/>
      <c r="E78" s="66"/>
      <c r="F78" s="68"/>
      <c r="H78" s="833"/>
      <c r="I78" s="833"/>
      <c r="J78" s="833"/>
      <c r="K78" s="833"/>
      <c r="L78" s="833"/>
      <c r="M78" s="833"/>
      <c r="N78" s="833"/>
      <c r="O78" s="833"/>
      <c r="P78" s="833"/>
      <c r="Q78" s="833"/>
      <c r="R78" s="833"/>
      <c r="S78" s="833"/>
      <c r="T78" s="833"/>
      <c r="U78" s="833"/>
      <c r="V78" s="833"/>
      <c r="W78" s="833"/>
      <c r="Z78" s="420" t="s">
        <v>1524</v>
      </c>
    </row>
    <row r="79" spans="1:26" x14ac:dyDescent="0.25">
      <c r="A79" s="65" t="s">
        <v>1646</v>
      </c>
      <c r="B79" s="66"/>
      <c r="C79" s="49"/>
      <c r="D79" s="66"/>
      <c r="E79" s="66"/>
      <c r="F79" s="68"/>
      <c r="H79" s="833"/>
      <c r="I79" s="833"/>
      <c r="J79" s="833"/>
      <c r="K79" s="833"/>
      <c r="L79" s="833"/>
      <c r="M79" s="833"/>
      <c r="N79" s="833"/>
      <c r="O79" s="833"/>
      <c r="P79" s="833"/>
      <c r="Q79" s="833"/>
      <c r="R79" s="833"/>
      <c r="S79" s="833"/>
      <c r="T79" s="833"/>
      <c r="U79" s="833"/>
      <c r="V79" s="833"/>
      <c r="W79" s="833"/>
      <c r="Z79" s="420" t="s">
        <v>1525</v>
      </c>
    </row>
    <row r="80" spans="1:26" x14ac:dyDescent="0.25">
      <c r="A80" s="65" t="s">
        <v>1735</v>
      </c>
      <c r="B80" s="66"/>
      <c r="C80" s="735">
        <f>E77-C79</f>
        <v>0</v>
      </c>
      <c r="D80" s="66"/>
      <c r="E80" s="66"/>
      <c r="F80" s="68"/>
      <c r="Z80" s="420" t="s">
        <v>1670</v>
      </c>
    </row>
    <row r="81" spans="1:10" x14ac:dyDescent="0.25">
      <c r="A81" s="65"/>
      <c r="B81" s="66"/>
      <c r="C81" s="66"/>
      <c r="D81" s="66"/>
      <c r="E81" s="66"/>
      <c r="F81" s="68"/>
    </row>
    <row r="82" spans="1:10" x14ac:dyDescent="0.25">
      <c r="A82" s="65" t="s">
        <v>1522</v>
      </c>
      <c r="B82" s="66"/>
      <c r="C82" s="111">
        <f>E77+E75</f>
        <v>600</v>
      </c>
      <c r="D82" s="66"/>
      <c r="E82" s="66"/>
      <c r="F82" s="68"/>
    </row>
    <row r="83" spans="1:10" x14ac:dyDescent="0.25">
      <c r="A83" s="65" t="s">
        <v>1527</v>
      </c>
      <c r="B83" s="66"/>
      <c r="C83" s="70">
        <v>0</v>
      </c>
      <c r="D83" s="66"/>
      <c r="E83" s="66"/>
      <c r="F83" s="68"/>
    </row>
    <row r="84" spans="1:10" x14ac:dyDescent="0.25">
      <c r="A84" s="65"/>
      <c r="B84" s="66"/>
      <c r="C84" s="66"/>
      <c r="D84" s="66"/>
      <c r="E84" s="66"/>
      <c r="F84" s="68"/>
    </row>
    <row r="85" spans="1:10" x14ac:dyDescent="0.25">
      <c r="A85" s="65" t="s">
        <v>1516</v>
      </c>
      <c r="B85" s="66"/>
      <c r="C85" s="85">
        <f>C82-C83</f>
        <v>600</v>
      </c>
      <c r="D85" s="66"/>
      <c r="E85" s="66"/>
      <c r="F85" s="68"/>
      <c r="H85" s="420" t="s">
        <v>1736</v>
      </c>
    </row>
    <row r="86" spans="1:10" x14ac:dyDescent="0.25">
      <c r="A86" s="65"/>
      <c r="B86" s="66"/>
      <c r="C86" s="66"/>
      <c r="D86" s="66"/>
      <c r="E86" s="66"/>
      <c r="F86" s="68"/>
      <c r="J86" s="420"/>
    </row>
    <row r="87" spans="1:10" x14ac:dyDescent="0.25">
      <c r="A87" s="65"/>
      <c r="B87" s="66"/>
      <c r="C87" s="66"/>
      <c r="D87" s="66"/>
      <c r="E87" s="66"/>
      <c r="F87" s="68"/>
      <c r="H87" s="420"/>
    </row>
    <row r="88" spans="1:10" x14ac:dyDescent="0.25">
      <c r="A88" s="48" t="str">
        <f>IF(C85&lt;0,"DR DTL/DTA","CR DTL/DTA")</f>
        <v>CR DTL/DTA</v>
      </c>
      <c r="B88" s="66">
        <f>IF(C85&lt;0,-C85,0)</f>
        <v>0</v>
      </c>
      <c r="C88" s="17">
        <f>IF(C85&gt;0,C85,0)</f>
        <v>600</v>
      </c>
      <c r="D88" s="66"/>
      <c r="E88" s="66"/>
      <c r="F88" s="68"/>
      <c r="H88" s="420"/>
    </row>
    <row r="89" spans="1:10" x14ac:dyDescent="0.25">
      <c r="A89" s="48" t="str">
        <f>IF((E77-C79)&lt;0,"CR Revaluation surplus","DR Revaluation surplus")</f>
        <v>DR Revaluation surplus</v>
      </c>
      <c r="B89" s="17">
        <f>IF((E77-C79)&lt;0,0,E77-C79)</f>
        <v>0</v>
      </c>
      <c r="C89" s="66">
        <f>IF((E77-C79)&gt;0,0,-(E77-C79))</f>
        <v>0</v>
      </c>
      <c r="D89" s="66"/>
      <c r="E89" s="66"/>
      <c r="F89" s="68"/>
      <c r="H89" s="420"/>
    </row>
    <row r="90" spans="1:10" x14ac:dyDescent="0.25">
      <c r="A90" s="48" t="s">
        <v>1837</v>
      </c>
      <c r="B90" s="104">
        <f>IF(C85&gt;0,C88+C89-B89-B88,0)</f>
        <v>600</v>
      </c>
      <c r="C90" s="104">
        <f>IF(C85&lt;0,B88+B89-C88-C89,0)</f>
        <v>0</v>
      </c>
      <c r="D90" s="66"/>
      <c r="E90" s="66"/>
      <c r="F90" s="68"/>
      <c r="H90" s="420" t="s">
        <v>1737</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B1:N54"/>
  <sheetViews>
    <sheetView zoomScale="85" zoomScaleNormal="85" workbookViewId="0">
      <selection activeCell="N2" sqref="N2"/>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0"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79" t="s">
        <v>1979</v>
      </c>
      <c r="C4" s="781">
        <v>240</v>
      </c>
      <c r="D4" s="781">
        <v>65</v>
      </c>
      <c r="E4" s="781">
        <v>6</v>
      </c>
      <c r="F4" s="781"/>
      <c r="G4" s="14"/>
      <c r="H4" s="14"/>
      <c r="I4" s="780">
        <v>21.571428571428573</v>
      </c>
      <c r="J4" s="12">
        <f>SUM(C4:I4)</f>
        <v>332.57142857142856</v>
      </c>
      <c r="K4" s="420" t="s">
        <v>457</v>
      </c>
      <c r="L4" s="3"/>
      <c r="M4" s="781">
        <v>67</v>
      </c>
      <c r="N4" s="14">
        <v>2047</v>
      </c>
    </row>
    <row r="5" spans="2:14" x14ac:dyDescent="0.25">
      <c r="B5" s="779" t="s">
        <v>1980</v>
      </c>
      <c r="C5" s="781">
        <v>150</v>
      </c>
      <c r="D5" s="781">
        <v>60</v>
      </c>
      <c r="E5" s="781">
        <v>5</v>
      </c>
      <c r="F5" s="781"/>
      <c r="G5" s="14"/>
      <c r="H5" s="14"/>
      <c r="I5" s="780">
        <v>21.571428571428573</v>
      </c>
      <c r="J5" s="12">
        <f>SUM(C5:I5)</f>
        <v>236.57142857142858</v>
      </c>
      <c r="K5" s="420"/>
      <c r="L5" s="3"/>
      <c r="M5" s="781">
        <v>48</v>
      </c>
      <c r="N5" s="3"/>
    </row>
    <row r="6" spans="2:14" x14ac:dyDescent="0.25">
      <c r="B6" s="779" t="s">
        <v>1981</v>
      </c>
      <c r="C6" s="781">
        <v>150</v>
      </c>
      <c r="D6" s="781">
        <v>60</v>
      </c>
      <c r="E6" s="781">
        <v>6</v>
      </c>
      <c r="F6" s="781"/>
      <c r="G6" s="14"/>
      <c r="H6" s="14"/>
      <c r="I6" s="780">
        <v>21.571428571428573</v>
      </c>
      <c r="J6" s="12">
        <f>SUM(C6:I6)</f>
        <v>237.57142857142858</v>
      </c>
      <c r="K6" s="420"/>
      <c r="L6" s="27"/>
      <c r="M6" s="781">
        <v>48</v>
      </c>
      <c r="N6" s="3"/>
    </row>
    <row r="7" spans="2:14" x14ac:dyDescent="0.25">
      <c r="B7" s="779" t="s">
        <v>1982</v>
      </c>
      <c r="C7" s="781">
        <v>150</v>
      </c>
      <c r="D7" s="781">
        <v>40</v>
      </c>
      <c r="E7" s="781">
        <v>2</v>
      </c>
      <c r="F7" s="781"/>
      <c r="G7" s="14"/>
      <c r="H7" s="14"/>
      <c r="I7" s="780">
        <v>21.571428571428573</v>
      </c>
      <c r="J7" s="12">
        <f t="shared" ref="J7:J8" si="0">SUM(C7:I7)</f>
        <v>213.57142857142858</v>
      </c>
      <c r="K7" s="420"/>
      <c r="L7" s="27"/>
      <c r="M7" s="781">
        <v>48</v>
      </c>
      <c r="N7" s="3"/>
    </row>
    <row r="8" spans="2:14" x14ac:dyDescent="0.25">
      <c r="B8" s="779" t="s">
        <v>1983</v>
      </c>
      <c r="C8" s="781">
        <v>120</v>
      </c>
      <c r="D8" s="781">
        <v>60</v>
      </c>
      <c r="E8" s="781">
        <v>4</v>
      </c>
      <c r="F8" s="781"/>
      <c r="G8" s="781">
        <v>25</v>
      </c>
      <c r="H8" s="14"/>
      <c r="I8" s="780">
        <v>21.571428571428573</v>
      </c>
      <c r="J8" s="12">
        <f t="shared" si="0"/>
        <v>230.57142857142858</v>
      </c>
      <c r="K8" s="420"/>
      <c r="L8" s="27"/>
      <c r="M8" s="781">
        <v>36</v>
      </c>
      <c r="N8" s="3"/>
    </row>
    <row r="9" spans="2:14" x14ac:dyDescent="0.25">
      <c r="B9" s="779" t="s">
        <v>1984</v>
      </c>
      <c r="C9" s="781">
        <v>120</v>
      </c>
      <c r="D9" s="781">
        <v>40</v>
      </c>
      <c r="E9" s="781">
        <v>2</v>
      </c>
      <c r="F9" s="781"/>
      <c r="G9" s="781">
        <v>15</v>
      </c>
      <c r="H9" s="14"/>
      <c r="I9" s="780">
        <v>21.571428571428573</v>
      </c>
      <c r="J9" s="12">
        <f>SUM(C9:I9)</f>
        <v>198.57142857142858</v>
      </c>
      <c r="K9" s="420"/>
      <c r="L9" s="3"/>
      <c r="M9" s="781">
        <v>36</v>
      </c>
      <c r="N9" s="3"/>
    </row>
    <row r="10" spans="2:14" x14ac:dyDescent="0.25">
      <c r="B10" s="779" t="s">
        <v>1985</v>
      </c>
      <c r="C10" s="781">
        <v>80</v>
      </c>
      <c r="D10" s="781">
        <v>0</v>
      </c>
      <c r="E10" s="781">
        <v>1</v>
      </c>
      <c r="F10" s="781"/>
      <c r="G10" s="14"/>
      <c r="H10" s="14"/>
      <c r="I10" s="780">
        <v>21.571428571428573</v>
      </c>
      <c r="J10" s="12">
        <f>SUM(C10:I10)</f>
        <v>102.57142857142857</v>
      </c>
      <c r="K10" s="420"/>
      <c r="L10" s="3"/>
      <c r="M10" s="781">
        <v>22</v>
      </c>
      <c r="N10" s="3"/>
    </row>
    <row r="11" spans="2:14" x14ac:dyDescent="0.25">
      <c r="C11" s="11">
        <f t="shared" ref="C11:I11" si="1">SUM(C4:C10)</f>
        <v>1010</v>
      </c>
      <c r="D11" s="11">
        <f t="shared" si="1"/>
        <v>325</v>
      </c>
      <c r="E11" s="11">
        <f t="shared" si="1"/>
        <v>26</v>
      </c>
      <c r="F11" s="11">
        <f t="shared" si="1"/>
        <v>0</v>
      </c>
      <c r="G11" s="11">
        <f t="shared" si="1"/>
        <v>40</v>
      </c>
      <c r="H11" s="11">
        <f>SUM(H4:H10)</f>
        <v>0</v>
      </c>
      <c r="I11" s="11">
        <f t="shared" si="1"/>
        <v>151.00000000000003</v>
      </c>
      <c r="J11" s="12">
        <f>SUM(J4:J10)</f>
        <v>1552.0000000000002</v>
      </c>
      <c r="L11" s="11">
        <f>SUM(L4:L9)</f>
        <v>0</v>
      </c>
      <c r="M11" s="11">
        <f>SUM(M4:M10)</f>
        <v>305</v>
      </c>
      <c r="N11" s="11">
        <f>SUM(N4:N9)</f>
        <v>2047</v>
      </c>
    </row>
    <row r="13" spans="2:14" ht="15.75" thickBot="1" x14ac:dyDescent="0.3">
      <c r="M13" s="420" t="s">
        <v>1856</v>
      </c>
    </row>
    <row r="14" spans="2:14" x14ac:dyDescent="0.25">
      <c r="B14" s="62" t="s">
        <v>474</v>
      </c>
      <c r="C14" s="63"/>
      <c r="D14" s="64"/>
      <c r="G14" s="197"/>
    </row>
    <row r="15" spans="2:14" x14ac:dyDescent="0.25">
      <c r="B15" s="80" t="s">
        <v>466</v>
      </c>
      <c r="C15" s="66"/>
      <c r="D15" s="68"/>
    </row>
    <row r="16" spans="2:14" x14ac:dyDescent="0.25">
      <c r="B16" s="65" t="s">
        <v>445</v>
      </c>
      <c r="C16" s="66"/>
      <c r="D16" s="71">
        <f>C11</f>
        <v>1010</v>
      </c>
    </row>
    <row r="17" spans="2:12" x14ac:dyDescent="0.25">
      <c r="B17" s="65" t="s">
        <v>446</v>
      </c>
      <c r="C17" s="66"/>
      <c r="D17" s="71">
        <f>D11</f>
        <v>325</v>
      </c>
    </row>
    <row r="18" spans="2:12" ht="15.75" thickBot="1" x14ac:dyDescent="0.3">
      <c r="B18" s="65" t="s">
        <v>454</v>
      </c>
      <c r="C18" s="66"/>
      <c r="D18" s="71">
        <f>E11</f>
        <v>26</v>
      </c>
    </row>
    <row r="19" spans="2:12" x14ac:dyDescent="0.25">
      <c r="B19" s="65" t="s">
        <v>450</v>
      </c>
      <c r="C19" s="66"/>
      <c r="D19" s="71">
        <f>F11</f>
        <v>0</v>
      </c>
      <c r="F19" s="62" t="s">
        <v>470</v>
      </c>
      <c r="G19" s="63"/>
      <c r="H19" s="63"/>
      <c r="I19" s="63"/>
      <c r="J19" s="64"/>
      <c r="L19" s="495" t="s">
        <v>1855</v>
      </c>
    </row>
    <row r="20" spans="2:12" x14ac:dyDescent="0.25">
      <c r="B20" s="48" t="s">
        <v>452</v>
      </c>
      <c r="C20" s="66"/>
      <c r="D20" s="71">
        <f>+G11</f>
        <v>40</v>
      </c>
      <c r="F20" s="65"/>
      <c r="G20" s="66"/>
      <c r="H20" s="66"/>
      <c r="I20" s="66"/>
      <c r="J20" s="68"/>
    </row>
    <row r="21" spans="2:12" ht="15.75" thickBot="1" x14ac:dyDescent="0.3">
      <c r="B21" s="65"/>
      <c r="C21" s="66"/>
      <c r="D21" s="184">
        <f>SUM(D16:D20)</f>
        <v>1401</v>
      </c>
      <c r="F21" s="65"/>
      <c r="G21" s="17">
        <f>D21+H11+I11</f>
        <v>1552</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240</v>
      </c>
      <c r="F24" s="187" t="s">
        <v>455</v>
      </c>
      <c r="G24" s="63"/>
      <c r="H24" s="63"/>
      <c r="I24" s="63"/>
      <c r="J24" s="64"/>
    </row>
    <row r="25" spans="2:12" x14ac:dyDescent="0.25">
      <c r="B25" s="65" t="s">
        <v>446</v>
      </c>
      <c r="C25" s="66"/>
      <c r="D25" s="79">
        <f>SUMIF($K$4:$K$10,"Highest paid director",D4:D10)</f>
        <v>65</v>
      </c>
      <c r="F25" s="65" t="s">
        <v>472</v>
      </c>
      <c r="G25" s="66"/>
      <c r="H25" s="66"/>
      <c r="I25" s="665" t="str">
        <f>IF(G21&gt;200,"Yes","No")</f>
        <v>Yes</v>
      </c>
      <c r="J25" s="68"/>
    </row>
    <row r="26" spans="2:12" ht="15.75" thickBot="1" x14ac:dyDescent="0.3">
      <c r="B26" s="65" t="s">
        <v>454</v>
      </c>
      <c r="C26" s="66"/>
      <c r="D26" s="79">
        <f>SUMIF($K$4:$K$10,"Highest paid director",E4:E10)</f>
        <v>6</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0</v>
      </c>
    </row>
    <row r="28" spans="2:12" x14ac:dyDescent="0.25">
      <c r="B28" s="185" t="s">
        <v>467</v>
      </c>
      <c r="C28" s="66"/>
      <c r="D28" s="79">
        <f>SUMIF($K$4:$K$10,"Highest paid director",I4:I10)</f>
        <v>21.571428571428573</v>
      </c>
    </row>
    <row r="29" spans="2:12" x14ac:dyDescent="0.25">
      <c r="B29" s="65" t="s">
        <v>462</v>
      </c>
      <c r="C29" s="66"/>
      <c r="D29" s="79">
        <f>SUMIF($K$4:$K$10,"Highest paid director",H4:H10)</f>
        <v>0</v>
      </c>
    </row>
    <row r="30" spans="2:12" x14ac:dyDescent="0.25">
      <c r="B30" s="48" t="s">
        <v>458</v>
      </c>
      <c r="C30" s="66"/>
      <c r="D30" s="79">
        <f>SUMIF($K$4:$K$10,"Highest paid director",G4:G10)</f>
        <v>0</v>
      </c>
    </row>
    <row r="31" spans="2:12" ht="15.75" thickBot="1" x14ac:dyDescent="0.3">
      <c r="B31" s="179" t="s">
        <v>466</v>
      </c>
      <c r="C31" s="73"/>
      <c r="D31" s="186">
        <f>SUM(D24:D30)</f>
        <v>332.57142857142856</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1401</v>
      </c>
      <c r="E35" s="68"/>
    </row>
    <row r="36" spans="2:6" x14ac:dyDescent="0.25">
      <c r="B36" s="65" t="s">
        <v>460</v>
      </c>
      <c r="C36" s="66"/>
      <c r="D36" s="17">
        <f>H11</f>
        <v>0</v>
      </c>
      <c r="E36" s="68"/>
    </row>
    <row r="37" spans="2:6" x14ac:dyDescent="0.25">
      <c r="B37" s="65" t="s">
        <v>463</v>
      </c>
      <c r="C37" s="66"/>
      <c r="D37" s="17">
        <f>M11</f>
        <v>305</v>
      </c>
      <c r="E37" s="68"/>
      <c r="F37" s="420" t="s">
        <v>476</v>
      </c>
    </row>
    <row r="38" spans="2:6" ht="15.75" thickBot="1" x14ac:dyDescent="0.3">
      <c r="B38" s="80" t="s">
        <v>464</v>
      </c>
      <c r="C38" s="66"/>
      <c r="D38" s="94">
        <f>SUM(D35:D37)</f>
        <v>1706</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6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332.57142857142856</v>
      </c>
      <c r="E45" s="68"/>
    </row>
    <row r="46" spans="2:6" x14ac:dyDescent="0.25">
      <c r="B46" s="65" t="s">
        <v>463</v>
      </c>
      <c r="C46" s="66"/>
      <c r="D46" s="85">
        <f>SUMIF(K4:K10,"Highest paid director",M4:M10)</f>
        <v>67</v>
      </c>
      <c r="E46" s="68"/>
    </row>
    <row r="47" spans="2:6" ht="15.75" thickBot="1" x14ac:dyDescent="0.3">
      <c r="B47" s="80" t="s">
        <v>473</v>
      </c>
      <c r="C47" s="66"/>
      <c r="D47" s="94">
        <f>SUM(D45:D46)</f>
        <v>399.57142857142856</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0 of the directors have share options accruing at the year end. The exercies date of these options is xx/xx/xx</v>
      </c>
      <c r="C49" s="3"/>
      <c r="D49" s="3"/>
      <c r="E49" s="3"/>
    </row>
    <row r="50" spans="2:5" ht="15" customHeight="1" x14ac:dyDescent="0.25">
      <c r="B50" s="785" t="str">
        <f>"Compensation for loss of office of a director amounted to £"&amp;L11&amp;" which consisted of …"</f>
        <v>Compensation for loss of office of a director amounted to £0 which consisted of …</v>
      </c>
      <c r="C50" s="786"/>
      <c r="D50" s="786"/>
      <c r="E50" s="787"/>
    </row>
    <row r="51" spans="2:5" ht="13.5" customHeight="1" x14ac:dyDescent="0.25">
      <c r="B51" s="785"/>
      <c r="C51" s="786"/>
      <c r="D51" s="786"/>
      <c r="E51" s="787"/>
    </row>
    <row r="52" spans="2:5" s="183" customFormat="1" ht="15" customHeight="1" x14ac:dyDescent="0.25">
      <c r="B52" s="782" t="s">
        <v>903</v>
      </c>
      <c r="C52" s="783"/>
      <c r="D52" s="783"/>
      <c r="E52" s="784"/>
    </row>
    <row r="53" spans="2:5" x14ac:dyDescent="0.25">
      <c r="B53" s="48" t="s">
        <v>1857</v>
      </c>
      <c r="C53" s="49"/>
      <c r="D53" s="70"/>
      <c r="E53" s="100">
        <f>SUMIF(K4:K10,"Highest paid director",N4:N10)</f>
        <v>2047</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topLeftCell="A33" zoomScale="90" zoomScaleNormal="90" zoomScaleSheetLayoutView="50" workbookViewId="0">
      <selection activeCell="C59" sqref="C59"/>
    </sheetView>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5" t="s">
        <v>1400</v>
      </c>
    </row>
    <row r="2" spans="1:9" ht="15.75" thickBot="1" x14ac:dyDescent="0.3">
      <c r="A2" s="1">
        <v>1</v>
      </c>
      <c r="B2" s="157" t="s">
        <v>357</v>
      </c>
      <c r="C2" s="154"/>
      <c r="D2" s="154"/>
      <c r="E2" s="155"/>
      <c r="I2" s="420" t="s">
        <v>1906</v>
      </c>
    </row>
    <row r="3" spans="1:9" ht="15" customHeight="1" x14ac:dyDescent="0.25">
      <c r="B3" s="862" t="s">
        <v>605</v>
      </c>
      <c r="C3" s="863"/>
      <c r="D3" s="863"/>
      <c r="E3" s="864"/>
      <c r="I3" s="420" t="s">
        <v>1907</v>
      </c>
    </row>
    <row r="4" spans="1:9" ht="24.75" customHeight="1" x14ac:dyDescent="0.25">
      <c r="B4" s="865" t="s">
        <v>1917</v>
      </c>
      <c r="C4" s="866"/>
      <c r="D4" s="866"/>
      <c r="E4" s="867"/>
      <c r="I4" s="495" t="s">
        <v>1404</v>
      </c>
    </row>
    <row r="5" spans="1:9" ht="22.5" customHeight="1" x14ac:dyDescent="0.25">
      <c r="B5" s="868" t="s">
        <v>401</v>
      </c>
      <c r="C5" s="869"/>
      <c r="D5" s="869"/>
      <c r="E5" s="870"/>
      <c r="I5" s="420" t="s">
        <v>1909</v>
      </c>
    </row>
    <row r="6" spans="1:9" ht="25.5" customHeight="1" x14ac:dyDescent="0.25">
      <c r="B6" s="865" t="s">
        <v>1915</v>
      </c>
      <c r="C6" s="866"/>
      <c r="D6" s="866"/>
      <c r="E6" s="867"/>
      <c r="I6" s="420" t="s">
        <v>1402</v>
      </c>
    </row>
    <row r="7" spans="1:9" x14ac:dyDescent="0.25">
      <c r="B7" s="847" t="s">
        <v>402</v>
      </c>
      <c r="C7" s="848"/>
      <c r="D7" s="848"/>
      <c r="E7" s="849"/>
      <c r="I7" s="420" t="s">
        <v>1403</v>
      </c>
    </row>
    <row r="8" spans="1:9" ht="35.25" customHeight="1" x14ac:dyDescent="0.25">
      <c r="B8" s="859" t="s">
        <v>1916</v>
      </c>
      <c r="C8" s="860"/>
      <c r="D8" s="860"/>
      <c r="E8" s="861"/>
    </row>
    <row r="9" spans="1:9" x14ac:dyDescent="0.25">
      <c r="B9" s="847" t="s">
        <v>403</v>
      </c>
      <c r="C9" s="848"/>
      <c r="D9" s="848"/>
      <c r="E9" s="849"/>
      <c r="F9" s="844" t="s">
        <v>1904</v>
      </c>
      <c r="G9" s="833"/>
      <c r="H9" s="833"/>
    </row>
    <row r="10" spans="1:9" ht="29.25" customHeight="1" x14ac:dyDescent="0.25">
      <c r="B10" s="859" t="s">
        <v>1913</v>
      </c>
      <c r="C10" s="860"/>
      <c r="D10" s="860"/>
      <c r="E10" s="861"/>
      <c r="F10" s="844"/>
      <c r="G10" s="833"/>
      <c r="H10" s="833"/>
    </row>
    <row r="11" spans="1:9" x14ac:dyDescent="0.25">
      <c r="B11" s="847" t="s">
        <v>404</v>
      </c>
      <c r="C11" s="848"/>
      <c r="D11" s="848"/>
      <c r="E11" s="849"/>
      <c r="F11" s="845" t="s">
        <v>1905</v>
      </c>
      <c r="G11" s="846"/>
      <c r="H11" s="846"/>
    </row>
    <row r="12" spans="1:9" ht="36" customHeight="1" thickBot="1" x14ac:dyDescent="0.3">
      <c r="B12" s="856" t="s">
        <v>1914</v>
      </c>
      <c r="C12" s="857"/>
      <c r="D12" s="857"/>
      <c r="E12" s="858"/>
      <c r="F12" s="845"/>
      <c r="G12" s="846"/>
      <c r="H12" s="846"/>
    </row>
    <row r="13" spans="1:9" x14ac:dyDescent="0.25">
      <c r="B13" s="760" t="s">
        <v>1912</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850" t="s">
        <v>1779</v>
      </c>
      <c r="C16" s="851"/>
      <c r="D16" s="851"/>
      <c r="E16" s="852"/>
    </row>
    <row r="17" spans="1:10" ht="15.75" thickBot="1" x14ac:dyDescent="0.3">
      <c r="B17" s="853"/>
      <c r="C17" s="854"/>
      <c r="D17" s="854"/>
      <c r="E17" s="855"/>
    </row>
    <row r="18" spans="1:10" ht="15.75" thickBot="1" x14ac:dyDescent="0.3">
      <c r="H18" s="420" t="s">
        <v>1908</v>
      </c>
    </row>
    <row r="19" spans="1:10" ht="15.75" thickBot="1" x14ac:dyDescent="0.3">
      <c r="A19" s="1">
        <v>3</v>
      </c>
      <c r="B19" s="157" t="s">
        <v>356</v>
      </c>
      <c r="C19" s="154"/>
      <c r="D19" s="155"/>
      <c r="H19" s="157" t="s">
        <v>410</v>
      </c>
      <c r="I19" s="173"/>
      <c r="J19" s="155"/>
    </row>
    <row r="20" spans="1:10" x14ac:dyDescent="0.25">
      <c r="B20" s="62"/>
      <c r="C20" s="63"/>
      <c r="D20" s="64" t="s">
        <v>141</v>
      </c>
      <c r="E20" s="420" t="s">
        <v>1925</v>
      </c>
      <c r="F20" s="8"/>
      <c r="G20" s="8"/>
      <c r="H20" s="172" t="s">
        <v>411</v>
      </c>
      <c r="I20" s="174"/>
      <c r="J20" s="64" t="s">
        <v>412</v>
      </c>
    </row>
    <row r="21" spans="1:10" x14ac:dyDescent="0.25">
      <c r="B21" s="65" t="s">
        <v>339</v>
      </c>
      <c r="C21" s="66"/>
      <c r="D21" s="78"/>
      <c r="E21" s="420" t="s">
        <v>945</v>
      </c>
      <c r="F21" s="8"/>
      <c r="G21" s="8"/>
      <c r="H21" s="761">
        <v>0.5</v>
      </c>
      <c r="I21" s="70">
        <f>9900*9-4.5*100</f>
        <v>88650</v>
      </c>
      <c r="J21" s="79">
        <f>H21*I21</f>
        <v>44325</v>
      </c>
    </row>
    <row r="22" spans="1:10" x14ac:dyDescent="0.25">
      <c r="B22" s="65" t="s">
        <v>340</v>
      </c>
      <c r="C22" s="66"/>
      <c r="D22" s="78"/>
      <c r="E22" s="420" t="s">
        <v>1726</v>
      </c>
      <c r="F22" s="8"/>
      <c r="G22" s="8"/>
      <c r="H22" s="761">
        <v>0.35</v>
      </c>
      <c r="I22" s="70">
        <f>9800*9-4.5*200</f>
        <v>87300</v>
      </c>
      <c r="J22" s="79">
        <f>H22*I22</f>
        <v>30554.999999999996</v>
      </c>
    </row>
    <row r="23" spans="1:10" ht="15.75" thickBot="1" x14ac:dyDescent="0.3">
      <c r="B23" s="65" t="s">
        <v>338</v>
      </c>
      <c r="C23" s="66"/>
      <c r="D23" s="79">
        <f>SUM(D21:D22)</f>
        <v>0</v>
      </c>
      <c r="E23" s="420" t="s">
        <v>946</v>
      </c>
      <c r="H23" s="762">
        <v>0.15</v>
      </c>
      <c r="I23" s="763">
        <f>9700*9-4.5*300</f>
        <v>85950</v>
      </c>
      <c r="J23" s="99">
        <f>H23*I23</f>
        <v>12892.5</v>
      </c>
    </row>
    <row r="24" spans="1:10" x14ac:dyDescent="0.25">
      <c r="B24" s="65"/>
      <c r="C24" s="66"/>
      <c r="D24" s="79"/>
      <c r="E24" s="420" t="s">
        <v>1617</v>
      </c>
      <c r="J24" s="191">
        <f>SUM(J21:J23)</f>
        <v>87772.5</v>
      </c>
    </row>
    <row r="25" spans="1:10" ht="15.75" thickBot="1" x14ac:dyDescent="0.3">
      <c r="B25" s="72" t="s">
        <v>264</v>
      </c>
      <c r="C25" s="73"/>
      <c r="D25" s="670"/>
    </row>
    <row r="26" spans="1:10" ht="15.75" thickBot="1" x14ac:dyDescent="0.3">
      <c r="B26" s="66"/>
      <c r="C26" s="66"/>
    </row>
    <row r="27" spans="1:10" ht="15.75" thickBot="1" x14ac:dyDescent="0.3">
      <c r="A27" s="1">
        <v>4</v>
      </c>
      <c r="B27" s="157" t="s">
        <v>1884</v>
      </c>
      <c r="C27" s="154"/>
      <c r="D27" s="155"/>
    </row>
    <row r="28" spans="1:10" x14ac:dyDescent="0.25">
      <c r="B28" s="757" t="str">
        <f>"The transaction price of £"&amp;D23&amp;" is allocated in its entirety to the single performance obligation, being…"</f>
        <v>The transaction price of £0 is allocated in its entirety to the single performance obligation, being…</v>
      </c>
      <c r="C28" s="63"/>
      <c r="D28" s="64"/>
      <c r="H28" s="420" t="s">
        <v>1780</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0" t="s">
        <v>1618</v>
      </c>
      <c r="G35" s="420"/>
    </row>
    <row r="36" spans="1:8" x14ac:dyDescent="0.25">
      <c r="B36" s="65"/>
      <c r="C36" s="66"/>
      <c r="D36" s="68"/>
      <c r="F36" s="420" t="s">
        <v>1619</v>
      </c>
      <c r="G36" s="420"/>
    </row>
    <row r="37" spans="1:8" x14ac:dyDescent="0.25">
      <c r="B37" s="123" t="str">
        <f>IF(C35="Recognised at a point in time","Date"," ")</f>
        <v xml:space="preserve"> </v>
      </c>
      <c r="C37" s="66"/>
      <c r="D37" s="71" t="str">
        <f>IF(C35="Recognised at a point in time","Revenue recognised"," ")</f>
        <v xml:space="preserve"> </v>
      </c>
      <c r="F37" s="420" t="s">
        <v>1620</v>
      </c>
      <c r="G37" s="420"/>
    </row>
    <row r="38" spans="1:8" x14ac:dyDescent="0.25">
      <c r="B38" s="171">
        <v>44012</v>
      </c>
      <c r="C38" s="66"/>
      <c r="D38" s="71">
        <f>IF(C35="Recognised at a point in time",D23*D25,0)</f>
        <v>0</v>
      </c>
      <c r="F38" s="420" t="s">
        <v>1621</v>
      </c>
      <c r="G38" s="420"/>
    </row>
    <row r="39" spans="1:8" x14ac:dyDescent="0.25">
      <c r="B39" s="165"/>
      <c r="C39" s="66"/>
      <c r="D39" s="68"/>
    </row>
    <row r="40" spans="1:8" x14ac:dyDescent="0.25">
      <c r="B40" s="165" t="s">
        <v>382</v>
      </c>
      <c r="C40" s="66"/>
      <c r="D40" s="68"/>
      <c r="F40" s="420"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0"/>
    </row>
    <row r="41" spans="1:8" x14ac:dyDescent="0.25">
      <c r="B41" s="165" t="s">
        <v>1709</v>
      </c>
      <c r="C41" s="66"/>
      <c r="D41" s="166"/>
      <c r="F41" s="420" t="s">
        <v>948</v>
      </c>
      <c r="G41" s="420"/>
    </row>
    <row r="42" spans="1:8" x14ac:dyDescent="0.25">
      <c r="B42" s="165" t="str">
        <f>D41&amp;" to date"</f>
        <v xml:space="preserve"> to date</v>
      </c>
      <c r="C42" s="66"/>
      <c r="D42" s="78"/>
      <c r="F42" s="11"/>
      <c r="G42" s="11"/>
      <c r="H42" s="10"/>
    </row>
    <row r="43" spans="1:8" x14ac:dyDescent="0.25">
      <c r="B43" s="165" t="s">
        <v>383</v>
      </c>
      <c r="C43" s="66"/>
      <c r="D43" s="78"/>
      <c r="F43" s="765" t="s">
        <v>1927</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1710</v>
      </c>
      <c r="C50" s="36"/>
      <c r="F50" s="420"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1919</v>
      </c>
      <c r="C51" s="14"/>
      <c r="F51" s="420"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1918</v>
      </c>
      <c r="C52" s="14"/>
      <c r="F52" s="420" t="s">
        <v>1926</v>
      </c>
    </row>
    <row r="53" spans="1:7" x14ac:dyDescent="0.25">
      <c r="B53" t="s">
        <v>400</v>
      </c>
      <c r="C53" s="89">
        <f>C52-C51</f>
        <v>0</v>
      </c>
    </row>
    <row r="54" spans="1:7" x14ac:dyDescent="0.25">
      <c r="E54" s="12"/>
      <c r="F54" s="420"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0" t="s">
        <v>947</v>
      </c>
    </row>
    <row r="56" spans="1:7" x14ac:dyDescent="0.25">
      <c r="C56" s="13" t="s">
        <v>141</v>
      </c>
      <c r="D56" s="13" t="s">
        <v>141</v>
      </c>
      <c r="F56" s="420"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5" t="s">
        <v>1662</v>
      </c>
    </row>
    <row r="60" spans="1:7" x14ac:dyDescent="0.25">
      <c r="C60" s="11"/>
      <c r="D60" s="11"/>
      <c r="F60" s="420" t="s">
        <v>1663</v>
      </c>
    </row>
    <row r="61" spans="1:7" x14ac:dyDescent="0.25">
      <c r="B61" s="1" t="s">
        <v>386</v>
      </c>
      <c r="C61" s="11"/>
      <c r="D61" s="11"/>
      <c r="F61" s="420"/>
    </row>
    <row r="62" spans="1:7" x14ac:dyDescent="0.25">
      <c r="C62" s="11"/>
      <c r="D62" s="11"/>
    </row>
    <row r="63" spans="1:7" x14ac:dyDescent="0.25">
      <c r="B63" t="s">
        <v>389</v>
      </c>
      <c r="C63" s="14"/>
      <c r="F63" s="420" t="s">
        <v>343</v>
      </c>
    </row>
    <row r="64" spans="1:7" x14ac:dyDescent="0.25">
      <c r="C64" s="11"/>
      <c r="D64" s="11"/>
      <c r="F64" s="420"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3" t="s">
        <v>943</v>
      </c>
      <c r="C71" s="151"/>
      <c r="D71" s="151"/>
      <c r="E71" s="151"/>
      <c r="F71" s="151"/>
      <c r="G71" s="151"/>
    </row>
    <row r="72" spans="2:9" x14ac:dyDescent="0.25">
      <c r="B72" s="493" t="s">
        <v>1706</v>
      </c>
      <c r="C72" s="151"/>
      <c r="D72" s="151"/>
      <c r="E72" s="151"/>
      <c r="F72" s="151"/>
      <c r="G72" s="151"/>
    </row>
    <row r="73" spans="2:9" x14ac:dyDescent="0.25">
      <c r="B73" s="493"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0" t="s">
        <v>1399</v>
      </c>
    </row>
    <row r="76" spans="2:9" x14ac:dyDescent="0.25">
      <c r="B76" s="65" t="s">
        <v>1707</v>
      </c>
      <c r="C76" s="78"/>
      <c r="D76" s="12"/>
      <c r="I76" s="420" t="s">
        <v>1398</v>
      </c>
    </row>
    <row r="77" spans="2:9" x14ac:dyDescent="0.25">
      <c r="B77" s="65" t="s">
        <v>352</v>
      </c>
      <c r="C77" s="100"/>
      <c r="D77" s="12"/>
    </row>
    <row r="78" spans="2:9" x14ac:dyDescent="0.25">
      <c r="B78" s="65" t="s">
        <v>353</v>
      </c>
      <c r="C78" s="68"/>
      <c r="D78" s="12"/>
    </row>
    <row r="79" spans="2:9" ht="15.75" thickBot="1" x14ac:dyDescent="0.3">
      <c r="B79" s="153" t="s">
        <v>1920</v>
      </c>
      <c r="C79" s="99">
        <f>C76/(1+C75)^C77</f>
        <v>0</v>
      </c>
      <c r="D79" s="764" t="str">
        <f>"=("&amp;C76&amp;"/(1+"&amp;C75&amp;")^"&amp;C77&amp;")"</f>
        <v>=(/(1+)^)</v>
      </c>
    </row>
    <row r="80" spans="2:9" ht="15.75" thickBot="1" x14ac:dyDescent="0.3"/>
    <row r="81" spans="2:9" x14ac:dyDescent="0.25">
      <c r="B81" s="75" t="s">
        <v>347</v>
      </c>
      <c r="C81" s="63"/>
      <c r="D81" s="63"/>
      <c r="E81" s="63"/>
      <c r="F81" s="64"/>
      <c r="G81" s="66"/>
      <c r="H81" s="420" t="s">
        <v>1708</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2"/>
      <c r="C84" s="17">
        <f>C76/(1+C75)^C77</f>
        <v>0</v>
      </c>
      <c r="D84" s="17">
        <f>C84*$C$75</f>
        <v>0</v>
      </c>
      <c r="E84" s="66">
        <f>$C$78</f>
        <v>0</v>
      </c>
      <c r="F84" s="71">
        <f>C84+D84-E84</f>
        <v>0</v>
      </c>
      <c r="G84" s="17"/>
    </row>
    <row r="85" spans="2:9" x14ac:dyDescent="0.25">
      <c r="B85" s="492"/>
      <c r="C85" s="17">
        <f>IF(F84&gt;=$C$76,0,F84)</f>
        <v>0</v>
      </c>
      <c r="D85" s="17">
        <f>C85*$C$75</f>
        <v>0</v>
      </c>
      <c r="E85" s="66">
        <f>$C$78</f>
        <v>0</v>
      </c>
      <c r="F85" s="71">
        <f>C85+D85-E85</f>
        <v>0</v>
      </c>
      <c r="G85" s="17"/>
    </row>
    <row r="86" spans="2:9" x14ac:dyDescent="0.25">
      <c r="B86" s="690"/>
      <c r="C86" s="17">
        <f>IF(F85&gt;=$C$76,0,F85)</f>
        <v>0</v>
      </c>
      <c r="D86" s="17">
        <f>C86*$C$75</f>
        <v>0</v>
      </c>
      <c r="E86" s="66">
        <f>$C$78</f>
        <v>0</v>
      </c>
      <c r="F86" s="71">
        <f>C86+D86-E86</f>
        <v>0</v>
      </c>
      <c r="G86" s="17"/>
    </row>
    <row r="87" spans="2:9" ht="15.75" thickBot="1" x14ac:dyDescent="0.3">
      <c r="B87" s="691"/>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0"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22"/>
      <c r="D114" s="68"/>
    </row>
    <row r="115" spans="2:7" x14ac:dyDescent="0.25">
      <c r="B115" s="496" t="s">
        <v>1393</v>
      </c>
      <c r="C115" s="622"/>
      <c r="D115" s="68"/>
    </row>
    <row r="116" spans="2:7" x14ac:dyDescent="0.25">
      <c r="B116" s="496" t="s">
        <v>1394</v>
      </c>
      <c r="C116" s="622"/>
      <c r="D116" s="68"/>
    </row>
    <row r="117" spans="2:7" x14ac:dyDescent="0.25">
      <c r="B117" s="496" t="s">
        <v>1397</v>
      </c>
      <c r="C117" s="622"/>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5" t="s">
        <v>1622</v>
      </c>
      <c r="G128" s="495"/>
    </row>
    <row r="129" spans="2:8" x14ac:dyDescent="0.25">
      <c r="B129" t="s">
        <v>406</v>
      </c>
      <c r="C129" s="3"/>
      <c r="F129" s="420" t="s">
        <v>1623</v>
      </c>
      <c r="G129" s="420"/>
    </row>
    <row r="130" spans="2:8" x14ac:dyDescent="0.25">
      <c r="F130" s="420" t="s">
        <v>1624</v>
      </c>
      <c r="G130" s="420"/>
    </row>
    <row r="132" spans="2:8" x14ac:dyDescent="0.25">
      <c r="B132" t="s">
        <v>323</v>
      </c>
      <c r="C132">
        <f>C128</f>
        <v>0</v>
      </c>
    </row>
    <row r="133" spans="2:8" x14ac:dyDescent="0.25">
      <c r="B133" t="s">
        <v>408</v>
      </c>
      <c r="C133">
        <f>C129</f>
        <v>0</v>
      </c>
      <c r="F133" s="420" t="s">
        <v>1395</v>
      </c>
      <c r="G133" s="420"/>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59" t="s">
        <v>1910</v>
      </c>
      <c r="C138" s="758"/>
      <c r="D138" s="758"/>
    </row>
    <row r="139" spans="2:8" x14ac:dyDescent="0.25">
      <c r="B139" s="493" t="s">
        <v>1711</v>
      </c>
      <c r="C139" s="151"/>
      <c r="D139" s="151"/>
      <c r="H139" s="420" t="s">
        <v>1911</v>
      </c>
    </row>
    <row r="140" spans="2:8" x14ac:dyDescent="0.25">
      <c r="B140" s="420" t="s">
        <v>1712</v>
      </c>
      <c r="C140" s="151"/>
      <c r="D140" s="151"/>
    </row>
    <row r="141" spans="2:8" x14ac:dyDescent="0.25">
      <c r="B141" t="s">
        <v>1713</v>
      </c>
      <c r="D141" s="14"/>
    </row>
    <row r="142" spans="2:8" x14ac:dyDescent="0.25">
      <c r="B142" t="s">
        <v>1177</v>
      </c>
      <c r="D142" s="14">
        <v>11000</v>
      </c>
    </row>
    <row r="143" spans="2:8" x14ac:dyDescent="0.25">
      <c r="B143" t="s">
        <v>1714</v>
      </c>
      <c r="D143" s="14"/>
      <c r="F143" s="420"/>
      <c r="G143" s="420"/>
      <c r="H143" s="495" t="s">
        <v>1400</v>
      </c>
    </row>
    <row r="144" spans="2:8" x14ac:dyDescent="0.25">
      <c r="E144" s="420"/>
      <c r="H144" s="420" t="s">
        <v>1404</v>
      </c>
    </row>
    <row r="145" spans="2:8" x14ac:dyDescent="0.25">
      <c r="B145" t="s">
        <v>1181</v>
      </c>
      <c r="C145" s="11">
        <f>IF(D141&lt;&gt;0,D141,D142)</f>
        <v>11000</v>
      </c>
      <c r="D145" s="11"/>
      <c r="E145" s="420" t="s">
        <v>1178</v>
      </c>
      <c r="H145" s="420" t="s">
        <v>1401</v>
      </c>
    </row>
    <row r="146" spans="2:8" x14ac:dyDescent="0.25">
      <c r="B146" t="s">
        <v>346</v>
      </c>
      <c r="C146" s="11"/>
      <c r="D146" s="11">
        <f>IF(D141&lt;&gt;0,D141,D142)</f>
        <v>11000</v>
      </c>
      <c r="H146" s="420" t="s">
        <v>1402</v>
      </c>
    </row>
    <row r="147" spans="2:8" x14ac:dyDescent="0.25">
      <c r="C147" s="11"/>
      <c r="D147" s="11"/>
      <c r="H147" s="420" t="s">
        <v>1403</v>
      </c>
    </row>
    <row r="148" spans="2:8" x14ac:dyDescent="0.25">
      <c r="B148" t="s">
        <v>1179</v>
      </c>
      <c r="C148" s="11">
        <f>D143</f>
        <v>0</v>
      </c>
      <c r="D148" s="11"/>
    </row>
    <row r="149" spans="2:8" x14ac:dyDescent="0.25">
      <c r="B149" t="s">
        <v>1180</v>
      </c>
      <c r="C149" s="11"/>
      <c r="D149" s="11">
        <f>D143</f>
        <v>0</v>
      </c>
    </row>
    <row r="154" spans="2:8" x14ac:dyDescent="0.25">
      <c r="B154" s="1" t="s">
        <v>1715</v>
      </c>
    </row>
    <row r="155" spans="2:8" x14ac:dyDescent="0.25">
      <c r="B155" s="420" t="s">
        <v>1723</v>
      </c>
    </row>
    <row r="156" spans="2:8" x14ac:dyDescent="0.25">
      <c r="B156" t="s">
        <v>1722</v>
      </c>
    </row>
    <row r="157" spans="2:8" x14ac:dyDescent="0.25">
      <c r="B157" t="s">
        <v>1716</v>
      </c>
      <c r="C157" s="14"/>
    </row>
    <row r="158" spans="2:8" x14ac:dyDescent="0.25">
      <c r="B158" t="s">
        <v>1717</v>
      </c>
      <c r="C158" s="3"/>
    </row>
    <row r="159" spans="2:8" x14ac:dyDescent="0.25">
      <c r="B159" t="s">
        <v>1718</v>
      </c>
      <c r="C159" s="3"/>
    </row>
    <row r="161" spans="2:3" x14ac:dyDescent="0.25">
      <c r="B161" t="s">
        <v>1719</v>
      </c>
      <c r="C161" s="12" t="e">
        <f>C157/C158</f>
        <v>#DIV/0!</v>
      </c>
    </row>
    <row r="162" spans="2:3" x14ac:dyDescent="0.25">
      <c r="B162" t="s">
        <v>1720</v>
      </c>
      <c r="C162" s="12" t="e">
        <f>C157/C159</f>
        <v>#DIV/0!</v>
      </c>
    </row>
    <row r="163" spans="2:3" x14ac:dyDescent="0.25">
      <c r="B163" t="s">
        <v>1721</v>
      </c>
      <c r="C163" s="534" t="e">
        <f>C162-C161</f>
        <v>#DIV/0!</v>
      </c>
    </row>
    <row r="164" spans="2:3" x14ac:dyDescent="0.25">
      <c r="C164" s="17"/>
    </row>
    <row r="165" spans="2:3" x14ac:dyDescent="0.25">
      <c r="B165" s="420" t="s">
        <v>1724</v>
      </c>
    </row>
    <row r="166" spans="2:3" x14ac:dyDescent="0.25">
      <c r="B166" s="3" t="s">
        <v>341</v>
      </c>
      <c r="C166" s="12" t="e">
        <f>C163</f>
        <v>#DIV/0!</v>
      </c>
    </row>
    <row r="167" spans="2:3" x14ac:dyDescent="0.25">
      <c r="B167" s="3" t="s">
        <v>1725</v>
      </c>
      <c r="C167" s="12" t="e">
        <f>C163</f>
        <v>#DIV/0!</v>
      </c>
    </row>
    <row r="178" spans="2:4" x14ac:dyDescent="0.25">
      <c r="B178" t="s">
        <v>1921</v>
      </c>
      <c r="C178">
        <v>100</v>
      </c>
    </row>
    <row r="179" spans="2:4" x14ac:dyDescent="0.25">
      <c r="B179" t="s">
        <v>323</v>
      </c>
      <c r="C179">
        <v>100</v>
      </c>
    </row>
    <row r="181" spans="2:4" x14ac:dyDescent="0.25">
      <c r="B181" t="s">
        <v>323</v>
      </c>
      <c r="C181">
        <v>8</v>
      </c>
    </row>
    <row r="182" spans="2:4" x14ac:dyDescent="0.25">
      <c r="B182" t="s">
        <v>1922</v>
      </c>
    </row>
    <row r="184" spans="2:4" x14ac:dyDescent="0.25">
      <c r="B184" t="s">
        <v>1923</v>
      </c>
      <c r="D184">
        <v>145</v>
      </c>
    </row>
    <row r="185" spans="2:4" x14ac:dyDescent="0.25">
      <c r="B185" t="s">
        <v>1924</v>
      </c>
      <c r="C185">
        <v>145</v>
      </c>
    </row>
  </sheetData>
  <mergeCells count="13">
    <mergeCell ref="B3:E3"/>
    <mergeCell ref="B4:E4"/>
    <mergeCell ref="B5:E5"/>
    <mergeCell ref="B6:E6"/>
    <mergeCell ref="B8:E8"/>
    <mergeCell ref="F9:H10"/>
    <mergeCell ref="F11:H12"/>
    <mergeCell ref="B7:E7"/>
    <mergeCell ref="B11:E11"/>
    <mergeCell ref="B16:E17"/>
    <mergeCell ref="B12:E12"/>
    <mergeCell ref="B10:E10"/>
    <mergeCell ref="B9:E9"/>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A49" zoomScale="60" zoomScaleNormal="60" workbookViewId="0">
      <selection activeCell="F7" sqref="F7"/>
    </sheetView>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t="s">
        <v>148</v>
      </c>
      <c r="C2" s="194"/>
      <c r="D2" s="623" t="s">
        <v>1407</v>
      </c>
      <c r="E2" s="625" t="s">
        <v>1410</v>
      </c>
      <c r="F2" s="420"/>
      <c r="N2" s="832" t="s">
        <v>1813</v>
      </c>
      <c r="O2" s="871"/>
      <c r="P2" s="871"/>
      <c r="Q2" s="871"/>
      <c r="R2" s="871"/>
      <c r="S2" s="871"/>
      <c r="T2" s="871"/>
      <c r="U2" s="871"/>
      <c r="V2" s="871"/>
      <c r="W2" s="871"/>
    </row>
    <row r="3" spans="1:23" ht="68.099999999999994" customHeight="1" x14ac:dyDescent="0.25">
      <c r="A3" s="177" t="s">
        <v>480</v>
      </c>
      <c r="B3" s="3" t="s">
        <v>148</v>
      </c>
      <c r="C3" s="194"/>
      <c r="E3" s="420" t="s">
        <v>1567</v>
      </c>
    </row>
    <row r="4" spans="1:23" ht="59.1" customHeight="1" x14ac:dyDescent="0.25">
      <c r="A4" s="177" t="s">
        <v>481</v>
      </c>
      <c r="B4" s="3" t="s">
        <v>148</v>
      </c>
      <c r="C4" s="194"/>
      <c r="E4" s="420" t="s">
        <v>1568</v>
      </c>
    </row>
    <row r="5" spans="1:23" x14ac:dyDescent="0.25">
      <c r="U5" s="420"/>
    </row>
    <row r="6" spans="1:23" x14ac:dyDescent="0.25">
      <c r="A6" s="624" t="s">
        <v>1408</v>
      </c>
      <c r="E6" s="420" t="s">
        <v>1801</v>
      </c>
      <c r="U6" s="420"/>
    </row>
    <row r="7" spans="1:23" x14ac:dyDescent="0.25">
      <c r="A7" s="624" t="s">
        <v>1562</v>
      </c>
      <c r="U7" s="420"/>
    </row>
    <row r="8" spans="1:23" x14ac:dyDescent="0.25">
      <c r="A8" s="177" t="s">
        <v>483</v>
      </c>
      <c r="B8" s="27">
        <v>3500</v>
      </c>
    </row>
    <row r="10" spans="1:23" x14ac:dyDescent="0.25">
      <c r="H10" t="s">
        <v>1802</v>
      </c>
      <c r="K10" t="s">
        <v>1806</v>
      </c>
      <c r="L10" s="11" t="s">
        <v>1803</v>
      </c>
      <c r="M10" s="11" t="s">
        <v>193</v>
      </c>
      <c r="N10" s="11" t="s">
        <v>1804</v>
      </c>
      <c r="O10" s="11" t="s">
        <v>1805</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7"/>
    </row>
    <row r="13" spans="1:23" x14ac:dyDescent="0.25">
      <c r="A13" s="176">
        <v>1</v>
      </c>
      <c r="B13" s="14"/>
      <c r="C13" s="420"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1807</v>
      </c>
      <c r="K15" s="12"/>
      <c r="L15" s="12"/>
      <c r="M15" s="12"/>
      <c r="N15">
        <f>SUM(N12:N14)</f>
        <v>0</v>
      </c>
      <c r="O15">
        <f>SUM(O12:O14)</f>
        <v>0</v>
      </c>
    </row>
    <row r="16" spans="1:23" x14ac:dyDescent="0.25">
      <c r="E16" s="191">
        <f>SUM(E13:E15)</f>
        <v>0</v>
      </c>
    </row>
    <row r="17" spans="1:22" x14ac:dyDescent="0.25">
      <c r="D17" s="191"/>
      <c r="H17" t="s">
        <v>1808</v>
      </c>
      <c r="N17" s="3"/>
      <c r="O17" s="3"/>
    </row>
    <row r="18" spans="1:22" x14ac:dyDescent="0.25">
      <c r="A18" s="420" t="s">
        <v>980</v>
      </c>
      <c r="H18" t="s">
        <v>1809</v>
      </c>
      <c r="N18" s="3"/>
      <c r="O18" s="3"/>
    </row>
    <row r="19" spans="1:22" x14ac:dyDescent="0.25">
      <c r="A19" t="s">
        <v>488</v>
      </c>
      <c r="B19" s="11">
        <f>B8</f>
        <v>3500</v>
      </c>
      <c r="H19" t="s">
        <v>1810</v>
      </c>
      <c r="N19">
        <f>N17-N18</f>
        <v>0</v>
      </c>
      <c r="O19">
        <f>O17-O18</f>
        <v>0</v>
      </c>
    </row>
    <row r="20" spans="1:22" x14ac:dyDescent="0.25">
      <c r="A20" t="s">
        <v>485</v>
      </c>
      <c r="B20" s="190"/>
      <c r="H20" t="s">
        <v>1811</v>
      </c>
      <c r="N20">
        <f>N15-N19</f>
        <v>0</v>
      </c>
      <c r="O20">
        <f>O15-O19</f>
        <v>0</v>
      </c>
    </row>
    <row r="21" spans="1:22" x14ac:dyDescent="0.25">
      <c r="A21" t="s">
        <v>489</v>
      </c>
      <c r="B21" s="3"/>
      <c r="C21" t="s">
        <v>490</v>
      </c>
    </row>
    <row r="23" spans="1:22" x14ac:dyDescent="0.25">
      <c r="A23" t="s">
        <v>491</v>
      </c>
      <c r="B23" s="12">
        <f>B19/(1+B20)^B21</f>
        <v>3500</v>
      </c>
      <c r="C23" s="420" t="str">
        <f>"("&amp;B19&amp;"/(1 + "&amp;B20&amp;")^"&amp;B21&amp;")"</f>
        <v>(3500/(1 + )^)</v>
      </c>
      <c r="P23" s="832" t="s">
        <v>1414</v>
      </c>
      <c r="Q23" s="832"/>
      <c r="R23" s="832"/>
      <c r="S23" s="832"/>
      <c r="T23" s="832"/>
      <c r="U23" s="832"/>
      <c r="V23" s="832"/>
    </row>
    <row r="24" spans="1:22" x14ac:dyDescent="0.25">
      <c r="A24" t="s">
        <v>498</v>
      </c>
      <c r="B24" s="12">
        <f>B23*B20</f>
        <v>0</v>
      </c>
      <c r="P24" s="832"/>
      <c r="Q24" s="832"/>
      <c r="R24" s="832"/>
      <c r="S24" s="832"/>
      <c r="T24" s="832"/>
      <c r="U24" s="832"/>
      <c r="V24" s="832"/>
    </row>
    <row r="25" spans="1:22" x14ac:dyDescent="0.25">
      <c r="B25" s="12"/>
      <c r="P25" s="832"/>
      <c r="Q25" s="832"/>
      <c r="R25" s="832"/>
      <c r="S25" s="832"/>
      <c r="T25" s="832"/>
      <c r="U25" s="832"/>
      <c r="V25" s="832"/>
    </row>
    <row r="26" spans="1:22" x14ac:dyDescent="0.25">
      <c r="A26" s="420" t="s">
        <v>1409</v>
      </c>
      <c r="P26" s="832"/>
      <c r="Q26" s="832"/>
      <c r="R26" s="832"/>
      <c r="S26" s="832"/>
      <c r="T26" s="832"/>
      <c r="U26" s="832"/>
      <c r="V26" s="832"/>
    </row>
    <row r="27" spans="1:22" x14ac:dyDescent="0.25">
      <c r="A27" t="s">
        <v>492</v>
      </c>
      <c r="B27" s="12"/>
      <c r="P27" s="832"/>
      <c r="Q27" s="832"/>
      <c r="R27" s="832"/>
      <c r="S27" s="832"/>
      <c r="T27" s="832"/>
      <c r="U27" s="832"/>
      <c r="V27" s="832"/>
    </row>
    <row r="28" spans="1:22" x14ac:dyDescent="0.25">
      <c r="A28" t="s">
        <v>493</v>
      </c>
      <c r="B28" s="12">
        <f>B23</f>
        <v>3500</v>
      </c>
      <c r="P28" s="832"/>
      <c r="Q28" s="832"/>
      <c r="R28" s="832"/>
      <c r="S28" s="832"/>
      <c r="T28" s="832"/>
      <c r="U28" s="832"/>
      <c r="V28" s="832"/>
    </row>
    <row r="29" spans="1:22" x14ac:dyDescent="0.25">
      <c r="A29" t="s">
        <v>494</v>
      </c>
      <c r="C29" s="12">
        <f>B23</f>
        <v>3500</v>
      </c>
      <c r="P29" s="495" t="s">
        <v>1775</v>
      </c>
    </row>
    <row r="30" spans="1:22" x14ac:dyDescent="0.25">
      <c r="C30" s="12"/>
      <c r="P30" s="495" t="s">
        <v>1569</v>
      </c>
    </row>
    <row r="31" spans="1:22" x14ac:dyDescent="0.25">
      <c r="A31" s="420" t="s">
        <v>981</v>
      </c>
    </row>
    <row r="32" spans="1:22" x14ac:dyDescent="0.25">
      <c r="A32" t="s">
        <v>495</v>
      </c>
      <c r="P32" s="420" t="s">
        <v>1776</v>
      </c>
    </row>
    <row r="33" spans="1:3" x14ac:dyDescent="0.25">
      <c r="A33" t="s">
        <v>496</v>
      </c>
      <c r="B33" s="12">
        <f>B24</f>
        <v>0</v>
      </c>
    </row>
    <row r="34" spans="1:3" x14ac:dyDescent="0.25">
      <c r="A34" t="s">
        <v>497</v>
      </c>
      <c r="C34" s="12">
        <f>B33</f>
        <v>0</v>
      </c>
    </row>
    <row r="36" spans="1:3" x14ac:dyDescent="0.25">
      <c r="A36" s="420"/>
    </row>
    <row r="37" spans="1:3" ht="15.75" thickBot="1" x14ac:dyDescent="0.3">
      <c r="A37" s="420" t="s">
        <v>936</v>
      </c>
    </row>
    <row r="38" spans="1:3" x14ac:dyDescent="0.25">
      <c r="A38" s="627" t="s">
        <v>1411</v>
      </c>
      <c r="B38" s="63"/>
      <c r="C38" s="64"/>
    </row>
    <row r="39" spans="1:3" x14ac:dyDescent="0.25">
      <c r="A39" s="628" t="s">
        <v>1412</v>
      </c>
      <c r="B39" s="49"/>
      <c r="C39" s="68"/>
    </row>
    <row r="40" spans="1:3" x14ac:dyDescent="0.25">
      <c r="A40" s="628" t="s">
        <v>485</v>
      </c>
      <c r="B40" s="52"/>
      <c r="C40" s="68"/>
    </row>
    <row r="41" spans="1:3" x14ac:dyDescent="0.25">
      <c r="A41" s="496"/>
      <c r="B41" s="66">
        <f>B40*B39</f>
        <v>0</v>
      </c>
      <c r="C41" s="68"/>
    </row>
    <row r="42" spans="1:3" x14ac:dyDescent="0.25">
      <c r="A42" s="496"/>
      <c r="B42" s="101" t="s">
        <v>173</v>
      </c>
      <c r="C42" s="192" t="s">
        <v>165</v>
      </c>
    </row>
    <row r="43" spans="1:3" x14ac:dyDescent="0.25">
      <c r="A43" s="496"/>
      <c r="B43" s="101" t="s">
        <v>141</v>
      </c>
      <c r="C43" s="192" t="s">
        <v>141</v>
      </c>
    </row>
    <row r="44" spans="1:3" x14ac:dyDescent="0.25">
      <c r="A44" s="628" t="s">
        <v>1413</v>
      </c>
      <c r="B44" s="66">
        <f>B41</f>
        <v>0</v>
      </c>
      <c r="C44" s="68"/>
    </row>
    <row r="45" spans="1:3" ht="15.75" thickBot="1" x14ac:dyDescent="0.3">
      <c r="A45" s="629" t="s">
        <v>497</v>
      </c>
      <c r="B45" s="73"/>
      <c r="C45" s="82">
        <f>B41</f>
        <v>0</v>
      </c>
    </row>
    <row r="46" spans="1:3" x14ac:dyDescent="0.25">
      <c r="A46" s="420"/>
    </row>
    <row r="47" spans="1:3" x14ac:dyDescent="0.25">
      <c r="A47" s="420" t="s">
        <v>1772</v>
      </c>
    </row>
    <row r="48" spans="1:3" x14ac:dyDescent="0.25">
      <c r="A48" s="420" t="s">
        <v>1773</v>
      </c>
    </row>
    <row r="49" spans="1:3" ht="15.75" thickBot="1" x14ac:dyDescent="0.3">
      <c r="A49" s="420" t="s">
        <v>1774</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0"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22"/>
      <c r="C72" s="68"/>
    </row>
    <row r="73" spans="1:3" x14ac:dyDescent="0.25">
      <c r="A73" s="496" t="s">
        <v>1415</v>
      </c>
      <c r="B73" s="622"/>
      <c r="C73" s="68"/>
    </row>
    <row r="74" spans="1:3" x14ac:dyDescent="0.25">
      <c r="A74" s="496" t="s">
        <v>1416</v>
      </c>
      <c r="B74" s="622"/>
      <c r="C74" s="68"/>
    </row>
    <row r="75" spans="1:3" x14ac:dyDescent="0.25">
      <c r="A75" s="496" t="s">
        <v>1812</v>
      </c>
      <c r="B75" s="622"/>
      <c r="C75" s="68"/>
    </row>
    <row r="76" spans="1:3" x14ac:dyDescent="0.25">
      <c r="A76" s="496" t="s">
        <v>1393</v>
      </c>
      <c r="B76" s="622"/>
      <c r="C76" s="68"/>
    </row>
    <row r="77" spans="1:3" x14ac:dyDescent="0.25">
      <c r="A77" s="496" t="s">
        <v>1417</v>
      </c>
      <c r="B77" s="622"/>
      <c r="C77" s="68"/>
    </row>
    <row r="78" spans="1:3" x14ac:dyDescent="0.25">
      <c r="A78" s="496" t="s">
        <v>1397</v>
      </c>
      <c r="B78" s="622"/>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1563</v>
      </c>
      <c r="B89" s="154"/>
      <c r="C89" s="155"/>
    </row>
    <row r="90" spans="1:3" x14ac:dyDescent="0.25">
      <c r="A90" s="420" t="s">
        <v>1564</v>
      </c>
    </row>
    <row r="91" spans="1:3" x14ac:dyDescent="0.25">
      <c r="A91" s="420" t="s">
        <v>1565</v>
      </c>
    </row>
    <row r="92" spans="1:3" x14ac:dyDescent="0.25">
      <c r="A92" s="420" t="s">
        <v>1566</v>
      </c>
    </row>
    <row r="93" spans="1:3" x14ac:dyDescent="0.25">
      <c r="A93" s="420"/>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election activeCell="K15" sqref="K15:K17"/>
    </sheetView>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805" t="s">
        <v>926</v>
      </c>
      <c r="C2" s="805"/>
      <c r="D2" s="805"/>
      <c r="E2" s="805"/>
      <c r="F2" s="805"/>
      <c r="G2" s="805"/>
      <c r="H2" s="805"/>
      <c r="I2" s="805"/>
      <c r="J2" s="805"/>
    </row>
    <row r="3" spans="2:11" x14ac:dyDescent="0.25">
      <c r="B3" s="805"/>
      <c r="C3" s="805"/>
      <c r="D3" s="805"/>
      <c r="E3" s="805"/>
      <c r="F3" s="805"/>
      <c r="G3" s="805"/>
      <c r="H3" s="805"/>
      <c r="I3" s="805"/>
      <c r="J3" s="805"/>
    </row>
    <row r="4" spans="2:11" x14ac:dyDescent="0.25">
      <c r="B4" s="805"/>
      <c r="C4" s="805"/>
      <c r="D4" s="805"/>
      <c r="E4" s="805"/>
      <c r="F4" s="805"/>
      <c r="G4" s="805"/>
      <c r="H4" s="805"/>
      <c r="I4" s="805"/>
      <c r="J4" s="805"/>
    </row>
    <row r="5" spans="2:11" x14ac:dyDescent="0.25">
      <c r="B5" s="805"/>
      <c r="C5" s="805"/>
      <c r="D5" s="805"/>
      <c r="E5" s="805"/>
      <c r="F5" s="805"/>
      <c r="G5" s="805"/>
      <c r="H5" s="805"/>
      <c r="I5" s="805"/>
      <c r="J5" s="805"/>
    </row>
    <row r="6" spans="2:11" x14ac:dyDescent="0.25">
      <c r="B6" s="805"/>
      <c r="C6" s="805"/>
      <c r="D6" s="805"/>
      <c r="E6" s="805"/>
      <c r="F6" s="805"/>
      <c r="G6" s="805"/>
      <c r="H6" s="805"/>
      <c r="I6" s="805"/>
      <c r="J6" s="805"/>
    </row>
    <row r="7" spans="2:11" x14ac:dyDescent="0.25">
      <c r="B7" s="805"/>
      <c r="C7" s="805"/>
      <c r="D7" s="805"/>
      <c r="E7" s="805"/>
      <c r="F7" s="805"/>
      <c r="G7" s="805"/>
      <c r="H7" s="805"/>
      <c r="I7" s="805"/>
      <c r="J7" s="805"/>
    </row>
    <row r="8" spans="2:11" x14ac:dyDescent="0.25">
      <c r="B8" s="805"/>
      <c r="C8" s="805"/>
      <c r="D8" s="805"/>
      <c r="E8" s="805"/>
      <c r="F8" s="805"/>
      <c r="G8" s="805"/>
      <c r="H8" s="805"/>
      <c r="I8" s="805"/>
      <c r="J8" s="805"/>
    </row>
    <row r="9" spans="2:11" x14ac:dyDescent="0.25">
      <c r="B9" s="805"/>
      <c r="C9" s="805"/>
      <c r="D9" s="805"/>
      <c r="E9" s="805"/>
      <c r="F9" s="805"/>
      <c r="G9" s="805"/>
      <c r="H9" s="805"/>
      <c r="I9" s="805"/>
      <c r="J9" s="805"/>
    </row>
    <row r="10" spans="2:11" x14ac:dyDescent="0.25">
      <c r="B10" s="805"/>
      <c r="C10" s="805"/>
      <c r="D10" s="805"/>
      <c r="E10" s="805"/>
      <c r="F10" s="805"/>
      <c r="G10" s="805"/>
      <c r="H10" s="805"/>
      <c r="I10" s="805"/>
      <c r="J10" s="805"/>
    </row>
    <row r="11" spans="2:11" x14ac:dyDescent="0.25">
      <c r="B11" s="805"/>
      <c r="C11" s="805"/>
      <c r="D11" s="805"/>
      <c r="E11" s="805"/>
      <c r="F11" s="805"/>
      <c r="G11" s="805"/>
      <c r="H11" s="805"/>
      <c r="I11" s="805"/>
      <c r="J11" s="805"/>
    </row>
    <row r="12" spans="2:11" x14ac:dyDescent="0.25">
      <c r="B12" s="805"/>
      <c r="C12" s="805"/>
      <c r="D12" s="805"/>
      <c r="E12" s="805"/>
      <c r="F12" s="805"/>
      <c r="G12" s="805"/>
      <c r="H12" s="805"/>
      <c r="I12" s="805"/>
      <c r="J12" s="805"/>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0" t="s">
        <v>927</v>
      </c>
    </row>
    <row r="16" spans="2:11" x14ac:dyDescent="0.25">
      <c r="B16" s="65" t="s">
        <v>230</v>
      </c>
      <c r="C16" s="78"/>
      <c r="E16" s="65"/>
      <c r="F16" s="66" t="s">
        <v>12</v>
      </c>
      <c r="G16" s="66"/>
      <c r="H16" s="67" t="s">
        <v>238</v>
      </c>
      <c r="I16" s="68" t="s">
        <v>239</v>
      </c>
      <c r="K16" s="420" t="s">
        <v>929</v>
      </c>
    </row>
    <row r="17" spans="2:11" x14ac:dyDescent="0.25">
      <c r="B17" s="65" t="s">
        <v>227</v>
      </c>
      <c r="C17" s="79">
        <f>C15-C16</f>
        <v>0</v>
      </c>
      <c r="E17" s="65">
        <v>1</v>
      </c>
      <c r="F17" s="69">
        <v>44957</v>
      </c>
      <c r="G17" s="70"/>
      <c r="H17" s="49"/>
      <c r="I17" s="71">
        <f>IF(H17&lt;&gt;0,H17*G17,G17/((1+$G$23)^E17))</f>
        <v>0</v>
      </c>
      <c r="K17" s="420"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1777</v>
      </c>
      <c r="C33" s="739" t="e">
        <f>-C32/C30</f>
        <v>#DIV/0!</v>
      </c>
      <c r="E33" s="420"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0"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0"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0" t="s">
        <v>262</v>
      </c>
    </row>
    <row r="41" spans="2:11" x14ac:dyDescent="0.25">
      <c r="B41" s="65"/>
      <c r="C41" s="85"/>
      <c r="D41" s="66"/>
      <c r="E41" s="66"/>
      <c r="F41" s="66"/>
      <c r="G41" s="66"/>
      <c r="H41" s="66"/>
      <c r="I41" s="68"/>
      <c r="K41" s="420"/>
    </row>
    <row r="42" spans="2:11" x14ac:dyDescent="0.25">
      <c r="B42" s="65" t="s">
        <v>242</v>
      </c>
      <c r="C42" s="85">
        <f>-C32-C40</f>
        <v>0</v>
      </c>
      <c r="D42" s="88" t="s">
        <v>261</v>
      </c>
      <c r="E42" s="87" t="s">
        <v>256</v>
      </c>
      <c r="F42" s="88" t="s">
        <v>257</v>
      </c>
      <c r="G42" s="88" t="s">
        <v>258</v>
      </c>
      <c r="H42" s="66"/>
      <c r="I42" s="68"/>
      <c r="K42" s="420"/>
    </row>
    <row r="43" spans="2:11" x14ac:dyDescent="0.25">
      <c r="B43" s="65" t="s">
        <v>243</v>
      </c>
      <c r="C43" s="85"/>
      <c r="D43" s="66"/>
      <c r="E43" s="49"/>
      <c r="F43" s="66"/>
      <c r="G43" s="66"/>
      <c r="H43" s="66"/>
      <c r="I43" s="68"/>
      <c r="K43" s="420"/>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0"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0"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0" t="s">
        <v>930</v>
      </c>
    </row>
    <row r="53" spans="2:8" x14ac:dyDescent="0.25">
      <c r="B53" s="65" t="s">
        <v>249</v>
      </c>
      <c r="C53" s="96"/>
      <c r="D53" s="66"/>
      <c r="E53" s="68"/>
      <c r="F53" s="420"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0" t="s">
        <v>1778</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0"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0" t="e">
        <f>"Non current assets in the statement of financial position will also be reduced by the same amount, with a £"&amp;G44&amp;" reduction in PPE."</f>
        <v>#DIV/0!</v>
      </c>
    </row>
    <row r="70" spans="2:6" x14ac:dyDescent="0.25">
      <c r="B70" s="420" t="e">
        <f>"Intangible assets will be reduced by £"&amp;H45&amp;" in the SoFP"</f>
        <v>#DIV/0!</v>
      </c>
    </row>
    <row r="71" spans="2:6" x14ac:dyDescent="0.25">
      <c r="B71" s="420"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zoomScale="85" zoomScaleNormal="85" workbookViewId="0">
      <selection activeCell="B27" sqref="B27"/>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872" t="s">
        <v>577</v>
      </c>
      <c r="E2" s="873"/>
      <c r="K2" s="832" t="s">
        <v>620</v>
      </c>
      <c r="L2" s="832"/>
      <c r="M2" s="832"/>
      <c r="N2" s="832"/>
      <c r="O2" s="832"/>
      <c r="P2" s="832"/>
      <c r="Q2" s="832"/>
      <c r="R2" s="832"/>
      <c r="S2" s="832"/>
      <c r="T2" s="832"/>
    </row>
    <row r="3" spans="2:20" ht="72.95" customHeight="1" x14ac:dyDescent="0.25">
      <c r="B3" s="209" t="s">
        <v>555</v>
      </c>
      <c r="D3" s="62" t="s">
        <v>557</v>
      </c>
      <c r="E3" s="212" t="s">
        <v>559</v>
      </c>
      <c r="G3" t="s">
        <v>602</v>
      </c>
      <c r="K3" s="832"/>
      <c r="L3" s="832"/>
      <c r="M3" s="832"/>
      <c r="N3" s="832"/>
      <c r="O3" s="832"/>
      <c r="P3" s="832"/>
      <c r="Q3" s="832"/>
      <c r="R3" s="832"/>
      <c r="S3" s="832"/>
      <c r="T3" s="832"/>
    </row>
    <row r="4" spans="2:20" ht="32.450000000000003" customHeight="1" thickBot="1" x14ac:dyDescent="0.3">
      <c r="B4" s="210" t="s">
        <v>147</v>
      </c>
      <c r="C4" s="223" t="s">
        <v>604</v>
      </c>
      <c r="D4" s="72" t="s">
        <v>552</v>
      </c>
      <c r="E4" s="213" t="str" cm="1">
        <f t="array" ref="E4">_xlfn.IFS(E3="Intention to sell in the short term (held for trading)","FVTPL",E3="Intention to hold and then sell before maturity","FVTOCI",E3="Intention to hold to maturity","AC")</f>
        <v>AC</v>
      </c>
      <c r="G4" t="s">
        <v>603</v>
      </c>
      <c r="K4" s="832"/>
      <c r="L4" s="832"/>
      <c r="M4" s="832"/>
      <c r="N4" s="832"/>
      <c r="O4" s="832"/>
      <c r="P4" s="832"/>
      <c r="Q4" s="832"/>
      <c r="R4" s="832"/>
      <c r="S4" s="832"/>
      <c r="T4" s="832"/>
    </row>
    <row r="5" spans="2:20" ht="68.45" customHeight="1" x14ac:dyDescent="0.25">
      <c r="B5" s="211" t="str" cm="1">
        <f t="array" ref="B5">_xlfn.IFS(B4="No","Measure at FVTPL",B4="YES","The asset is held in a business model with the joint objective of collecting contractual cash flows and selling financial assets?",B4=0," ")</f>
        <v>The asset is held in a business model with the joint objective of collecting contractual cash flows and selling financial assets?</v>
      </c>
      <c r="C5" s="177" t="s">
        <v>576</v>
      </c>
      <c r="K5" s="832"/>
      <c r="L5" s="832"/>
      <c r="M5" s="832"/>
      <c r="N5" s="832"/>
      <c r="O5" s="832"/>
      <c r="P5" s="832"/>
      <c r="Q5" s="832"/>
      <c r="R5" s="832"/>
      <c r="S5" s="832"/>
      <c r="T5" s="832"/>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0" t="s">
        <v>918</v>
      </c>
    </row>
    <row r="8" spans="2:20" x14ac:dyDescent="0.25">
      <c r="B8" s="210"/>
      <c r="D8" s="420" t="s">
        <v>1814</v>
      </c>
    </row>
    <row r="9" spans="2:20" ht="15.75" thickBot="1" x14ac:dyDescent="0.3">
      <c r="B9" s="215" t="str" cm="1">
        <f t="array" ref="B9">_xlfn.IFS(B8="No","Measure at FVTPL",B8="Yes","Measure at AC",B8=0,"  ")</f>
        <v xml:space="preserve">  </v>
      </c>
      <c r="D9" s="420"/>
    </row>
    <row r="10" spans="2:20" x14ac:dyDescent="0.25">
      <c r="D10" s="420"/>
    </row>
    <row r="11" spans="2:20" x14ac:dyDescent="0.25">
      <c r="D11" s="420"/>
    </row>
    <row r="12" spans="2:20" x14ac:dyDescent="0.25">
      <c r="B12" s="1" t="s">
        <v>584</v>
      </c>
    </row>
    <row r="13" spans="2:20" x14ac:dyDescent="0.25">
      <c r="B13" t="s">
        <v>568</v>
      </c>
    </row>
    <row r="14" spans="2:20" x14ac:dyDescent="0.25">
      <c r="B14" t="s">
        <v>569</v>
      </c>
      <c r="C14" s="804">
        <v>6168</v>
      </c>
      <c r="D14" s="579" t="s">
        <v>1215</v>
      </c>
      <c r="F14" s="11"/>
    </row>
    <row r="15" spans="2:20" x14ac:dyDescent="0.25">
      <c r="B15" t="s">
        <v>1453</v>
      </c>
      <c r="C15" s="804">
        <v>6168</v>
      </c>
      <c r="D15" s="579" t="s">
        <v>1216</v>
      </c>
      <c r="F15" s="11"/>
    </row>
    <row r="16" spans="2:20" x14ac:dyDescent="0.25">
      <c r="B16" t="s">
        <v>572</v>
      </c>
      <c r="C16" s="218">
        <v>0</v>
      </c>
      <c r="D16" s="420" t="s">
        <v>920</v>
      </c>
      <c r="F16" s="11"/>
    </row>
    <row r="17" spans="2:20" x14ac:dyDescent="0.25">
      <c r="B17" t="s">
        <v>570</v>
      </c>
      <c r="C17" s="224">
        <v>0.05</v>
      </c>
      <c r="D17" s="420" t="s">
        <v>921</v>
      </c>
      <c r="F17" s="12"/>
    </row>
    <row r="18" spans="2:20" x14ac:dyDescent="0.25">
      <c r="B18" t="s">
        <v>349</v>
      </c>
      <c r="C18" s="224">
        <v>8.2000000000000003E-2</v>
      </c>
      <c r="D18" s="420" t="s">
        <v>922</v>
      </c>
    </row>
    <row r="19" spans="2:20" x14ac:dyDescent="0.25">
      <c r="B19" t="s">
        <v>571</v>
      </c>
      <c r="C19" s="36" t="s">
        <v>136</v>
      </c>
    </row>
    <row r="20" spans="2:20" ht="15.75" thickBot="1" x14ac:dyDescent="0.3">
      <c r="K20" s="832" t="s">
        <v>619</v>
      </c>
      <c r="L20" s="832"/>
      <c r="M20" s="832"/>
      <c r="N20" s="832"/>
      <c r="O20" s="832"/>
      <c r="P20" s="832"/>
      <c r="Q20" s="832"/>
      <c r="R20" s="832"/>
      <c r="S20" s="832"/>
      <c r="T20" s="832"/>
    </row>
    <row r="21" spans="2:20" ht="15.75" thickBot="1" x14ac:dyDescent="0.3">
      <c r="B21" s="145" t="s">
        <v>12</v>
      </c>
      <c r="C21" s="146" t="s">
        <v>573</v>
      </c>
      <c r="D21" s="146" t="s">
        <v>349</v>
      </c>
      <c r="E21" s="146" t="s">
        <v>586</v>
      </c>
      <c r="F21" s="147" t="s">
        <v>841</v>
      </c>
      <c r="K21" s="832"/>
      <c r="L21" s="832"/>
      <c r="M21" s="832"/>
      <c r="N21" s="832"/>
      <c r="O21" s="832"/>
      <c r="P21" s="832"/>
      <c r="Q21" s="832"/>
      <c r="R21" s="832"/>
      <c r="S21" s="832"/>
      <c r="T21" s="832"/>
    </row>
    <row r="22" spans="2:20" x14ac:dyDescent="0.25">
      <c r="B22" s="136"/>
      <c r="C22" s="137" t="s">
        <v>141</v>
      </c>
      <c r="D22" s="137" t="s">
        <v>141</v>
      </c>
      <c r="E22" s="137" t="s">
        <v>141</v>
      </c>
      <c r="F22" s="138" t="s">
        <v>141</v>
      </c>
      <c r="K22" s="832"/>
      <c r="L22" s="832"/>
      <c r="M22" s="832"/>
      <c r="N22" s="832"/>
      <c r="O22" s="832"/>
      <c r="P22" s="832"/>
      <c r="Q22" s="832"/>
      <c r="R22" s="832"/>
      <c r="S22" s="832"/>
      <c r="T22" s="832"/>
    </row>
    <row r="23" spans="2:20" x14ac:dyDescent="0.25">
      <c r="B23" s="139">
        <v>44195</v>
      </c>
      <c r="C23" s="85">
        <f>C15+C16</f>
        <v>6168</v>
      </c>
      <c r="D23" s="85">
        <f>IF($C$19="arrears",C23*$C$18,(C23+E23)*$C$18)</f>
        <v>505.77600000000001</v>
      </c>
      <c r="E23" s="106">
        <f>IF($C$19="ADVANCE",0,-$C$14*$C$17)</f>
        <v>-308.40000000000003</v>
      </c>
      <c r="F23" s="71">
        <f>C23+D23+E23</f>
        <v>6365.3760000000002</v>
      </c>
      <c r="K23" s="832"/>
      <c r="L23" s="832"/>
      <c r="M23" s="832"/>
      <c r="N23" s="832"/>
      <c r="O23" s="832"/>
      <c r="P23" s="832"/>
      <c r="Q23" s="832"/>
      <c r="R23" s="832"/>
      <c r="S23" s="832"/>
      <c r="T23" s="832"/>
    </row>
    <row r="24" spans="2:20" x14ac:dyDescent="0.25">
      <c r="B24" s="139">
        <f>B23+365</f>
        <v>44560</v>
      </c>
      <c r="C24" s="85">
        <f>F23</f>
        <v>6365.3760000000002</v>
      </c>
      <c r="D24" s="85">
        <f t="shared" ref="D24:D28" si="0">IF($C$19="arrears",C24*$C$18,(C24+E24)*$C$18)</f>
        <v>521.96083199999998</v>
      </c>
      <c r="E24" s="106">
        <f>(-$C$14*$C$17)</f>
        <v>-308.40000000000003</v>
      </c>
      <c r="F24" s="71">
        <f t="shared" ref="F24:F28" si="1">C24+D24+E24</f>
        <v>6578.9368320000003</v>
      </c>
      <c r="K24" s="832"/>
      <c r="L24" s="832"/>
      <c r="M24" s="832"/>
      <c r="N24" s="832"/>
      <c r="O24" s="832"/>
      <c r="P24" s="832"/>
      <c r="Q24" s="832"/>
      <c r="R24" s="832"/>
      <c r="S24" s="832"/>
      <c r="T24" s="832"/>
    </row>
    <row r="25" spans="2:20" x14ac:dyDescent="0.25">
      <c r="B25" s="139">
        <f>B24+365</f>
        <v>44925</v>
      </c>
      <c r="C25" s="85">
        <f>F24</f>
        <v>6578.9368320000003</v>
      </c>
      <c r="D25" s="85">
        <f t="shared" si="0"/>
        <v>539.47282022400009</v>
      </c>
      <c r="E25" s="106">
        <f>(-$C$14*$C$17)</f>
        <v>-308.40000000000003</v>
      </c>
      <c r="F25" s="71">
        <f t="shared" si="1"/>
        <v>6810.009652224001</v>
      </c>
      <c r="K25" s="832"/>
      <c r="L25" s="832"/>
      <c r="M25" s="832"/>
      <c r="N25" s="832"/>
      <c r="O25" s="832"/>
      <c r="P25" s="832"/>
      <c r="Q25" s="832"/>
      <c r="R25" s="832"/>
      <c r="S25" s="832"/>
      <c r="T25" s="832"/>
    </row>
    <row r="26" spans="2:20" x14ac:dyDescent="0.25">
      <c r="B26" s="139">
        <f>B25+365</f>
        <v>45290</v>
      </c>
      <c r="C26" s="17">
        <f>F25</f>
        <v>6810.009652224001</v>
      </c>
      <c r="D26" s="85">
        <f t="shared" si="0"/>
        <v>558.42079148236814</v>
      </c>
      <c r="E26" s="106">
        <f>(-$C$14*$C$17)</f>
        <v>-308.40000000000003</v>
      </c>
      <c r="F26" s="140">
        <f t="shared" si="1"/>
        <v>7060.0304437063696</v>
      </c>
      <c r="K26" s="832"/>
      <c r="L26" s="832"/>
      <c r="M26" s="832"/>
      <c r="N26" s="832"/>
      <c r="O26" s="832"/>
      <c r="P26" s="832"/>
      <c r="Q26" s="832"/>
      <c r="R26" s="832"/>
      <c r="S26" s="832"/>
      <c r="T26" s="832"/>
    </row>
    <row r="27" spans="2:20" x14ac:dyDescent="0.25">
      <c r="B27" s="139">
        <f>B26+365</f>
        <v>45655</v>
      </c>
      <c r="C27" s="17">
        <f>F26</f>
        <v>7060.0304437063696</v>
      </c>
      <c r="D27" s="85">
        <f t="shared" si="0"/>
        <v>578.92249638392229</v>
      </c>
      <c r="E27" s="106">
        <f>(-$C$14*$C$17)</f>
        <v>-308.40000000000003</v>
      </c>
      <c r="F27" s="71">
        <f t="shared" si="1"/>
        <v>7330.5529400902924</v>
      </c>
      <c r="K27" s="832"/>
      <c r="L27" s="832"/>
      <c r="M27" s="832"/>
      <c r="N27" s="832"/>
      <c r="O27" s="832"/>
      <c r="P27" s="832"/>
      <c r="Q27" s="832"/>
      <c r="R27" s="832"/>
      <c r="S27" s="832"/>
      <c r="T27" s="832"/>
    </row>
    <row r="28" spans="2:20" x14ac:dyDescent="0.25">
      <c r="B28" s="139">
        <f>B27+365</f>
        <v>46020</v>
      </c>
      <c r="C28" s="17">
        <f>F27</f>
        <v>7330.5529400902924</v>
      </c>
      <c r="D28" s="85">
        <f t="shared" si="0"/>
        <v>601.10534108740399</v>
      </c>
      <c r="E28" s="106">
        <f>(-$C$14*$C$17)</f>
        <v>-308.40000000000003</v>
      </c>
      <c r="F28" s="71">
        <f t="shared" si="1"/>
        <v>7623.2582811776965</v>
      </c>
      <c r="K28" s="832"/>
      <c r="L28" s="832"/>
      <c r="M28" s="832"/>
      <c r="N28" s="832"/>
      <c r="O28" s="832"/>
      <c r="P28" s="832"/>
      <c r="Q28" s="832"/>
      <c r="R28" s="832"/>
      <c r="S28" s="832"/>
      <c r="T28" s="832"/>
    </row>
    <row r="29" spans="2:20" x14ac:dyDescent="0.25">
      <c r="B29" s="65"/>
      <c r="C29" s="66"/>
      <c r="D29" s="66"/>
      <c r="E29" s="66"/>
      <c r="F29" s="68"/>
    </row>
    <row r="30" spans="2:20" x14ac:dyDescent="0.25">
      <c r="B30" s="65"/>
      <c r="C30" s="66"/>
      <c r="D30" s="66"/>
      <c r="E30" s="66"/>
      <c r="F30" s="68"/>
    </row>
    <row r="31" spans="2:20" x14ac:dyDescent="0.25">
      <c r="B31" s="65" t="s">
        <v>574</v>
      </c>
      <c r="C31" s="17">
        <f>F24</f>
        <v>6578.9368320000003</v>
      </c>
      <c r="D31" s="66"/>
      <c r="E31" s="66"/>
      <c r="F31" s="68"/>
    </row>
    <row r="32" spans="2:20" x14ac:dyDescent="0.25">
      <c r="B32" s="65" t="s">
        <v>575</v>
      </c>
      <c r="C32" s="17">
        <f>F23-F24</f>
        <v>-213.56083200000012</v>
      </c>
      <c r="D32" s="49" t="s">
        <v>314</v>
      </c>
      <c r="E32" s="17"/>
      <c r="F32" s="68"/>
    </row>
    <row r="33" spans="2:12" ht="18.600000000000001" customHeight="1" thickBot="1" x14ac:dyDescent="0.3">
      <c r="B33" s="80" t="str">
        <f>"Lease payable at year end"</f>
        <v>Lease payable at year end</v>
      </c>
      <c r="C33" s="33">
        <f>C31+C32</f>
        <v>6365.3760000000002</v>
      </c>
      <c r="D33" s="66"/>
      <c r="E33" s="66"/>
      <c r="F33" s="68"/>
    </row>
    <row r="34" spans="2:12" ht="15.75" thickBot="1" x14ac:dyDescent="0.3">
      <c r="B34" s="72"/>
      <c r="C34" s="73"/>
      <c r="D34" s="73"/>
      <c r="E34" s="73"/>
      <c r="F34" s="82"/>
    </row>
    <row r="35" spans="2:12" x14ac:dyDescent="0.25">
      <c r="B35" s="660" t="s">
        <v>1746</v>
      </c>
      <c r="C35" s="66"/>
      <c r="D35" s="66"/>
      <c r="E35" s="66"/>
      <c r="F35" s="66"/>
    </row>
    <row r="36" spans="2:12" x14ac:dyDescent="0.25">
      <c r="B36" t="s">
        <v>613</v>
      </c>
      <c r="C36" s="222">
        <f>D23</f>
        <v>505.77600000000001</v>
      </c>
      <c r="L36" s="11"/>
    </row>
    <row r="37" spans="2:12" x14ac:dyDescent="0.25">
      <c r="B37" t="s">
        <v>554</v>
      </c>
      <c r="D37" s="10">
        <f>D23</f>
        <v>505.77600000000001</v>
      </c>
      <c r="F37" s="420" t="s">
        <v>1602</v>
      </c>
      <c r="K37" s="11"/>
      <c r="L37" s="11"/>
    </row>
    <row r="38" spans="2:12" x14ac:dyDescent="0.25">
      <c r="D38" s="10"/>
      <c r="F38" s="420" t="s">
        <v>1603</v>
      </c>
      <c r="K38" s="11"/>
      <c r="L38" s="11"/>
    </row>
    <row r="39" spans="2:12" x14ac:dyDescent="0.25">
      <c r="B39" t="s">
        <v>614</v>
      </c>
      <c r="C39" s="32">
        <f>-E23</f>
        <v>308.40000000000003</v>
      </c>
      <c r="D39" s="10"/>
      <c r="F39" s="420" t="s">
        <v>1604</v>
      </c>
      <c r="K39" s="11"/>
      <c r="L39" s="11"/>
    </row>
    <row r="40" spans="2:12" x14ac:dyDescent="0.25">
      <c r="B40" t="s">
        <v>615</v>
      </c>
      <c r="D40" s="10">
        <f>-E23</f>
        <v>308.40000000000003</v>
      </c>
      <c r="F40" s="420" t="s">
        <v>1605</v>
      </c>
      <c r="K40" s="11"/>
      <c r="L40" s="11"/>
    </row>
    <row r="41" spans="2:12" x14ac:dyDescent="0.25">
      <c r="D41" s="10"/>
      <c r="K41" s="11"/>
      <c r="L41" s="11"/>
    </row>
    <row r="42" spans="2:12" x14ac:dyDescent="0.25">
      <c r="B42" t="s">
        <v>599</v>
      </c>
      <c r="C42">
        <f>4000*1.05</f>
        <v>4200</v>
      </c>
      <c r="F42" s="420" t="s">
        <v>1606</v>
      </c>
      <c r="K42" s="11"/>
      <c r="L42" s="11"/>
    </row>
    <row r="43" spans="2:12" x14ac:dyDescent="0.25">
      <c r="B43" t="s">
        <v>553</v>
      </c>
      <c r="D43">
        <v>4000</v>
      </c>
      <c r="K43" s="11"/>
      <c r="L43" s="11"/>
    </row>
    <row r="44" spans="2:12" x14ac:dyDescent="0.25">
      <c r="B44" t="s">
        <v>598</v>
      </c>
      <c r="D44">
        <f>+C42-D43</f>
        <v>200</v>
      </c>
      <c r="F44" s="420" t="s">
        <v>1607</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0" t="s">
        <v>852</v>
      </c>
      <c r="G50" s="1" t="s">
        <v>1743</v>
      </c>
    </row>
    <row r="51" spans="2:11" x14ac:dyDescent="0.25">
      <c r="B51" s="420" t="s">
        <v>923</v>
      </c>
      <c r="G51" s="420" t="s">
        <v>1754</v>
      </c>
    </row>
    <row r="52" spans="2:11" x14ac:dyDescent="0.25">
      <c r="B52" s="420" t="s">
        <v>912</v>
      </c>
      <c r="G52" s="420" t="s">
        <v>1755</v>
      </c>
    </row>
    <row r="53" spans="2:11" x14ac:dyDescent="0.25">
      <c r="B53" s="420" t="s">
        <v>853</v>
      </c>
    </row>
    <row r="54" spans="2:11" x14ac:dyDescent="0.25">
      <c r="B54" s="420"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1744</v>
      </c>
      <c r="I57" s="14">
        <f>3.36*300000</f>
        <v>1008000</v>
      </c>
      <c r="J57" t="str">
        <f ca="1">IFERROR(_xlfn.FORMULATEXT(I57)," ")</f>
        <v>=3.36*300000</v>
      </c>
    </row>
    <row r="58" spans="2:11" x14ac:dyDescent="0.25">
      <c r="B58" t="s">
        <v>842</v>
      </c>
      <c r="D58" s="11">
        <f>D57-D56</f>
        <v>900000</v>
      </c>
      <c r="G58" t="s">
        <v>1745</v>
      </c>
      <c r="I58" s="11">
        <f>I57-I56</f>
        <v>108000</v>
      </c>
    </row>
    <row r="59" spans="2:11" x14ac:dyDescent="0.25">
      <c r="D59" s="11"/>
      <c r="I59" s="11"/>
    </row>
    <row r="60" spans="2:11" x14ac:dyDescent="0.25">
      <c r="B60" t="s">
        <v>854</v>
      </c>
      <c r="D60" s="27">
        <v>980000</v>
      </c>
    </row>
    <row r="61" spans="2:11" x14ac:dyDescent="0.25">
      <c r="B61" t="s">
        <v>195</v>
      </c>
      <c r="D61" s="20">
        <f>D60-D57</f>
        <v>80000</v>
      </c>
      <c r="G61" s="3" t="s">
        <v>1815</v>
      </c>
      <c r="H61" s="32">
        <f>IF($I$58&lt;0,-$I$58,0)</f>
        <v>0</v>
      </c>
      <c r="I61" s="32">
        <f>IF($I$58&gt;0,$I$58,0)</f>
        <v>108000</v>
      </c>
      <c r="K61" s="420" t="s">
        <v>1816</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0" t="s">
        <v>1160</v>
      </c>
      <c r="K63" s="420"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2"/>
    </row>
    <row r="78" spans="2:10" x14ac:dyDescent="0.25">
      <c r="D78" s="10"/>
    </row>
    <row r="79" spans="2:10" x14ac:dyDescent="0.25">
      <c r="D79" s="10"/>
    </row>
    <row r="80" spans="2:10" x14ac:dyDescent="0.25">
      <c r="C80" s="32"/>
      <c r="D80" s="10"/>
    </row>
    <row r="81" spans="2:5" x14ac:dyDescent="0.25">
      <c r="D81" s="10"/>
    </row>
    <row r="82" spans="2:5" x14ac:dyDescent="0.25">
      <c r="B82" s="1" t="s">
        <v>1817</v>
      </c>
    </row>
    <row r="83" spans="2:5" x14ac:dyDescent="0.25">
      <c r="B83" s="420" t="s">
        <v>852</v>
      </c>
    </row>
    <row r="84" spans="2:5" x14ac:dyDescent="0.25">
      <c r="B84" s="420" t="s">
        <v>923</v>
      </c>
    </row>
    <row r="85" spans="2:5" x14ac:dyDescent="0.25">
      <c r="B85" s="420" t="s">
        <v>1818</v>
      </c>
    </row>
    <row r="86" spans="2:5" x14ac:dyDescent="0.25">
      <c r="B86" s="420" t="s">
        <v>853</v>
      </c>
    </row>
    <row r="87" spans="2:5" x14ac:dyDescent="0.25">
      <c r="B87" s="420"/>
    </row>
    <row r="89" spans="2:5" x14ac:dyDescent="0.25">
      <c r="B89" t="s">
        <v>843</v>
      </c>
      <c r="D89" s="14">
        <f>400*2.4</f>
        <v>960</v>
      </c>
      <c r="E89" t="str">
        <f ca="1">IFERROR(_xlfn.FORMULATEXT(D89)," ")</f>
        <v>=400*2.4</v>
      </c>
    </row>
    <row r="90" spans="2:5" x14ac:dyDescent="0.25">
      <c r="B90" t="s">
        <v>844</v>
      </c>
      <c r="D90" s="14">
        <f>2.85*400</f>
        <v>1140</v>
      </c>
      <c r="E90" t="str">
        <f ca="1">IFERROR(_xlfn.FORMULATEXT(D90)," ")</f>
        <v>=2.85*400</v>
      </c>
    </row>
    <row r="91" spans="2:5" hidden="1" x14ac:dyDescent="0.25">
      <c r="B91" t="s">
        <v>842</v>
      </c>
      <c r="D91" s="11">
        <f>D90-D89</f>
        <v>180</v>
      </c>
    </row>
    <row r="92" spans="2:5" x14ac:dyDescent="0.25">
      <c r="D92" s="11"/>
    </row>
    <row r="93" spans="2:5" x14ac:dyDescent="0.25">
      <c r="B93" t="s">
        <v>854</v>
      </c>
      <c r="D93" s="27">
        <f>2.63*400</f>
        <v>1052</v>
      </c>
    </row>
    <row r="94" spans="2:5" x14ac:dyDescent="0.25">
      <c r="B94" t="s">
        <v>195</v>
      </c>
      <c r="D94" s="20">
        <f>D93-D90</f>
        <v>-88</v>
      </c>
    </row>
    <row r="96" spans="2:5" x14ac:dyDescent="0.25">
      <c r="B96" s="3" t="s">
        <v>1821</v>
      </c>
      <c r="C96" s="32">
        <f>IF($D$94&lt;0,-$D$94,0)</f>
        <v>88</v>
      </c>
      <c r="D96" s="10">
        <f>IF($D$94&gt;0,$D$94,0)</f>
        <v>0</v>
      </c>
      <c r="E96" s="420"/>
    </row>
    <row r="97" spans="2:5" x14ac:dyDescent="0.25">
      <c r="B97" t="s">
        <v>884</v>
      </c>
      <c r="C97" s="10">
        <f>IF($D$94&gt;0,$D$94,0)</f>
        <v>0</v>
      </c>
      <c r="D97" s="32">
        <f>IF($D$94&lt;0,-$D$94,0)</f>
        <v>88</v>
      </c>
    </row>
    <row r="98" spans="2:5" x14ac:dyDescent="0.25">
      <c r="C98" s="10"/>
    </row>
    <row r="100" spans="2:5" x14ac:dyDescent="0.25">
      <c r="B100" s="3" t="s">
        <v>855</v>
      </c>
      <c r="C100" s="10">
        <f>D93-3000</f>
        <v>-1948</v>
      </c>
    </row>
    <row r="101" spans="2:5" x14ac:dyDescent="0.25">
      <c r="B101" t="s">
        <v>1820</v>
      </c>
      <c r="C101" s="10">
        <v>53</v>
      </c>
    </row>
    <row r="102" spans="2:5" x14ac:dyDescent="0.25">
      <c r="B102" t="s">
        <v>856</v>
      </c>
      <c r="D102" s="10">
        <f>D93</f>
        <v>1052</v>
      </c>
    </row>
    <row r="103" spans="2:5" x14ac:dyDescent="0.25">
      <c r="E103" s="93"/>
    </row>
    <row r="104" spans="2:5" x14ac:dyDescent="0.25">
      <c r="C104" s="222"/>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topLeftCell="A58" zoomScale="70" zoomScaleNormal="70" workbookViewId="0">
      <selection activeCell="C80" sqref="C80"/>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872" t="s">
        <v>578</v>
      </c>
      <c r="C2" s="873"/>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874" t="s">
        <v>80</v>
      </c>
      <c r="C6" s="875"/>
      <c r="D6" s="876"/>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9"/>
    </row>
    <row r="10" spans="2:6" x14ac:dyDescent="0.25">
      <c r="B10" s="420" t="s">
        <v>917</v>
      </c>
    </row>
    <row r="12" spans="2:6" x14ac:dyDescent="0.25">
      <c r="B12" s="1" t="s">
        <v>584</v>
      </c>
    </row>
    <row r="13" spans="2:6" x14ac:dyDescent="0.25">
      <c r="B13" t="s">
        <v>568</v>
      </c>
    </row>
    <row r="14" spans="2:6" x14ac:dyDescent="0.25">
      <c r="B14" t="s">
        <v>569</v>
      </c>
      <c r="C14" s="218">
        <v>4500000</v>
      </c>
      <c r="D14" s="12"/>
      <c r="F14" s="11"/>
    </row>
    <row r="15" spans="2:6" x14ac:dyDescent="0.25">
      <c r="B15" t="s">
        <v>1453</v>
      </c>
      <c r="C15" s="218">
        <f>0.85*C14</f>
        <v>3825000</v>
      </c>
      <c r="D15" s="12"/>
      <c r="F15" s="11"/>
    </row>
    <row r="16" spans="2:6" x14ac:dyDescent="0.25">
      <c r="B16" t="s">
        <v>572</v>
      </c>
      <c r="C16" s="218"/>
      <c r="D16" s="12"/>
      <c r="F16" s="11"/>
    </row>
    <row r="17" spans="2:6" x14ac:dyDescent="0.25">
      <c r="B17" t="s">
        <v>570</v>
      </c>
      <c r="C17" s="224">
        <v>0.05</v>
      </c>
      <c r="D17" s="420" t="s">
        <v>919</v>
      </c>
      <c r="F17" s="12"/>
    </row>
    <row r="18" spans="2:6" x14ac:dyDescent="0.25">
      <c r="B18" t="s">
        <v>349</v>
      </c>
      <c r="C18" s="224">
        <v>8.2699999999999996E-2</v>
      </c>
      <c r="D18" s="420" t="s">
        <v>1454</v>
      </c>
    </row>
    <row r="19" spans="2:6" x14ac:dyDescent="0.25">
      <c r="B19" t="s">
        <v>571</v>
      </c>
      <c r="C19" s="36" t="s">
        <v>136</v>
      </c>
      <c r="D19" s="420"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44316</v>
      </c>
      <c r="C23" s="85">
        <f>C15-C16</f>
        <v>3825000</v>
      </c>
      <c r="D23" s="85">
        <f t="shared" ref="D23:D28" si="0">IF($C$19="arrears",C23*$C$18,(C23+E23)*$C$18)</f>
        <v>316327.5</v>
      </c>
      <c r="E23" s="106">
        <f>IF($C$19="ADVANCE",0,-$C$14*$C$17)</f>
        <v>-225000</v>
      </c>
      <c r="F23" s="71">
        <f t="shared" ref="F23:F28" si="1">C23+D23+E23</f>
        <v>3916327.5</v>
      </c>
    </row>
    <row r="24" spans="2:6" x14ac:dyDescent="0.25">
      <c r="B24" s="139">
        <f>B23+365</f>
        <v>44681</v>
      </c>
      <c r="C24" s="85">
        <f>F23</f>
        <v>3916327.5</v>
      </c>
      <c r="D24" s="85">
        <f t="shared" si="0"/>
        <v>323880.28424999997</v>
      </c>
      <c r="E24" s="106">
        <f>(-$C$14*$C$17)</f>
        <v>-225000</v>
      </c>
      <c r="F24" s="71">
        <f t="shared" si="1"/>
        <v>4015207.7842499996</v>
      </c>
    </row>
    <row r="25" spans="2:6" x14ac:dyDescent="0.25">
      <c r="B25" s="139">
        <f>B24+365</f>
        <v>45046</v>
      </c>
      <c r="C25" s="85">
        <f>F24</f>
        <v>4015207.7842499996</v>
      </c>
      <c r="D25" s="85">
        <f t="shared" si="0"/>
        <v>332057.68375747494</v>
      </c>
      <c r="E25" s="106">
        <f>(-$C$14*$C$17)</f>
        <v>-225000</v>
      </c>
      <c r="F25" s="71">
        <f t="shared" si="1"/>
        <v>4122265.4680074742</v>
      </c>
    </row>
    <row r="26" spans="2:6" x14ac:dyDescent="0.25">
      <c r="B26" s="139">
        <f>B25+365</f>
        <v>45411</v>
      </c>
      <c r="C26" s="17">
        <f>F25</f>
        <v>4122265.4680074742</v>
      </c>
      <c r="D26" s="85">
        <f t="shared" si="0"/>
        <v>340911.35420421808</v>
      </c>
      <c r="E26" s="106">
        <f>(-$C$14*$C$17)</f>
        <v>-225000</v>
      </c>
      <c r="F26" s="140">
        <f t="shared" si="1"/>
        <v>4238176.8222116921</v>
      </c>
    </row>
    <row r="27" spans="2:6" x14ac:dyDescent="0.25">
      <c r="B27" s="139">
        <f>B26+365</f>
        <v>45776</v>
      </c>
      <c r="C27" s="17">
        <f>F26</f>
        <v>4238176.8222116921</v>
      </c>
      <c r="D27" s="85">
        <f t="shared" si="0"/>
        <v>350497.22319690691</v>
      </c>
      <c r="E27" s="106">
        <f>(-$C$14*$C$17)</f>
        <v>-225000</v>
      </c>
      <c r="F27" s="71">
        <f t="shared" si="1"/>
        <v>4363674.0454085991</v>
      </c>
    </row>
    <row r="28" spans="2:6" x14ac:dyDescent="0.25">
      <c r="B28" s="139">
        <f>B27+365</f>
        <v>46141</v>
      </c>
      <c r="C28" s="17">
        <f>F27</f>
        <v>4363674.0454085991</v>
      </c>
      <c r="D28" s="85">
        <f t="shared" si="0"/>
        <v>360875.84355529113</v>
      </c>
      <c r="E28" s="106">
        <f>(-$C$14*$C$17)</f>
        <v>-225000</v>
      </c>
      <c r="F28" s="71">
        <f t="shared" si="1"/>
        <v>4499549.8889638903</v>
      </c>
    </row>
    <row r="29" spans="2:6" x14ac:dyDescent="0.25">
      <c r="B29" s="65"/>
      <c r="C29" s="66"/>
      <c r="D29" s="66"/>
      <c r="E29" s="66"/>
      <c r="F29" s="68"/>
    </row>
    <row r="30" spans="2:6" x14ac:dyDescent="0.25">
      <c r="B30" s="65"/>
      <c r="C30" s="66"/>
      <c r="D30" s="66"/>
      <c r="E30" s="66"/>
      <c r="F30" s="68"/>
    </row>
    <row r="31" spans="2:6" x14ac:dyDescent="0.25">
      <c r="B31" s="65" t="s">
        <v>574</v>
      </c>
      <c r="C31" s="17">
        <f>F24</f>
        <v>4015207.7842499996</v>
      </c>
      <c r="D31" s="66"/>
      <c r="E31" s="66"/>
      <c r="F31" s="68"/>
    </row>
    <row r="32" spans="2:6" x14ac:dyDescent="0.25">
      <c r="B32" s="65" t="s">
        <v>575</v>
      </c>
      <c r="C32" s="17">
        <f>F23-F24</f>
        <v>-98880.28424999956</v>
      </c>
      <c r="D32" s="49" t="s">
        <v>314</v>
      </c>
      <c r="E32" s="17"/>
      <c r="F32" s="68"/>
    </row>
    <row r="33" spans="2:12" ht="18.600000000000001" customHeight="1" thickBot="1" x14ac:dyDescent="0.3">
      <c r="B33" s="80" t="str">
        <f>"Lease payable at year end"</f>
        <v>Lease payable at year end</v>
      </c>
      <c r="C33" s="33">
        <f>C31+C32</f>
        <v>3916327.5</v>
      </c>
      <c r="D33" s="66"/>
      <c r="E33" s="66"/>
      <c r="F33" s="68"/>
    </row>
    <row r="34" spans="2:12" ht="15.75" thickBot="1" x14ac:dyDescent="0.3">
      <c r="B34" s="72"/>
      <c r="C34" s="73"/>
      <c r="D34" s="73"/>
      <c r="E34" s="73"/>
      <c r="F34" s="82"/>
    </row>
    <row r="35" spans="2:12" x14ac:dyDescent="0.25">
      <c r="B35" s="66"/>
      <c r="C35" s="66"/>
      <c r="D35" s="66"/>
      <c r="E35" s="66"/>
      <c r="F35" s="66"/>
    </row>
    <row r="36" spans="2:12" x14ac:dyDescent="0.25">
      <c r="B36" s="660" t="s">
        <v>1528</v>
      </c>
      <c r="C36" s="661" t="str">
        <f>D23&amp;E23&amp;" = £"&amp;(D23+E23)</f>
        <v>316327.5-225000 = £91327.5</v>
      </c>
      <c r="D36" s="66"/>
      <c r="E36" s="66"/>
      <c r="F36" s="66"/>
    </row>
    <row r="37" spans="2:12" x14ac:dyDescent="0.25">
      <c r="B37" s="66"/>
      <c r="C37" s="66"/>
      <c r="D37" s="66"/>
      <c r="E37" s="66"/>
      <c r="F37" s="66"/>
    </row>
    <row r="38" spans="2:12" x14ac:dyDescent="0.25">
      <c r="C38" s="66"/>
      <c r="D38" s="66"/>
      <c r="E38" s="66"/>
      <c r="F38" s="66"/>
    </row>
    <row r="39" spans="2:12" x14ac:dyDescent="0.25">
      <c r="B39" s="3" t="s">
        <v>553</v>
      </c>
      <c r="D39" s="222">
        <f>D23</f>
        <v>316327.5</v>
      </c>
      <c r="L39" s="11"/>
    </row>
    <row r="40" spans="2:12" x14ac:dyDescent="0.25">
      <c r="B40" t="s">
        <v>616</v>
      </c>
      <c r="C40" s="10">
        <f>D23</f>
        <v>316327.5</v>
      </c>
      <c r="K40" s="11"/>
      <c r="L40" s="11"/>
    </row>
    <row r="41" spans="2:12" x14ac:dyDescent="0.25">
      <c r="D41" s="10"/>
      <c r="F41" s="660" t="s">
        <v>1529</v>
      </c>
      <c r="K41" s="11"/>
      <c r="L41" s="11"/>
    </row>
    <row r="42" spans="2:12" x14ac:dyDescent="0.25">
      <c r="B42" s="3" t="s">
        <v>373</v>
      </c>
      <c r="C42" s="32">
        <f>-E23</f>
        <v>225000</v>
      </c>
      <c r="D42" s="10"/>
      <c r="K42" s="11"/>
      <c r="L42" s="11"/>
    </row>
    <row r="43" spans="2:12" x14ac:dyDescent="0.25">
      <c r="B43" t="s">
        <v>613</v>
      </c>
      <c r="D43" s="10">
        <f>-E23</f>
        <v>225000</v>
      </c>
      <c r="K43" s="11"/>
      <c r="L43" s="11"/>
    </row>
    <row r="44" spans="2:12" x14ac:dyDescent="0.25">
      <c r="D44" s="10"/>
      <c r="K44" s="11"/>
      <c r="L44" s="11"/>
    </row>
    <row r="45" spans="2:12" x14ac:dyDescent="0.25">
      <c r="B45" t="s">
        <v>845</v>
      </c>
      <c r="C45" s="12"/>
      <c r="F45" s="420"/>
      <c r="G45" s="11"/>
      <c r="H45" s="11"/>
      <c r="K45" s="11"/>
      <c r="L45" s="11"/>
    </row>
    <row r="46" spans="2:12" x14ac:dyDescent="0.25">
      <c r="B46" t="s">
        <v>373</v>
      </c>
      <c r="C46" s="11"/>
      <c r="D46" s="11">
        <f>1.05*4000000</f>
        <v>4200000</v>
      </c>
    </row>
    <row r="47" spans="2:12" x14ac:dyDescent="0.25">
      <c r="B47" t="s">
        <v>846</v>
      </c>
      <c r="C47" s="11">
        <v>4249184</v>
      </c>
    </row>
    <row r="48" spans="2:12" x14ac:dyDescent="0.25">
      <c r="B48" t="s">
        <v>847</v>
      </c>
      <c r="D48" s="12">
        <f>C47-D46</f>
        <v>49184</v>
      </c>
    </row>
    <row r="50" spans="2:4" x14ac:dyDescent="0.25">
      <c r="B50" s="420" t="s">
        <v>1197</v>
      </c>
      <c r="C50" s="222"/>
    </row>
    <row r="51" spans="2:4" x14ac:dyDescent="0.25">
      <c r="B51" s="420" t="s">
        <v>1198</v>
      </c>
      <c r="D51" s="10"/>
    </row>
    <row r="52" spans="2:4" x14ac:dyDescent="0.25">
      <c r="D52" s="10"/>
    </row>
    <row r="53" spans="2:4" x14ac:dyDescent="0.25">
      <c r="C53" s="32"/>
      <c r="D53" s="10"/>
    </row>
    <row r="54" spans="2:4" x14ac:dyDescent="0.25">
      <c r="B54" s="1" t="s">
        <v>621</v>
      </c>
      <c r="D54" s="10"/>
    </row>
    <row r="55" spans="2:4" x14ac:dyDescent="0.25">
      <c r="B55" s="420" t="s">
        <v>1584</v>
      </c>
      <c r="D55" s="10"/>
    </row>
    <row r="56" spans="2:4" x14ac:dyDescent="0.25">
      <c r="B56" s="420" t="s">
        <v>1200</v>
      </c>
    </row>
    <row r="57" spans="2:4" x14ac:dyDescent="0.25">
      <c r="B57" s="420" t="s">
        <v>1588</v>
      </c>
    </row>
    <row r="58" spans="2:4" x14ac:dyDescent="0.25">
      <c r="B58" s="420" t="s">
        <v>848</v>
      </c>
    </row>
    <row r="59" spans="2:4" x14ac:dyDescent="0.25">
      <c r="B59" s="420" t="s">
        <v>1199</v>
      </c>
    </row>
    <row r="60" spans="2:4" x14ac:dyDescent="0.25">
      <c r="B60" s="420" t="s">
        <v>1201</v>
      </c>
    </row>
    <row r="61" spans="2:4" x14ac:dyDescent="0.25">
      <c r="B61" s="420" t="s">
        <v>1600</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0" t="s">
        <v>849</v>
      </c>
      <c r="J74" t="s">
        <v>755</v>
      </c>
    </row>
    <row r="75" spans="1:10" x14ac:dyDescent="0.25">
      <c r="B75" s="420" t="s">
        <v>850</v>
      </c>
      <c r="J75" t="s">
        <v>756</v>
      </c>
    </row>
    <row r="76" spans="1:10" x14ac:dyDescent="0.25">
      <c r="J76" t="s">
        <v>757</v>
      </c>
    </row>
    <row r="77" spans="1:10" x14ac:dyDescent="0.25">
      <c r="B77" t="s">
        <v>600</v>
      </c>
      <c r="C77" s="14"/>
      <c r="D77" s="420" t="s">
        <v>1456</v>
      </c>
    </row>
    <row r="78" spans="1:10" x14ac:dyDescent="0.25">
      <c r="B78" t="s">
        <v>608</v>
      </c>
      <c r="C78" s="14">
        <f>8000*0.47</f>
        <v>3760</v>
      </c>
      <c r="D78" s="420" t="s">
        <v>1455</v>
      </c>
    </row>
    <row r="79" spans="1:10" x14ac:dyDescent="0.25">
      <c r="B79" t="s">
        <v>610</v>
      </c>
      <c r="C79" s="189">
        <v>1</v>
      </c>
      <c r="D79" s="420" t="s">
        <v>1601</v>
      </c>
    </row>
    <row r="80" spans="1:10" x14ac:dyDescent="0.25">
      <c r="B80" t="str">
        <f ca="1">"Shares redeemed "&amp;IFERROR(_xlfn.FORMULATEXT(C80)," ")</f>
        <v xml:space="preserve">Shares redeemed  </v>
      </c>
      <c r="C80" s="14"/>
      <c r="D80" s="420" t="s">
        <v>617</v>
      </c>
    </row>
    <row r="81" spans="2:4" x14ac:dyDescent="0.25">
      <c r="B81" t="s">
        <v>366</v>
      </c>
      <c r="C81" s="3"/>
      <c r="D81" s="420" t="s">
        <v>618</v>
      </c>
    </row>
    <row r="82" spans="2:4" x14ac:dyDescent="0.25">
      <c r="C82" s="12"/>
    </row>
    <row r="84" spans="2:4" x14ac:dyDescent="0.25">
      <c r="B84" s="676" t="s">
        <v>1960</v>
      </c>
      <c r="C84" s="11"/>
      <c r="D84" s="11"/>
    </row>
    <row r="85" spans="2:4" x14ac:dyDescent="0.25">
      <c r="B85" s="676" t="s">
        <v>1961</v>
      </c>
      <c r="C85" s="11"/>
      <c r="D85" s="11"/>
    </row>
    <row r="86" spans="2:4" x14ac:dyDescent="0.25">
      <c r="B86" s="11" t="s">
        <v>611</v>
      </c>
      <c r="C86" s="11">
        <f>C78*(1-C79)</f>
        <v>0</v>
      </c>
      <c r="D86" s="11"/>
    </row>
    <row r="87" spans="2:4" x14ac:dyDescent="0.25">
      <c r="B87" s="775" t="s">
        <v>989</v>
      </c>
      <c r="C87" s="11"/>
      <c r="D87" s="11">
        <f>C86</f>
        <v>0</v>
      </c>
    </row>
    <row r="88" spans="2:4" x14ac:dyDescent="0.25">
      <c r="B88" s="676"/>
      <c r="C88" s="11"/>
      <c r="D88" s="11"/>
    </row>
    <row r="89" spans="2:4" x14ac:dyDescent="0.25">
      <c r="B89" s="11" t="s">
        <v>611</v>
      </c>
      <c r="C89" s="11">
        <f>C78*C79</f>
        <v>3760</v>
      </c>
    </row>
    <row r="90" spans="2:4" x14ac:dyDescent="0.25">
      <c r="B90" t="s">
        <v>612</v>
      </c>
      <c r="C90" s="11"/>
      <c r="D90" s="11">
        <f>C80*C81</f>
        <v>0</v>
      </c>
    </row>
    <row r="91" spans="2:4" x14ac:dyDescent="0.25">
      <c r="B91" t="s">
        <v>601</v>
      </c>
      <c r="C91" s="11"/>
      <c r="D91" s="11">
        <f>C89-D90</f>
        <v>3760</v>
      </c>
    </row>
    <row r="93" spans="2:4" x14ac:dyDescent="0.25">
      <c r="B93" s="420" t="s">
        <v>1959</v>
      </c>
    </row>
    <row r="94" spans="2:4" x14ac:dyDescent="0.25">
      <c r="B94" t="s">
        <v>753</v>
      </c>
      <c r="C94" s="11">
        <f>C77</f>
        <v>0</v>
      </c>
      <c r="D94" s="11"/>
    </row>
    <row r="95" spans="2:4" x14ac:dyDescent="0.25">
      <c r="B95" t="s">
        <v>609</v>
      </c>
      <c r="C95" s="11"/>
      <c r="D95" s="11">
        <f>C77</f>
        <v>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7"/>
  <sheetViews>
    <sheetView zoomScaleNormal="100" workbookViewId="0">
      <selection activeCell="G31" sqref="G31"/>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0" t="s">
        <v>1203</v>
      </c>
    </row>
    <row r="2" spans="2:18" x14ac:dyDescent="0.25">
      <c r="B2" s="420" t="s">
        <v>1204</v>
      </c>
    </row>
    <row r="4" spans="2:18" x14ac:dyDescent="0.25">
      <c r="B4" t="s">
        <v>597</v>
      </c>
      <c r="C4" s="14">
        <v>600000</v>
      </c>
      <c r="G4" s="11"/>
      <c r="H4" s="11"/>
      <c r="I4" s="11"/>
      <c r="J4" s="11"/>
      <c r="K4" s="11"/>
    </row>
    <row r="5" spans="2:18" x14ac:dyDescent="0.25">
      <c r="B5" t="s">
        <v>594</v>
      </c>
      <c r="C5" s="3">
        <v>1</v>
      </c>
      <c r="D5" s="668" t="str">
        <f>IF(C5=1,"12 month ECL","Lifetime ECL ")</f>
        <v>12 month ECL</v>
      </c>
      <c r="G5" s="11"/>
      <c r="H5" s="11"/>
      <c r="I5" s="11"/>
      <c r="J5" s="11"/>
      <c r="K5" s="11"/>
    </row>
    <row r="6" spans="2:18" x14ac:dyDescent="0.25">
      <c r="B6" t="s">
        <v>1747</v>
      </c>
      <c r="C6" s="190">
        <v>6.25E-2</v>
      </c>
      <c r="G6" s="11"/>
      <c r="H6" s="11"/>
      <c r="I6" s="11"/>
      <c r="J6" s="11"/>
      <c r="K6" s="11"/>
    </row>
    <row r="7" spans="2:18" x14ac:dyDescent="0.25">
      <c r="B7" t="s">
        <v>591</v>
      </c>
      <c r="C7" s="14">
        <v>0</v>
      </c>
      <c r="G7" s="11"/>
      <c r="H7" s="11"/>
      <c r="I7" s="11"/>
      <c r="J7" s="11"/>
      <c r="K7" s="11"/>
    </row>
    <row r="8" spans="2:18" x14ac:dyDescent="0.25">
      <c r="B8" s="420"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9" spans="2:18" x14ac:dyDescent="0.25">
      <c r="B9" s="420" t="s">
        <v>1758</v>
      </c>
    </row>
    <row r="10" spans="2:18" x14ac:dyDescent="0.25">
      <c r="C10" t="s">
        <v>590</v>
      </c>
      <c r="D10" s="2" t="s">
        <v>489</v>
      </c>
      <c r="E10" t="s">
        <v>238</v>
      </c>
      <c r="F10" t="s">
        <v>587</v>
      </c>
      <c r="G10" t="s">
        <v>411</v>
      </c>
      <c r="H10" t="s">
        <v>588</v>
      </c>
    </row>
    <row r="11" spans="2:18" x14ac:dyDescent="0.25">
      <c r="B11" s="3"/>
      <c r="C11" s="14">
        <f>+C4-200000</f>
        <v>400000</v>
      </c>
      <c r="D11" s="14">
        <v>4</v>
      </c>
      <c r="E11" s="14">
        <f>1/((1+$C$6)^D11)</f>
        <v>0.78466493456735431</v>
      </c>
      <c r="F11" s="11">
        <f>E11*C11</f>
        <v>313865.97382694174</v>
      </c>
      <c r="G11" s="190">
        <v>0.01</v>
      </c>
      <c r="H11" s="11">
        <f>F11*G11</f>
        <v>3138.6597382694176</v>
      </c>
    </row>
    <row r="12" spans="2:18" x14ac:dyDescent="0.25">
      <c r="B12" s="3"/>
      <c r="C12" s="14">
        <f>+C4-400000</f>
        <v>200000</v>
      </c>
      <c r="D12" s="14">
        <v>4</v>
      </c>
      <c r="E12" s="14">
        <f t="shared" ref="E12:E15" si="0">1/((1+$C$6)^D12)</f>
        <v>0.78466493456735431</v>
      </c>
      <c r="F12" s="11">
        <f>E12*C12</f>
        <v>156932.98691347087</v>
      </c>
      <c r="G12" s="190">
        <v>0.04</v>
      </c>
      <c r="H12" s="11">
        <f>F12*G12</f>
        <v>6277.3194765388353</v>
      </c>
      <c r="R12" t="s">
        <v>1756</v>
      </c>
    </row>
    <row r="13" spans="2:18" x14ac:dyDescent="0.25">
      <c r="B13" s="3"/>
      <c r="C13" s="14"/>
      <c r="D13" s="14">
        <v>1</v>
      </c>
      <c r="E13" s="14">
        <f t="shared" si="0"/>
        <v>0.94117647058823528</v>
      </c>
      <c r="F13" s="11">
        <f>E13*C13</f>
        <v>0</v>
      </c>
      <c r="G13" s="190">
        <v>1</v>
      </c>
      <c r="H13" s="11">
        <f>F13*G13</f>
        <v>0</v>
      </c>
    </row>
    <row r="14" spans="2:18" x14ac:dyDescent="0.25">
      <c r="B14" s="3"/>
      <c r="C14" s="14"/>
      <c r="D14" s="14">
        <v>2</v>
      </c>
      <c r="E14" s="14">
        <f t="shared" si="0"/>
        <v>0.88581314878892736</v>
      </c>
      <c r="F14" s="11">
        <f>E14*C14</f>
        <v>0</v>
      </c>
      <c r="G14" s="190">
        <v>1</v>
      </c>
      <c r="H14" s="11">
        <f>F14*G14</f>
        <v>0</v>
      </c>
    </row>
    <row r="15" spans="2:18" x14ac:dyDescent="0.25">
      <c r="B15" s="3"/>
      <c r="C15" s="14"/>
      <c r="D15" s="14">
        <v>3</v>
      </c>
      <c r="E15" s="14">
        <f t="shared" si="0"/>
        <v>0.83370649297781396</v>
      </c>
      <c r="F15" s="11">
        <f>E15*C15</f>
        <v>0</v>
      </c>
      <c r="G15" s="190">
        <v>1</v>
      </c>
      <c r="H15" s="11">
        <f>F15*G15</f>
        <v>0</v>
      </c>
    </row>
    <row r="16" spans="2:18" x14ac:dyDescent="0.25">
      <c r="H16" s="11">
        <f>SUM(H11:H15)</f>
        <v>9415.9792148082524</v>
      </c>
    </row>
    <row r="17" spans="2:11" x14ac:dyDescent="0.25">
      <c r="B17" s="493" t="s">
        <v>1757</v>
      </c>
      <c r="H17" s="11"/>
    </row>
    <row r="18" spans="2:11" x14ac:dyDescent="0.25">
      <c r="B18" t="s">
        <v>592</v>
      </c>
      <c r="E18" s="221">
        <f>C7</f>
        <v>0</v>
      </c>
      <c r="H18" s="11"/>
    </row>
    <row r="19" spans="2:11" x14ac:dyDescent="0.25">
      <c r="B19" t="s">
        <v>593</v>
      </c>
      <c r="E19" s="12">
        <f>H16</f>
        <v>9415.9792148082524</v>
      </c>
    </row>
    <row r="20" spans="2:11" x14ac:dyDescent="0.25">
      <c r="E20" s="220">
        <f>E19-E18</f>
        <v>9415.9792148082524</v>
      </c>
    </row>
    <row r="22" spans="2:11" x14ac:dyDescent="0.25">
      <c r="B22" t="str">
        <f>IF(E20&gt;0,"DR SPL - impairment loss","CR SPL - gain")</f>
        <v>DR SPL - impairment loss</v>
      </c>
      <c r="E22" s="12">
        <f>IF($E$20&gt;0,$E$20,0)</f>
        <v>9415.9792148082524</v>
      </c>
      <c r="F22" s="12">
        <f>IF($E$20&lt;0,-$E$20,0)</f>
        <v>0</v>
      </c>
    </row>
    <row r="23" spans="2:11" x14ac:dyDescent="0.25">
      <c r="B23" t="s">
        <v>589</v>
      </c>
      <c r="E23" s="12">
        <f>IF($E$20&lt;0,-$E$20,0)</f>
        <v>0</v>
      </c>
      <c r="F23" s="12">
        <f>IF($E$20&gt;0,$E$20,0)</f>
        <v>9415.9792148082524</v>
      </c>
      <c r="H23" s="12"/>
    </row>
    <row r="25" spans="2:11" x14ac:dyDescent="0.25">
      <c r="B25" t="s">
        <v>94</v>
      </c>
      <c r="G25" s="420" t="s">
        <v>1205</v>
      </c>
      <c r="K25" s="420" t="s">
        <v>1592</v>
      </c>
    </row>
    <row r="26" spans="2:11" x14ac:dyDescent="0.25">
      <c r="B26" t="s">
        <v>595</v>
      </c>
      <c r="E26" s="11">
        <f>IF(C5=3,(C4-E19)*C6,C4*C6)</f>
        <v>37500</v>
      </c>
      <c r="K26" s="420" t="s">
        <v>857</v>
      </c>
    </row>
    <row r="27" spans="2:11" x14ac:dyDescent="0.25">
      <c r="B27" t="s">
        <v>596</v>
      </c>
      <c r="F27" s="12">
        <f>E26</f>
        <v>37500</v>
      </c>
      <c r="K27" s="420" t="s">
        <v>858</v>
      </c>
    </row>
    <row r="30" spans="2:11" x14ac:dyDescent="0.25">
      <c r="B30" s="420" t="s">
        <v>1530</v>
      </c>
      <c r="K30" s="495" t="s">
        <v>1596</v>
      </c>
    </row>
    <row r="31" spans="2:11" x14ac:dyDescent="0.25">
      <c r="K31" s="420" t="s">
        <v>1593</v>
      </c>
    </row>
    <row r="32" spans="2:11" x14ac:dyDescent="0.25">
      <c r="K32" s="420" t="s">
        <v>1594</v>
      </c>
    </row>
    <row r="34" spans="11:11" x14ac:dyDescent="0.25">
      <c r="K34" s="495" t="s">
        <v>1595</v>
      </c>
    </row>
    <row r="35" spans="11:11" x14ac:dyDescent="0.25">
      <c r="K35" s="420" t="s">
        <v>1597</v>
      </c>
    </row>
    <row r="36" spans="11:11" x14ac:dyDescent="0.25">
      <c r="K36" s="420" t="s">
        <v>1598</v>
      </c>
    </row>
    <row r="37" spans="11:11" x14ac:dyDescent="0.25">
      <c r="K37" s="420" t="s">
        <v>1599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4"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4"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election activeCell="J26" sqref="J26"/>
    </sheetView>
  </sheetViews>
  <sheetFormatPr defaultRowHeight="15" x14ac:dyDescent="0.25"/>
  <sheetData>
    <row r="1" spans="1:10" ht="15.75" thickBot="1" x14ac:dyDescent="0.3"/>
    <row r="2" spans="1:10" x14ac:dyDescent="0.25">
      <c r="A2" s="497" t="s">
        <v>963</v>
      </c>
      <c r="B2" s="63"/>
      <c r="C2" s="63"/>
      <c r="D2" s="63"/>
      <c r="E2" s="63"/>
      <c r="F2" s="63"/>
      <c r="G2" s="63"/>
      <c r="H2" s="64"/>
      <c r="J2" s="420" t="s">
        <v>975</v>
      </c>
    </row>
    <row r="3" spans="1:10" x14ac:dyDescent="0.25">
      <c r="A3" s="496" t="s">
        <v>962</v>
      </c>
      <c r="B3" s="66"/>
      <c r="C3" s="66"/>
      <c r="D3" s="66"/>
      <c r="E3" s="66"/>
      <c r="F3" s="66"/>
      <c r="G3" s="66"/>
      <c r="H3" s="68"/>
      <c r="J3" s="420" t="s">
        <v>976</v>
      </c>
    </row>
    <row r="4" spans="1:10" x14ac:dyDescent="0.25">
      <c r="A4" s="496" t="s">
        <v>960</v>
      </c>
      <c r="B4" s="66"/>
      <c r="C4" s="66"/>
      <c r="D4" s="66"/>
      <c r="E4" s="66"/>
      <c r="F4" s="66"/>
      <c r="G4" s="66"/>
      <c r="H4" s="68"/>
    </row>
    <row r="5" spans="1:10" x14ac:dyDescent="0.25">
      <c r="A5" s="496"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497" t="s">
        <v>959</v>
      </c>
      <c r="B8" s="63"/>
      <c r="C8" s="63"/>
      <c r="D8" s="63"/>
      <c r="E8" s="63"/>
      <c r="F8" s="63"/>
      <c r="G8" s="63"/>
      <c r="H8" s="64"/>
    </row>
    <row r="9" spans="1:10" x14ac:dyDescent="0.25">
      <c r="A9" s="844" t="s">
        <v>964</v>
      </c>
      <c r="B9" s="877"/>
      <c r="C9" s="877"/>
      <c r="D9" s="877"/>
      <c r="E9" s="877"/>
      <c r="F9" s="877"/>
      <c r="G9" s="877"/>
      <c r="H9" s="878"/>
    </row>
    <row r="10" spans="1:10" x14ac:dyDescent="0.25">
      <c r="A10" s="844"/>
      <c r="B10" s="877"/>
      <c r="C10" s="877"/>
      <c r="D10" s="877"/>
      <c r="E10" s="877"/>
      <c r="F10" s="877"/>
      <c r="G10" s="877"/>
      <c r="H10" s="878"/>
    </row>
    <row r="11" spans="1:10" x14ac:dyDescent="0.25">
      <c r="A11" s="498"/>
      <c r="B11" s="499"/>
      <c r="C11" s="499"/>
      <c r="D11" s="499"/>
      <c r="E11" s="499"/>
      <c r="F11" s="499"/>
      <c r="G11" s="499"/>
      <c r="H11" s="500"/>
    </row>
    <row r="12" spans="1:10" x14ac:dyDescent="0.25">
      <c r="A12" s="501" t="s">
        <v>965</v>
      </c>
      <c r="B12" s="66"/>
      <c r="C12" s="66"/>
      <c r="D12" s="66"/>
      <c r="E12" s="66"/>
      <c r="F12" s="66"/>
      <c r="G12" s="66"/>
      <c r="H12" s="68"/>
    </row>
    <row r="13" spans="1:10" x14ac:dyDescent="0.25">
      <c r="A13" s="496" t="s">
        <v>966</v>
      </c>
      <c r="B13" s="66"/>
      <c r="C13" s="66"/>
      <c r="D13" s="66"/>
      <c r="E13" s="66"/>
      <c r="F13" s="66"/>
      <c r="G13" s="66"/>
      <c r="H13" s="68"/>
    </row>
    <row r="14" spans="1:10" x14ac:dyDescent="0.25">
      <c r="A14" s="65"/>
      <c r="B14" s="66"/>
      <c r="C14" s="66"/>
      <c r="D14" s="66"/>
      <c r="E14" s="66"/>
      <c r="F14" s="66"/>
      <c r="G14" s="66"/>
      <c r="H14" s="68"/>
    </row>
    <row r="15" spans="1:10" x14ac:dyDescent="0.25">
      <c r="A15" s="501" t="s">
        <v>967</v>
      </c>
      <c r="B15" s="66"/>
      <c r="C15" s="66"/>
      <c r="D15" s="66"/>
      <c r="E15" s="66"/>
      <c r="F15" s="66"/>
      <c r="G15" s="66"/>
      <c r="H15" s="68"/>
    </row>
    <row r="16" spans="1:10" ht="35.450000000000003" customHeight="1" x14ac:dyDescent="0.25">
      <c r="A16" s="826" t="s">
        <v>973</v>
      </c>
      <c r="B16" s="827"/>
      <c r="C16" s="827"/>
      <c r="D16" s="827"/>
      <c r="E16" s="827"/>
      <c r="F16" s="827"/>
      <c r="G16" s="827"/>
      <c r="H16" s="828"/>
    </row>
    <row r="17" spans="1:8" ht="35.450000000000003" customHeight="1" thickBot="1" x14ac:dyDescent="0.3">
      <c r="A17" s="829"/>
      <c r="B17" s="830"/>
      <c r="C17" s="830"/>
      <c r="D17" s="830"/>
      <c r="E17" s="830"/>
      <c r="F17" s="830"/>
      <c r="G17" s="830"/>
      <c r="H17" s="831"/>
    </row>
    <row r="18" spans="1:8" ht="15.75" thickBot="1" x14ac:dyDescent="0.3">
      <c r="A18" s="420"/>
    </row>
    <row r="19" spans="1:8" x14ac:dyDescent="0.25">
      <c r="A19" s="497" t="s">
        <v>968</v>
      </c>
      <c r="B19" s="63"/>
      <c r="C19" s="63"/>
      <c r="D19" s="63"/>
      <c r="E19" s="63"/>
      <c r="F19" s="63"/>
      <c r="G19" s="63"/>
      <c r="H19" s="64"/>
    </row>
    <row r="20" spans="1:8" x14ac:dyDescent="0.25">
      <c r="A20" s="496" t="s">
        <v>969</v>
      </c>
      <c r="B20" s="66"/>
      <c r="C20" s="66"/>
      <c r="D20" s="66"/>
      <c r="E20" s="66"/>
      <c r="F20" s="66"/>
      <c r="G20" s="66"/>
      <c r="H20" s="68"/>
    </row>
    <row r="21" spans="1:8" x14ac:dyDescent="0.25">
      <c r="A21" s="65"/>
      <c r="B21" s="66"/>
      <c r="C21" s="66"/>
      <c r="D21" s="66"/>
      <c r="E21" s="66"/>
      <c r="F21" s="66"/>
      <c r="G21" s="66"/>
      <c r="H21" s="68"/>
    </row>
    <row r="22" spans="1:8" x14ac:dyDescent="0.25">
      <c r="A22" s="501" t="s">
        <v>967</v>
      </c>
      <c r="B22" s="66"/>
      <c r="C22" s="66"/>
      <c r="D22" s="66"/>
      <c r="E22" s="66"/>
      <c r="F22" s="66"/>
      <c r="G22" s="66"/>
      <c r="H22" s="68"/>
    </row>
    <row r="23" spans="1:8" s="420" customFormat="1" ht="30.95" customHeight="1" x14ac:dyDescent="0.25">
      <c r="A23" s="844" t="s">
        <v>970</v>
      </c>
      <c r="B23" s="877"/>
      <c r="C23" s="877"/>
      <c r="D23" s="877"/>
      <c r="E23" s="877"/>
      <c r="F23" s="877"/>
      <c r="G23" s="877"/>
      <c r="H23" s="878"/>
    </row>
    <row r="24" spans="1:8" x14ac:dyDescent="0.25">
      <c r="A24" s="65"/>
      <c r="B24" s="66"/>
      <c r="C24" s="66"/>
      <c r="D24" s="66"/>
      <c r="E24" s="66"/>
      <c r="F24" s="66"/>
      <c r="G24" s="66"/>
      <c r="H24" s="68"/>
    </row>
    <row r="25" spans="1:8" x14ac:dyDescent="0.25">
      <c r="A25" s="502" t="s">
        <v>971</v>
      </c>
      <c r="B25" s="66"/>
      <c r="C25" s="66"/>
      <c r="D25" s="66"/>
      <c r="E25" s="66"/>
      <c r="F25" s="66"/>
      <c r="G25" s="66"/>
      <c r="H25" s="68"/>
    </row>
    <row r="26" spans="1:8" ht="26.45" customHeight="1" thickBot="1" x14ac:dyDescent="0.3">
      <c r="A26" s="879" t="s">
        <v>972</v>
      </c>
      <c r="B26" s="880"/>
      <c r="C26" s="880"/>
      <c r="D26" s="880"/>
      <c r="E26" s="880"/>
      <c r="F26" s="880"/>
      <c r="G26" s="880"/>
      <c r="H26" s="881"/>
    </row>
    <row r="28" spans="1:8" x14ac:dyDescent="0.25">
      <c r="A28" s="495" t="s">
        <v>434</v>
      </c>
    </row>
    <row r="29" spans="1:8" x14ac:dyDescent="0.25">
      <c r="A29" s="420"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1886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B1:N127"/>
  <sheetViews>
    <sheetView topLeftCell="A4" zoomScale="72" zoomScaleNormal="80" workbookViewId="0">
      <selection activeCell="B28" sqref="B2:L28"/>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f>+H19</f>
        <v>30108.54</v>
      </c>
      <c r="G2" s="420" t="s">
        <v>932</v>
      </c>
    </row>
    <row r="3" spans="2:12" x14ac:dyDescent="0.25">
      <c r="B3" s="65" t="s">
        <v>265</v>
      </c>
      <c r="C3" s="78">
        <f>+K14</f>
        <v>2108.66</v>
      </c>
      <c r="G3" s="420" t="s">
        <v>1771</v>
      </c>
    </row>
    <row r="4" spans="2:12" x14ac:dyDescent="0.25">
      <c r="B4" s="65" t="s">
        <v>279</v>
      </c>
      <c r="C4" s="71">
        <f>SUM(C2:C3)</f>
        <v>32217.200000000001</v>
      </c>
      <c r="G4" s="420" t="s">
        <v>1770</v>
      </c>
    </row>
    <row r="5" spans="2:12" x14ac:dyDescent="0.25">
      <c r="B5" s="65"/>
      <c r="C5" s="79"/>
      <c r="G5" s="420" t="s">
        <v>1769</v>
      </c>
    </row>
    <row r="6" spans="2:12" x14ac:dyDescent="0.25">
      <c r="B6" s="65" t="s">
        <v>266</v>
      </c>
      <c r="C6" s="78">
        <v>4775</v>
      </c>
      <c r="D6" s="66" t="str">
        <f ca="1">IFERROR(_xlfn.FORMULATEXT(C6)," ")</f>
        <v xml:space="preserve"> </v>
      </c>
    </row>
    <row r="7" spans="2:12" x14ac:dyDescent="0.25">
      <c r="B7" s="65" t="s">
        <v>267</v>
      </c>
      <c r="C7" s="78">
        <f>+C6/0.82</f>
        <v>5823.1707317073178</v>
      </c>
      <c r="D7" s="66" t="str">
        <f ca="1">IFERROR(_xlfn.FORMULATEXT(C7)," ")</f>
        <v>=+C6/0.82</v>
      </c>
    </row>
    <row r="8" spans="2:12" ht="15.75" thickBot="1" x14ac:dyDescent="0.3">
      <c r="B8" s="65" t="s">
        <v>269</v>
      </c>
      <c r="C8" s="78">
        <v>2075</v>
      </c>
      <c r="D8" s="66" t="str">
        <f ca="1">IFERROR(_xlfn.FORMULATEXT(C8)," ")</f>
        <v xml:space="preserve"> </v>
      </c>
    </row>
    <row r="9" spans="2:12" x14ac:dyDescent="0.25">
      <c r="B9" s="65"/>
      <c r="C9" s="68"/>
      <c r="G9" s="75" t="s">
        <v>263</v>
      </c>
      <c r="H9" s="63" t="s">
        <v>141</v>
      </c>
      <c r="I9" s="63"/>
      <c r="J9" s="84" t="s">
        <v>1764</v>
      </c>
      <c r="K9" s="63" t="s">
        <v>141</v>
      </c>
      <c r="L9" s="64"/>
    </row>
    <row r="10" spans="2:12" x14ac:dyDescent="0.25">
      <c r="B10" s="65" t="s">
        <v>1443</v>
      </c>
      <c r="C10" s="71">
        <f>(C7/C7)*C3</f>
        <v>2108.66</v>
      </c>
      <c r="D10" s="420" t="s">
        <v>1768</v>
      </c>
      <c r="G10" s="800" t="s">
        <v>1991</v>
      </c>
      <c r="H10" s="799">
        <v>14459</v>
      </c>
      <c r="I10" s="66" t="str">
        <f t="shared" ref="I10:I18" ca="1" si="0">IFERROR(_xlfn.FORMULATEXT(H10)," ")</f>
        <v xml:space="preserve"> </v>
      </c>
      <c r="J10" s="798" t="s">
        <v>2000</v>
      </c>
      <c r="K10" s="799">
        <v>0</v>
      </c>
      <c r="L10" s="68" t="str">
        <f t="shared" ref="L10:L20" ca="1" si="1">IFERROR(_xlfn.FORMULATEXT(K10)," ")</f>
        <v xml:space="preserve"> </v>
      </c>
    </row>
    <row r="11" spans="2:12" x14ac:dyDescent="0.25">
      <c r="B11" s="65" t="s">
        <v>1444</v>
      </c>
      <c r="C11" s="71">
        <f>C10+C2</f>
        <v>32217.200000000001</v>
      </c>
      <c r="G11" s="800" t="s">
        <v>1992</v>
      </c>
      <c r="H11" s="798">
        <v>411</v>
      </c>
      <c r="I11" s="66" t="str">
        <f t="shared" ca="1" si="0"/>
        <v xml:space="preserve"> </v>
      </c>
      <c r="J11" s="798" t="s">
        <v>1767</v>
      </c>
      <c r="K11" s="798">
        <v>1067</v>
      </c>
      <c r="L11" s="68" t="str">
        <f t="shared" ca="1" si="1"/>
        <v xml:space="preserve"> </v>
      </c>
    </row>
    <row r="12" spans="2:12" x14ac:dyDescent="0.25">
      <c r="B12" s="65" t="s">
        <v>1445</v>
      </c>
      <c r="C12" s="632">
        <f>C11/C6</f>
        <v>6.7470575916230366</v>
      </c>
      <c r="E12" s="12"/>
      <c r="G12" s="800" t="s">
        <v>1993</v>
      </c>
      <c r="H12" s="799">
        <v>1060</v>
      </c>
      <c r="I12" s="66" t="str">
        <f t="shared" ca="1" si="0"/>
        <v xml:space="preserve"> </v>
      </c>
      <c r="J12" s="798" t="s">
        <v>1766</v>
      </c>
      <c r="K12" s="798">
        <v>733</v>
      </c>
      <c r="L12" s="68" t="str">
        <f t="shared" ca="1" si="1"/>
        <v xml:space="preserve"> </v>
      </c>
    </row>
    <row r="13" spans="2:12" x14ac:dyDescent="0.25">
      <c r="B13" s="65"/>
      <c r="C13" s="71"/>
      <c r="G13" s="800" t="s">
        <v>1994</v>
      </c>
      <c r="H13" s="799">
        <v>16020</v>
      </c>
      <c r="I13" s="66" t="str">
        <f t="shared" ca="1" si="0"/>
        <v xml:space="preserve"> </v>
      </c>
      <c r="J13" s="798" t="s">
        <v>2001</v>
      </c>
      <c r="K13" s="798">
        <f>0.61*506</f>
        <v>308.65999999999997</v>
      </c>
      <c r="L13" s="68" t="str">
        <f t="shared" ca="1" si="1"/>
        <v>=0.61*506</v>
      </c>
    </row>
    <row r="14" spans="2:12" x14ac:dyDescent="0.25">
      <c r="B14" s="65"/>
      <c r="C14" s="126" t="s">
        <v>270</v>
      </c>
      <c r="G14" s="800" t="s">
        <v>1995</v>
      </c>
      <c r="H14" s="799">
        <v>11924</v>
      </c>
      <c r="I14" s="66" t="str">
        <f t="shared" ca="1" si="0"/>
        <v xml:space="preserve"> </v>
      </c>
      <c r="J14" s="798" t="s">
        <v>2003</v>
      </c>
      <c r="K14" s="799">
        <f>SUM(K10:K13)</f>
        <v>2108.66</v>
      </c>
      <c r="L14" s="68" t="str">
        <f t="shared" ca="1" si="1"/>
        <v>=SUM(K10:K13)</v>
      </c>
    </row>
    <row r="15" spans="2:12" x14ac:dyDescent="0.25">
      <c r="B15" s="65" t="s">
        <v>271</v>
      </c>
      <c r="C15" s="156">
        <f>C2/C6</f>
        <v>6.3054534031413612</v>
      </c>
      <c r="D15" s="420" t="s">
        <v>316</v>
      </c>
      <c r="G15" s="800" t="s">
        <v>1997</v>
      </c>
      <c r="H15" s="799">
        <f>0.83*1740</f>
        <v>1444.1999999999998</v>
      </c>
      <c r="I15" s="66" t="str">
        <f t="shared" ca="1" si="0"/>
        <v>=0.83*1740</v>
      </c>
      <c r="J15" s="798"/>
      <c r="K15" s="798"/>
      <c r="L15" s="68" t="str">
        <f t="shared" ca="1" si="1"/>
        <v xml:space="preserve"> </v>
      </c>
    </row>
    <row r="16" spans="2:12" x14ac:dyDescent="0.25">
      <c r="B16" s="65" t="s">
        <v>265</v>
      </c>
      <c r="C16" s="156">
        <f>IF(C7&lt;=C6,C3/C6,C3/C7)</f>
        <v>0.36211543455497375</v>
      </c>
      <c r="G16" s="800" t="s">
        <v>1998</v>
      </c>
      <c r="H16" s="798">
        <f>506*0.39</f>
        <v>197.34</v>
      </c>
      <c r="I16" s="66" t="str">
        <f ca="1">IFERROR(_xlfn.FORMULATEXT(H16)," ")</f>
        <v>=506*0.39</v>
      </c>
      <c r="J16" s="798"/>
      <c r="K16" s="798"/>
      <c r="L16" s="68" t="str">
        <f t="shared" ca="1" si="1"/>
        <v xml:space="preserve"> </v>
      </c>
    </row>
    <row r="17" spans="2:14" x14ac:dyDescent="0.25">
      <c r="B17" s="65" t="s">
        <v>280</v>
      </c>
      <c r="C17" s="633">
        <f>SUM(C15:C16)</f>
        <v>6.6675688376963347</v>
      </c>
      <c r="G17" s="800" t="s">
        <v>1999</v>
      </c>
      <c r="H17" s="798">
        <v>257</v>
      </c>
      <c r="I17" s="66" t="str">
        <f ca="1">IFERROR(_xlfn.FORMULATEXT(H17)," ")</f>
        <v xml:space="preserve"> </v>
      </c>
      <c r="J17" s="798"/>
      <c r="K17" s="799"/>
      <c r="L17" s="68" t="str">
        <f t="shared" ca="1" si="1"/>
        <v xml:space="preserve"> </v>
      </c>
    </row>
    <row r="18" spans="2:14" x14ac:dyDescent="0.25">
      <c r="B18" s="65"/>
      <c r="C18" s="68"/>
      <c r="G18" s="800" t="s">
        <v>2002</v>
      </c>
      <c r="H18" s="799">
        <v>266</v>
      </c>
      <c r="I18" s="66" t="str">
        <f t="shared" ca="1" si="0"/>
        <v xml:space="preserve"> </v>
      </c>
      <c r="J18" s="798"/>
      <c r="K18" s="799"/>
      <c r="L18" s="68" t="str">
        <f t="shared" ca="1" si="1"/>
        <v xml:space="preserve"> </v>
      </c>
    </row>
    <row r="19" spans="2:14" ht="15.75" thickBot="1" x14ac:dyDescent="0.3">
      <c r="B19" s="72" t="s">
        <v>272</v>
      </c>
      <c r="C19" s="125">
        <f>C8*C17</f>
        <v>13835.205338219894</v>
      </c>
      <c r="G19" s="800" t="s">
        <v>1996</v>
      </c>
      <c r="H19" s="799">
        <f>SUM(H13:H18)</f>
        <v>30108.54</v>
      </c>
      <c r="I19" s="66" t="str">
        <f ca="1">IFERROR(_xlfn.FORMULATEXT(H19)," ")</f>
        <v>=SUM(H13:H18)</v>
      </c>
      <c r="J19" s="66"/>
      <c r="K19" s="66"/>
      <c r="L19" s="68" t="str">
        <f t="shared" ca="1" si="1"/>
        <v xml:space="preserve"> </v>
      </c>
    </row>
    <row r="20" spans="2:14" x14ac:dyDescent="0.25">
      <c r="B20" s="66"/>
      <c r="C20" s="105"/>
      <c r="G20" s="65"/>
      <c r="H20" s="66"/>
      <c r="I20" s="66" t="str">
        <f ca="1">IFERROR(_xlfn.FORMULATEXT(H20)," ")</f>
        <v xml:space="preserve"> </v>
      </c>
      <c r="J20" s="66"/>
      <c r="K20" s="66"/>
      <c r="L20" s="68" t="str">
        <f t="shared" ca="1" si="1"/>
        <v xml:space="preserve"> </v>
      </c>
    </row>
    <row r="21" spans="2:14" ht="15.75" thickBot="1" x14ac:dyDescent="0.3">
      <c r="B21" s="66"/>
      <c r="C21" s="105"/>
      <c r="G21" s="72"/>
      <c r="H21" s="73"/>
      <c r="I21" s="73" t="str">
        <f ca="1">IFERROR(_xlfn.FORMULATEXT(H21)," ")</f>
        <v xml:space="preserve"> </v>
      </c>
      <c r="J21" s="73"/>
      <c r="K21" s="73"/>
      <c r="L21" s="82"/>
    </row>
    <row r="22" spans="2:14" x14ac:dyDescent="0.25">
      <c r="B22" s="66"/>
      <c r="C22" s="105"/>
      <c r="G22" s="66"/>
      <c r="H22" s="66"/>
      <c r="I22" s="66"/>
      <c r="J22" s="66"/>
      <c r="K22" s="66"/>
      <c r="L22" s="66"/>
    </row>
    <row r="24" spans="2:14" x14ac:dyDescent="0.25">
      <c r="B24" s="578" t="s">
        <v>1208</v>
      </c>
    </row>
    <row r="25" spans="2:14" x14ac:dyDescent="0.25">
      <c r="B25" s="420" t="s">
        <v>274</v>
      </c>
    </row>
    <row r="26" spans="2:14" x14ac:dyDescent="0.25">
      <c r="B26" s="420" t="s">
        <v>933</v>
      </c>
    </row>
    <row r="27" spans="2:14" x14ac:dyDescent="0.25">
      <c r="B27" s="578" t="s">
        <v>1214</v>
      </c>
    </row>
    <row r="28" spans="2:14" ht="15.75" thickBot="1" x14ac:dyDescent="0.3">
      <c r="B28" s="420" t="s">
        <v>934</v>
      </c>
    </row>
    <row r="29" spans="2:14" x14ac:dyDescent="0.25">
      <c r="B29" s="62" t="s">
        <v>273</v>
      </c>
      <c r="C29" s="63"/>
      <c r="D29" s="63"/>
      <c r="E29" s="63"/>
      <c r="F29" s="63"/>
      <c r="G29" s="63"/>
      <c r="H29" s="63"/>
      <c r="I29" s="63"/>
      <c r="J29" s="63"/>
      <c r="K29" s="63"/>
      <c r="L29" s="64"/>
    </row>
    <row r="30" spans="2:14" x14ac:dyDescent="0.25">
      <c r="B30" s="65" t="s">
        <v>275</v>
      </c>
      <c r="C30" s="66" t="s">
        <v>264</v>
      </c>
      <c r="D30" s="66" t="s">
        <v>193</v>
      </c>
      <c r="E30" s="151" t="s">
        <v>287</v>
      </c>
      <c r="F30" s="151" t="s">
        <v>1440</v>
      </c>
      <c r="G30" s="151" t="s">
        <v>1441</v>
      </c>
      <c r="H30" s="66" t="s">
        <v>1442</v>
      </c>
      <c r="I30" s="151" t="s">
        <v>273</v>
      </c>
      <c r="J30" s="66" t="s">
        <v>276</v>
      </c>
      <c r="K30" s="66" t="s">
        <v>278</v>
      </c>
      <c r="L30" s="68"/>
      <c r="N30" s="578"/>
    </row>
    <row r="31" spans="2:14" x14ac:dyDescent="0.25">
      <c r="B31" s="65"/>
      <c r="C31" s="66"/>
      <c r="D31" s="66" t="s">
        <v>277</v>
      </c>
      <c r="E31" s="66"/>
      <c r="F31" s="66" t="s">
        <v>277</v>
      </c>
      <c r="G31" s="66" t="s">
        <v>277</v>
      </c>
      <c r="H31" s="66" t="s">
        <v>277</v>
      </c>
      <c r="I31" s="66" t="s">
        <v>20</v>
      </c>
      <c r="J31" s="66" t="s">
        <v>277</v>
      </c>
      <c r="K31" s="66" t="s">
        <v>10</v>
      </c>
      <c r="L31" s="68"/>
      <c r="N31" s="420"/>
    </row>
    <row r="32" spans="2:14" x14ac:dyDescent="0.25">
      <c r="B32" s="48"/>
      <c r="C32" s="70"/>
      <c r="D32" s="70">
        <f>1.5*100000+10000</f>
        <v>160000</v>
      </c>
      <c r="E32" s="111">
        <f t="shared" ref="E32:E37" si="2">D32*C32</f>
        <v>0</v>
      </c>
      <c r="F32" s="70">
        <f>1.9*100000</f>
        <v>190000</v>
      </c>
      <c r="G32" s="634"/>
      <c r="H32" s="70"/>
      <c r="I32" s="111">
        <f t="shared" ref="I32:I37" si="3">H32*C32</f>
        <v>0</v>
      </c>
      <c r="J32" s="66">
        <f>IF(E32&lt;I32,D32,H32)</f>
        <v>0</v>
      </c>
      <c r="K32" s="17">
        <f t="shared" ref="K32:K37" si="4">J32*C32</f>
        <v>0</v>
      </c>
      <c r="L32" s="68"/>
      <c r="N32" s="420"/>
    </row>
    <row r="33" spans="2:14" x14ac:dyDescent="0.25">
      <c r="B33" s="48"/>
      <c r="C33" s="70">
        <v>75000</v>
      </c>
      <c r="D33" s="70">
        <f>E71</f>
        <v>811.62047619047621</v>
      </c>
      <c r="E33" s="111">
        <f t="shared" si="2"/>
        <v>60871535.714285716</v>
      </c>
      <c r="F33" s="49">
        <f>1.08</f>
        <v>1.08</v>
      </c>
      <c r="G33" s="634">
        <v>0.22</v>
      </c>
      <c r="H33" s="70">
        <f>F33-G33</f>
        <v>0.8600000000000001</v>
      </c>
      <c r="I33" s="111">
        <f t="shared" si="3"/>
        <v>64500.000000000007</v>
      </c>
      <c r="J33" s="66">
        <f>IF(E33&lt;I33,D33,H33)</f>
        <v>0.8600000000000001</v>
      </c>
      <c r="K33" s="17">
        <f t="shared" si="4"/>
        <v>64500.000000000007</v>
      </c>
      <c r="L33" s="68"/>
      <c r="N33" s="578"/>
    </row>
    <row r="34" spans="2:14" x14ac:dyDescent="0.25">
      <c r="B34" s="48"/>
      <c r="C34" s="70"/>
      <c r="D34" s="70"/>
      <c r="E34" s="111">
        <f t="shared" si="2"/>
        <v>0</v>
      </c>
      <c r="F34" s="49"/>
      <c r="G34" s="49"/>
      <c r="H34" s="70"/>
      <c r="I34" s="111">
        <f t="shared" si="3"/>
        <v>0</v>
      </c>
      <c r="J34" s="66">
        <f>IF(D34&lt;H34,D34,H34)</f>
        <v>0</v>
      </c>
      <c r="K34" s="17">
        <f t="shared" si="4"/>
        <v>0</v>
      </c>
      <c r="L34" s="68"/>
      <c r="N34" s="420"/>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row>
    <row r="37" spans="2:14" x14ac:dyDescent="0.25">
      <c r="B37" s="48"/>
      <c r="C37" s="70"/>
      <c r="D37" s="70"/>
      <c r="E37" s="111">
        <f t="shared" si="2"/>
        <v>0</v>
      </c>
      <c r="F37" s="49"/>
      <c r="G37" s="49"/>
      <c r="H37" s="70"/>
      <c r="I37" s="111">
        <f t="shared" si="3"/>
        <v>0</v>
      </c>
      <c r="J37" s="66">
        <f>IF(D37&lt;H37,D37,H37)</f>
        <v>0</v>
      </c>
      <c r="K37" s="17">
        <f t="shared" si="4"/>
        <v>0</v>
      </c>
      <c r="L37" s="68"/>
      <c r="N37" s="626"/>
    </row>
    <row r="38" spans="2:14" ht="15.75" thickBot="1" x14ac:dyDescent="0.3">
      <c r="B38" s="65"/>
      <c r="C38" s="66"/>
      <c r="D38" s="66"/>
      <c r="E38" s="17">
        <f>SUM(E32:E37)</f>
        <v>60871535.714285716</v>
      </c>
      <c r="F38" s="66"/>
      <c r="G38" s="66"/>
      <c r="H38" s="66"/>
      <c r="I38" s="17"/>
      <c r="J38" s="66"/>
      <c r="K38" s="94">
        <f>SUM(K32:K37)</f>
        <v>64500.000000000007</v>
      </c>
      <c r="L38" s="68"/>
      <c r="N38" s="626"/>
    </row>
    <row r="39" spans="2:14" ht="16.5" thickTop="1" thickBot="1" x14ac:dyDescent="0.3">
      <c r="B39" s="72"/>
      <c r="C39" s="73"/>
      <c r="D39" s="73"/>
      <c r="E39" s="73"/>
      <c r="F39" s="73"/>
      <c r="G39" s="73"/>
      <c r="H39" s="73"/>
      <c r="I39" s="73"/>
      <c r="J39" s="73"/>
      <c r="K39" s="73"/>
      <c r="L39" s="82"/>
    </row>
    <row r="40" spans="2:14" x14ac:dyDescent="0.25">
      <c r="B40" s="66"/>
      <c r="C40" s="66"/>
      <c r="D40" s="66"/>
      <c r="E40" s="66"/>
      <c r="F40" s="66"/>
      <c r="G40" s="66"/>
    </row>
    <row r="41" spans="2:14" ht="15.75" thickBot="1" x14ac:dyDescent="0.3"/>
    <row r="42" spans="2:14" x14ac:dyDescent="0.25">
      <c r="B42" s="75" t="s">
        <v>318</v>
      </c>
      <c r="C42" s="63"/>
      <c r="D42" s="64"/>
      <c r="G42" s="12"/>
    </row>
    <row r="43" spans="2:14" x14ac:dyDescent="0.25">
      <c r="B43" s="65"/>
      <c r="C43" s="66"/>
      <c r="D43" s="68"/>
    </row>
    <row r="44" spans="2:14" x14ac:dyDescent="0.25">
      <c r="B44" s="65" t="s">
        <v>287</v>
      </c>
      <c r="C44" s="104"/>
      <c r="D44" s="68"/>
    </row>
    <row r="45" spans="2:14" x14ac:dyDescent="0.25">
      <c r="B45" s="65" t="s">
        <v>319</v>
      </c>
      <c r="C45" s="17">
        <f>K38</f>
        <v>64500.000000000007</v>
      </c>
      <c r="D45" s="68"/>
    </row>
    <row r="46" spans="2:14" x14ac:dyDescent="0.25">
      <c r="B46" s="65" t="s">
        <v>320</v>
      </c>
      <c r="C46" s="17">
        <f>C45-C44</f>
        <v>64500.000000000007</v>
      </c>
      <c r="D46" s="68"/>
      <c r="G46" s="12"/>
    </row>
    <row r="47" spans="2:14" x14ac:dyDescent="0.25">
      <c r="B47" s="65"/>
      <c r="C47" s="66"/>
      <c r="D47" s="68"/>
      <c r="H47" s="12">
        <f>31000/H49</f>
        <v>0.22187231606069283</v>
      </c>
    </row>
    <row r="48" spans="2:14" x14ac:dyDescent="0.25">
      <c r="B48" s="65"/>
      <c r="C48" s="101" t="s">
        <v>173</v>
      </c>
      <c r="D48" s="102" t="s">
        <v>165</v>
      </c>
    </row>
    <row r="49" spans="2:11" x14ac:dyDescent="0.25">
      <c r="B49" s="65"/>
      <c r="C49" s="101" t="s">
        <v>141</v>
      </c>
      <c r="D49" s="102" t="s">
        <v>141</v>
      </c>
      <c r="G49" t="s">
        <v>1970</v>
      </c>
      <c r="H49" s="11">
        <f>214720-75000</f>
        <v>139720</v>
      </c>
    </row>
    <row r="50" spans="2:11" x14ac:dyDescent="0.25">
      <c r="B50" s="65" t="s">
        <v>322</v>
      </c>
      <c r="C50" s="17">
        <f>-C46</f>
        <v>-64500.000000000007</v>
      </c>
      <c r="D50" s="68"/>
    </row>
    <row r="51" spans="2:11" x14ac:dyDescent="0.25">
      <c r="B51" s="65" t="s">
        <v>321</v>
      </c>
      <c r="C51" s="66"/>
      <c r="D51" s="71">
        <f>-C46</f>
        <v>-64500.000000000007</v>
      </c>
    </row>
    <row r="52" spans="2:11" x14ac:dyDescent="0.25">
      <c r="B52" s="65"/>
      <c r="C52" s="66"/>
      <c r="D52" s="68"/>
    </row>
    <row r="53" spans="2:11" ht="15.75" thickBot="1" x14ac:dyDescent="0.3">
      <c r="B53" s="72"/>
      <c r="C53" s="73"/>
      <c r="D53" s="82"/>
    </row>
    <row r="56" spans="2:11" ht="15.75" thickBot="1" x14ac:dyDescent="0.3"/>
    <row r="57" spans="2:11" x14ac:dyDescent="0.25">
      <c r="B57" s="75" t="s">
        <v>325</v>
      </c>
      <c r="C57" s="63"/>
      <c r="D57" s="84"/>
      <c r="E57" s="64"/>
      <c r="F57" s="420" t="s">
        <v>1212</v>
      </c>
    </row>
    <row r="58" spans="2:11" x14ac:dyDescent="0.25">
      <c r="B58" s="65"/>
      <c r="C58" s="66"/>
      <c r="D58" s="66"/>
      <c r="E58" s="126" t="s">
        <v>324</v>
      </c>
      <c r="F58" s="420" t="s">
        <v>1207</v>
      </c>
    </row>
    <row r="59" spans="2:11" x14ac:dyDescent="0.25">
      <c r="B59" s="65" t="s">
        <v>326</v>
      </c>
      <c r="C59" s="66"/>
      <c r="D59" s="66"/>
      <c r="E59" s="78">
        <v>806</v>
      </c>
      <c r="F59" s="420" t="s">
        <v>1211</v>
      </c>
    </row>
    <row r="60" spans="2:11" x14ac:dyDescent="0.25">
      <c r="B60" s="65"/>
      <c r="C60" s="66"/>
      <c r="D60" s="66"/>
      <c r="E60" s="68"/>
      <c r="F60" s="420" t="s">
        <v>1213</v>
      </c>
      <c r="K60" s="161"/>
    </row>
    <row r="61" spans="2:11" x14ac:dyDescent="0.25">
      <c r="B61" s="65" t="s">
        <v>317</v>
      </c>
      <c r="C61" s="66"/>
      <c r="D61" s="66"/>
      <c r="E61" s="78">
        <v>18000</v>
      </c>
      <c r="F61" s="420" t="s">
        <v>1206</v>
      </c>
    </row>
    <row r="62" spans="2:11" x14ac:dyDescent="0.25">
      <c r="B62" s="65" t="s">
        <v>327</v>
      </c>
      <c r="C62" s="66"/>
      <c r="D62" s="66"/>
      <c r="E62" s="78">
        <v>100000</v>
      </c>
    </row>
    <row r="63" spans="2:11" x14ac:dyDescent="0.25">
      <c r="B63" s="65"/>
      <c r="C63" s="66"/>
      <c r="D63" s="66"/>
      <c r="E63" s="68"/>
      <c r="F63" s="420" t="s">
        <v>1561</v>
      </c>
    </row>
    <row r="64" spans="2:11" x14ac:dyDescent="0.25">
      <c r="B64" s="65" t="s">
        <v>328</v>
      </c>
      <c r="C64" s="66" t="s">
        <v>380</v>
      </c>
      <c r="D64" s="66" t="s">
        <v>379</v>
      </c>
      <c r="E64" s="68"/>
    </row>
    <row r="65" spans="2:10" x14ac:dyDescent="0.25">
      <c r="B65" s="48" t="s">
        <v>1986</v>
      </c>
      <c r="C65" s="70">
        <v>-97500</v>
      </c>
      <c r="D65" s="70">
        <f>+(4*10000)+(5*6000)</f>
        <v>70000</v>
      </c>
      <c r="E65" s="160">
        <f>IF(C65&lt;&gt;0,C65/D65,0)</f>
        <v>-1.3928571428571428</v>
      </c>
    </row>
    <row r="66" spans="2:10" x14ac:dyDescent="0.25">
      <c r="B66" s="48" t="s">
        <v>1987</v>
      </c>
      <c r="C66" s="70">
        <v>28000</v>
      </c>
      <c r="D66" s="70">
        <v>6000</v>
      </c>
      <c r="E66" s="160">
        <f>IF(C66&lt;&gt;0,C66/D66,0)</f>
        <v>4.666666666666667</v>
      </c>
      <c r="F66" s="12"/>
    </row>
    <row r="67" spans="2:10" x14ac:dyDescent="0.25">
      <c r="B67" s="48" t="s">
        <v>1988</v>
      </c>
      <c r="C67" s="70">
        <v>13400</v>
      </c>
      <c r="D67" s="70">
        <f>2*6000</f>
        <v>12000</v>
      </c>
      <c r="E67" s="160">
        <f>IF(C67&lt;&gt;0,C67/D67,0)</f>
        <v>1.1166666666666667</v>
      </c>
      <c r="F67" s="12"/>
    </row>
    <row r="68" spans="2:10" x14ac:dyDescent="0.25">
      <c r="B68" s="48" t="s">
        <v>1989</v>
      </c>
      <c r="C68" s="70">
        <v>123000</v>
      </c>
      <c r="D68" s="70">
        <v>100000</v>
      </c>
      <c r="E68" s="160">
        <f>IF(C68&lt;&gt;0,C68/D68,0)</f>
        <v>1.23</v>
      </c>
      <c r="F68" s="420" t="s">
        <v>1971</v>
      </c>
    </row>
    <row r="69" spans="2:10" x14ac:dyDescent="0.25">
      <c r="B69" s="65"/>
      <c r="C69" s="66"/>
      <c r="D69" s="66"/>
      <c r="E69" s="54">
        <f>SUM(E65:E68)</f>
        <v>5.6204761904761913</v>
      </c>
    </row>
    <row r="70" spans="2:10" x14ac:dyDescent="0.25">
      <c r="B70" s="65"/>
      <c r="C70" s="66"/>
      <c r="D70" s="66"/>
      <c r="E70" s="68"/>
    </row>
    <row r="71" spans="2:10" x14ac:dyDescent="0.25">
      <c r="B71" s="65" t="s">
        <v>1439</v>
      </c>
      <c r="C71" s="66"/>
      <c r="D71" s="66"/>
      <c r="E71" s="71">
        <f>E59+E69</f>
        <v>811.62047619047621</v>
      </c>
      <c r="J71" s="93"/>
    </row>
    <row r="72" spans="2:10" ht="15.75" thickBot="1" x14ac:dyDescent="0.3">
      <c r="B72" s="153" t="s">
        <v>317</v>
      </c>
      <c r="C72" s="73"/>
      <c r="D72" s="73"/>
      <c r="E72" s="99">
        <f>E71*E61</f>
        <v>14609168.571428571</v>
      </c>
    </row>
    <row r="75" spans="2:10" ht="15.75" thickBot="1" x14ac:dyDescent="0.3"/>
    <row r="76" spans="2:10" x14ac:dyDescent="0.25">
      <c r="B76" s="75" t="s">
        <v>329</v>
      </c>
      <c r="C76" s="63"/>
      <c r="D76" s="63"/>
      <c r="E76" s="64"/>
    </row>
    <row r="77" spans="2:10" x14ac:dyDescent="0.25">
      <c r="B77" s="65"/>
      <c r="C77" s="142" t="s">
        <v>268</v>
      </c>
      <c r="D77" s="142" t="s">
        <v>330</v>
      </c>
      <c r="E77" s="143" t="s">
        <v>331</v>
      </c>
    </row>
    <row r="78" spans="2:10" x14ac:dyDescent="0.25">
      <c r="B78" s="65"/>
      <c r="C78" s="142"/>
      <c r="D78" s="142"/>
      <c r="E78" s="143"/>
    </row>
    <row r="79" spans="2:10" x14ac:dyDescent="0.25">
      <c r="B79" s="48"/>
      <c r="C79" s="49"/>
      <c r="D79" s="49"/>
      <c r="E79" s="162"/>
    </row>
    <row r="80" spans="2:10" x14ac:dyDescent="0.25">
      <c r="B80" s="48"/>
      <c r="C80" s="49"/>
      <c r="D80" s="49"/>
      <c r="E80" s="162"/>
    </row>
    <row r="81" spans="2:6" x14ac:dyDescent="0.25">
      <c r="B81" s="48"/>
      <c r="C81" s="49"/>
      <c r="D81" s="49"/>
      <c r="E81" s="162"/>
    </row>
    <row r="82" spans="2:6" x14ac:dyDescent="0.25">
      <c r="B82" s="48"/>
      <c r="C82" s="49"/>
      <c r="D82" s="49"/>
      <c r="E82" s="162"/>
    </row>
    <row r="83" spans="2:6" x14ac:dyDescent="0.25">
      <c r="B83" s="48"/>
      <c r="C83" s="49"/>
      <c r="D83" s="49"/>
      <c r="E83" s="162"/>
    </row>
    <row r="84" spans="2:6" ht="15.75" thickBot="1" x14ac:dyDescent="0.3">
      <c r="B84" s="153" t="s">
        <v>70</v>
      </c>
      <c r="C84" s="73"/>
      <c r="D84" s="73"/>
      <c r="E84" s="82"/>
    </row>
    <row r="86" spans="2:6" ht="15.75" thickBot="1" x14ac:dyDescent="0.3"/>
    <row r="87" spans="2:6" x14ac:dyDescent="0.25">
      <c r="B87" s="75" t="s">
        <v>415</v>
      </c>
      <c r="C87" s="63"/>
      <c r="D87" s="64"/>
    </row>
    <row r="88" spans="2:6" x14ac:dyDescent="0.25">
      <c r="B88" s="65" t="s">
        <v>416</v>
      </c>
      <c r="C88" s="66" t="s">
        <v>264</v>
      </c>
      <c r="D88" s="68" t="s">
        <v>277</v>
      </c>
    </row>
    <row r="89" spans="2:6" x14ac:dyDescent="0.25">
      <c r="B89" s="48"/>
      <c r="C89" s="49"/>
      <c r="D89" s="100"/>
      <c r="F89" s="420" t="s">
        <v>1209</v>
      </c>
    </row>
    <row r="90" spans="2:6" x14ac:dyDescent="0.25">
      <c r="B90" s="48"/>
      <c r="C90" s="49"/>
      <c r="D90" s="100"/>
      <c r="F90" s="420"/>
    </row>
    <row r="91" spans="2:6" x14ac:dyDescent="0.25">
      <c r="B91" s="48"/>
      <c r="C91" s="49"/>
      <c r="D91" s="100"/>
      <c r="F91" s="420" t="s">
        <v>1210</v>
      </c>
    </row>
    <row r="92" spans="2:6" ht="15.75" thickBot="1" x14ac:dyDescent="0.3">
      <c r="B92" s="56"/>
      <c r="C92" s="57"/>
      <c r="D92" s="671"/>
    </row>
    <row r="94" spans="2:6" x14ac:dyDescent="0.25">
      <c r="D94" s="24"/>
    </row>
    <row r="95" spans="2:6" x14ac:dyDescent="0.25">
      <c r="D95" s="24"/>
    </row>
    <row r="97" spans="2:9" ht="15.75" thickBot="1" x14ac:dyDescent="0.3"/>
    <row r="98" spans="2:9" x14ac:dyDescent="0.25">
      <c r="B98" s="75" t="s">
        <v>1636</v>
      </c>
      <c r="C98" s="63"/>
      <c r="D98" s="63"/>
      <c r="E98" s="63"/>
      <c r="F98" s="63"/>
      <c r="G98" s="64"/>
      <c r="I98" s="420" t="s">
        <v>1874</v>
      </c>
    </row>
    <row r="99" spans="2:9" x14ac:dyDescent="0.25">
      <c r="B99" s="48" t="s">
        <v>1045</v>
      </c>
      <c r="C99" s="66" t="s">
        <v>1628</v>
      </c>
      <c r="D99" s="66"/>
      <c r="E99" s="66"/>
      <c r="F99" s="49"/>
      <c r="G99" s="68"/>
      <c r="I99" s="420" t="s">
        <v>1875</v>
      </c>
    </row>
    <row r="100" spans="2:9" x14ac:dyDescent="0.25">
      <c r="B100" s="65"/>
      <c r="C100" s="66"/>
      <c r="D100" s="66"/>
      <c r="E100" s="66"/>
      <c r="F100" s="66"/>
      <c r="G100" s="68"/>
      <c r="I100" s="420"/>
    </row>
    <row r="101" spans="2:9" x14ac:dyDescent="0.25">
      <c r="B101" s="48" t="s">
        <v>1044</v>
      </c>
      <c r="C101" s="66" t="s">
        <v>1630</v>
      </c>
      <c r="D101" s="66"/>
      <c r="E101" s="66"/>
      <c r="F101" s="49">
        <v>672831</v>
      </c>
      <c r="G101" s="68"/>
    </row>
    <row r="102" spans="2:9" x14ac:dyDescent="0.25">
      <c r="B102" s="65"/>
      <c r="C102" s="66" t="s">
        <v>1629</v>
      </c>
      <c r="D102" s="66"/>
      <c r="E102" s="66"/>
      <c r="F102" s="49"/>
      <c r="G102" s="68"/>
    </row>
    <row r="103" spans="2:9" x14ac:dyDescent="0.25">
      <c r="B103" s="65"/>
      <c r="C103" s="66" t="s">
        <v>1632</v>
      </c>
      <c r="D103" s="66"/>
      <c r="E103" s="66"/>
      <c r="F103" s="66">
        <f>F102-F101</f>
        <v>-672831</v>
      </c>
      <c r="G103" s="68"/>
    </row>
    <row r="104" spans="2:9" x14ac:dyDescent="0.25">
      <c r="B104" s="65"/>
      <c r="C104" s="66"/>
      <c r="D104" s="66"/>
      <c r="E104" s="66"/>
      <c r="F104" s="66"/>
      <c r="G104" s="68"/>
    </row>
    <row r="105" spans="2:9" x14ac:dyDescent="0.25">
      <c r="B105" s="48" t="s">
        <v>1631</v>
      </c>
      <c r="C105" s="66" t="s">
        <v>1630</v>
      </c>
      <c r="D105" s="66"/>
      <c r="E105" s="66"/>
      <c r="F105" s="49"/>
      <c r="G105" s="68"/>
    </row>
    <row r="106" spans="2:9" x14ac:dyDescent="0.25">
      <c r="B106" s="65"/>
      <c r="C106" s="66"/>
      <c r="D106" s="66"/>
      <c r="E106" s="66"/>
      <c r="F106" s="66"/>
      <c r="G106" s="68"/>
    </row>
    <row r="107" spans="2:9" x14ac:dyDescent="0.25">
      <c r="B107" s="65" t="s">
        <v>1634</v>
      </c>
      <c r="C107" s="66"/>
      <c r="D107" s="66"/>
      <c r="E107" s="66"/>
      <c r="F107" s="49"/>
      <c r="G107" s="68"/>
    </row>
    <row r="108" spans="2:9" x14ac:dyDescent="0.25">
      <c r="B108" s="65"/>
      <c r="C108" s="66"/>
      <c r="D108" s="66"/>
      <c r="E108" s="66"/>
      <c r="F108" s="66"/>
      <c r="G108" s="68"/>
    </row>
    <row r="109" spans="2:9" x14ac:dyDescent="0.25">
      <c r="B109" s="65" t="s">
        <v>1633</v>
      </c>
      <c r="C109" s="660" t="str">
        <f>" ("&amp;F102&amp;"- "&amp;F107&amp;") = "&amp;F102-F107</f>
        <v xml:space="preserve"> (- ) = 0</v>
      </c>
      <c r="D109" s="66"/>
      <c r="E109" s="66"/>
      <c r="F109" s="66">
        <f>F102-F107</f>
        <v>0</v>
      </c>
      <c r="G109" s="68"/>
    </row>
    <row r="110" spans="2:9" x14ac:dyDescent="0.25">
      <c r="B110" s="65"/>
      <c r="C110" s="66"/>
      <c r="D110" s="66"/>
      <c r="E110" s="66"/>
      <c r="F110" s="66"/>
      <c r="G110" s="68"/>
    </row>
    <row r="111" spans="2:9" x14ac:dyDescent="0.25">
      <c r="B111" s="672"/>
      <c r="C111" s="66"/>
      <c r="D111" s="66"/>
      <c r="E111" s="66"/>
      <c r="F111" s="66"/>
      <c r="G111" s="68"/>
    </row>
    <row r="112" spans="2:9" x14ac:dyDescent="0.25">
      <c r="B112" s="673" t="s">
        <v>699</v>
      </c>
      <c r="C112" s="66"/>
      <c r="D112" s="66"/>
      <c r="E112" s="66">
        <f>F109</f>
        <v>0</v>
      </c>
      <c r="F112" s="66"/>
      <c r="G112" s="68"/>
      <c r="H112" s="420" t="s">
        <v>1644</v>
      </c>
    </row>
    <row r="113" spans="2:7" x14ac:dyDescent="0.25">
      <c r="B113" s="65" t="s">
        <v>1635</v>
      </c>
      <c r="C113" s="66"/>
      <c r="D113" s="66"/>
      <c r="E113" s="66">
        <f>F107</f>
        <v>0</v>
      </c>
      <c r="F113" s="66"/>
      <c r="G113" s="68"/>
    </row>
    <row r="114" spans="2:7" x14ac:dyDescent="0.25">
      <c r="B114" s="65" t="s">
        <v>321</v>
      </c>
      <c r="C114" s="66"/>
      <c r="D114" s="66"/>
      <c r="E114" s="66"/>
      <c r="F114" s="66">
        <f>F105</f>
        <v>0</v>
      </c>
      <c r="G114" s="68"/>
    </row>
    <row r="115" spans="2:7" x14ac:dyDescent="0.25">
      <c r="B115" s="65"/>
      <c r="C115" s="66"/>
      <c r="D115" s="66"/>
      <c r="E115" s="66"/>
      <c r="F115" s="66"/>
      <c r="G115" s="68"/>
    </row>
    <row r="116" spans="2:7" x14ac:dyDescent="0.25">
      <c r="B116" s="65"/>
      <c r="C116" s="66"/>
      <c r="D116" s="66"/>
      <c r="E116" s="66"/>
      <c r="F116" s="66"/>
      <c r="G116" s="68"/>
    </row>
    <row r="117" spans="2:7" x14ac:dyDescent="0.25">
      <c r="B117" s="496" t="s">
        <v>1873</v>
      </c>
      <c r="C117" s="66"/>
      <c r="D117" s="66"/>
      <c r="E117" s="66"/>
      <c r="F117" s="66"/>
      <c r="G117" s="68"/>
    </row>
    <row r="118" spans="2:7" x14ac:dyDescent="0.25">
      <c r="B118" s="80" t="s">
        <v>1637</v>
      </c>
      <c r="C118" s="66"/>
      <c r="D118" s="66"/>
      <c r="E118" s="66"/>
      <c r="F118" s="66"/>
      <c r="G118" s="68"/>
    </row>
    <row r="119" spans="2:7" x14ac:dyDescent="0.25">
      <c r="B119" s="65" t="s">
        <v>1638</v>
      </c>
      <c r="C119" s="66"/>
      <c r="D119" s="66"/>
      <c r="E119" s="66"/>
      <c r="F119" s="70"/>
      <c r="G119" s="68"/>
    </row>
    <row r="120" spans="2:7" x14ac:dyDescent="0.25">
      <c r="B120" s="65" t="s">
        <v>1639</v>
      </c>
      <c r="C120" s="66"/>
      <c r="D120" s="66"/>
      <c r="E120" s="66"/>
      <c r="F120" s="70"/>
      <c r="G120" s="68"/>
    </row>
    <row r="121" spans="2:7" x14ac:dyDescent="0.25">
      <c r="B121" s="65"/>
      <c r="C121" s="66"/>
      <c r="D121" s="66"/>
      <c r="E121" s="66"/>
      <c r="F121" s="85">
        <f>F119+F120</f>
        <v>0</v>
      </c>
      <c r="G121" s="68"/>
    </row>
    <row r="122" spans="2:7" x14ac:dyDescent="0.25">
      <c r="B122" s="65" t="s">
        <v>1640</v>
      </c>
      <c r="C122" s="66"/>
      <c r="D122" s="66"/>
      <c r="E122" s="66"/>
      <c r="F122" s="70"/>
      <c r="G122" s="68"/>
    </row>
    <row r="123" spans="2:7" x14ac:dyDescent="0.25">
      <c r="B123" s="65" t="s">
        <v>1641</v>
      </c>
      <c r="C123" s="66"/>
      <c r="D123" s="66"/>
      <c r="E123" s="66"/>
      <c r="F123" s="85">
        <f>F122-F121</f>
        <v>0</v>
      </c>
      <c r="G123" s="68"/>
    </row>
    <row r="124" spans="2:7" x14ac:dyDescent="0.25">
      <c r="B124" s="65"/>
      <c r="C124" s="66"/>
      <c r="D124" s="66"/>
      <c r="E124" s="66"/>
      <c r="F124" s="66"/>
      <c r="G124" s="68"/>
    </row>
    <row r="125" spans="2:7" x14ac:dyDescent="0.25">
      <c r="B125" s="673" t="s">
        <v>1642</v>
      </c>
      <c r="C125" s="66"/>
      <c r="D125" s="66"/>
      <c r="E125" s="85">
        <f>F123</f>
        <v>0</v>
      </c>
      <c r="F125" s="85"/>
      <c r="G125" s="68"/>
    </row>
    <row r="126" spans="2:7" x14ac:dyDescent="0.25">
      <c r="B126" s="673" t="s">
        <v>1643</v>
      </c>
      <c r="C126" s="66"/>
      <c r="D126" s="66"/>
      <c r="E126" s="85"/>
      <c r="F126" s="85">
        <f>F123</f>
        <v>0</v>
      </c>
      <c r="G126" s="68"/>
    </row>
    <row r="127" spans="2:7" ht="15.75" thickBot="1" x14ac:dyDescent="0.3">
      <c r="B127" s="72"/>
      <c r="C127" s="73"/>
      <c r="D127" s="73"/>
      <c r="E127" s="73"/>
      <c r="F127" s="73"/>
      <c r="G127"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topLeftCell="G10" zoomScale="130" zoomScaleNormal="130" workbookViewId="0">
      <selection activeCell="C26" sqref="C26:C27"/>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5" t="s">
        <v>180</v>
      </c>
    </row>
    <row r="2" spans="2:19" x14ac:dyDescent="0.25">
      <c r="B2" s="420" t="s">
        <v>181</v>
      </c>
    </row>
    <row r="3" spans="2:19" x14ac:dyDescent="0.25">
      <c r="B3" s="420" t="s">
        <v>306</v>
      </c>
    </row>
    <row r="4" spans="2:19" x14ac:dyDescent="0.25">
      <c r="B4" s="420" t="s">
        <v>182</v>
      </c>
    </row>
    <row r="5" spans="2:19" x14ac:dyDescent="0.25">
      <c r="B5" s="420" t="s">
        <v>307</v>
      </c>
    </row>
    <row r="7" spans="2:19" x14ac:dyDescent="0.25">
      <c r="B7" s="420" t="s">
        <v>1430</v>
      </c>
      <c r="G7" s="420" t="s">
        <v>1220</v>
      </c>
    </row>
    <row r="8" spans="2:19" x14ac:dyDescent="0.25">
      <c r="B8" s="420" t="s">
        <v>1429</v>
      </c>
      <c r="G8" s="420" t="s">
        <v>1221</v>
      </c>
    </row>
    <row r="9" spans="2:19" x14ac:dyDescent="0.25">
      <c r="B9" s="420" t="s">
        <v>1433</v>
      </c>
      <c r="G9" s="420" t="s">
        <v>1222</v>
      </c>
    </row>
    <row r="10" spans="2:19" x14ac:dyDescent="0.25">
      <c r="B10" s="420" t="s">
        <v>1432</v>
      </c>
      <c r="G10" s="420" t="s">
        <v>1223</v>
      </c>
    </row>
    <row r="11" spans="2:19" x14ac:dyDescent="0.25">
      <c r="B11" s="420" t="s">
        <v>1435</v>
      </c>
    </row>
    <row r="12" spans="2:19" x14ac:dyDescent="0.25">
      <c r="B12" s="420" t="s">
        <v>1434</v>
      </c>
      <c r="G12" s="677" t="s">
        <v>1647</v>
      </c>
    </row>
    <row r="13" spans="2:19" ht="15.75" thickBot="1" x14ac:dyDescent="0.3">
      <c r="B13" s="495" t="s">
        <v>1431</v>
      </c>
    </row>
    <row r="14" spans="2:19" ht="15.75" thickBot="1" x14ac:dyDescent="0.3">
      <c r="K14" s="145" t="s">
        <v>167</v>
      </c>
      <c r="L14" s="146"/>
      <c r="M14" s="147"/>
    </row>
    <row r="15" spans="2:19" x14ac:dyDescent="0.25">
      <c r="B15" s="15" t="s">
        <v>139</v>
      </c>
      <c r="C15" s="23">
        <f>IF(C20="advance",C17+C18+C16,C17+C16)</f>
        <v>996.8</v>
      </c>
      <c r="D15" t="s">
        <v>228</v>
      </c>
      <c r="E15" s="92" t="s">
        <v>1731</v>
      </c>
      <c r="K15" s="65"/>
      <c r="L15" s="137" t="s">
        <v>164</v>
      </c>
      <c r="M15" s="138" t="s">
        <v>165</v>
      </c>
    </row>
    <row r="16" spans="2:19" x14ac:dyDescent="0.25">
      <c r="B16" s="15" t="s">
        <v>311</v>
      </c>
      <c r="C16" s="34">
        <v>14</v>
      </c>
      <c r="E16" s="92" t="s">
        <v>312</v>
      </c>
      <c r="K16" s="65"/>
      <c r="L16" s="137"/>
      <c r="M16" s="138"/>
      <c r="R16" s="11"/>
      <c r="S16" s="11"/>
    </row>
    <row r="17" spans="2:19" x14ac:dyDescent="0.25">
      <c r="B17" s="15" t="s">
        <v>138</v>
      </c>
      <c r="C17" s="34">
        <f>+(C18*C21*2)-C25</f>
        <v>982.8</v>
      </c>
      <c r="D17" t="str">
        <f ca="1">IFERROR(_xlfn.FORMULATEXT(C17)," ")</f>
        <v>=+(C18*C21*2)-C25</v>
      </c>
      <c r="E17" t="s">
        <v>310</v>
      </c>
      <c r="K17" s="65"/>
      <c r="L17" s="142" t="s">
        <v>10</v>
      </c>
      <c r="M17" s="143" t="s">
        <v>10</v>
      </c>
      <c r="R17" s="11"/>
      <c r="S17" s="11"/>
    </row>
    <row r="18" spans="2:19" x14ac:dyDescent="0.25">
      <c r="B18" s="15" t="s">
        <v>140</v>
      </c>
      <c r="C18" s="34">
        <v>72</v>
      </c>
      <c r="K18" s="65" t="s">
        <v>168</v>
      </c>
      <c r="L18" s="106">
        <f>C15</f>
        <v>996.8</v>
      </c>
      <c r="M18" s="68"/>
      <c r="R18" s="11"/>
      <c r="S18" s="11"/>
    </row>
    <row r="19" spans="2:19" x14ac:dyDescent="0.25">
      <c r="B19" s="15" t="s">
        <v>134</v>
      </c>
      <c r="C19" s="35">
        <v>4.8500000000000001E-2</v>
      </c>
      <c r="K19" s="65" t="s">
        <v>169</v>
      </c>
      <c r="L19" s="66"/>
      <c r="M19" s="117">
        <f>C17</f>
        <v>982.8</v>
      </c>
    </row>
    <row r="20" spans="2:19" x14ac:dyDescent="0.25">
      <c r="B20" s="15" t="s">
        <v>135</v>
      </c>
      <c r="C20" s="36" t="s">
        <v>136</v>
      </c>
      <c r="K20" s="65" t="s">
        <v>170</v>
      </c>
      <c r="L20" s="66"/>
      <c r="M20" s="144">
        <f>IF(C20="advance",C18,0)</f>
        <v>0</v>
      </c>
    </row>
    <row r="21" spans="2:19" x14ac:dyDescent="0.25">
      <c r="B21" s="15" t="s">
        <v>144</v>
      </c>
      <c r="C21" s="36">
        <v>7</v>
      </c>
      <c r="K21" s="48" t="s">
        <v>315</v>
      </c>
      <c r="L21" s="105">
        <f>IF(C16&lt;0,C16,0)</f>
        <v>0</v>
      </c>
      <c r="M21" s="117">
        <f>IF(C16&gt;0,C16,0)</f>
        <v>14</v>
      </c>
    </row>
    <row r="22" spans="2:19" x14ac:dyDescent="0.25">
      <c r="B22" s="15" t="s">
        <v>145</v>
      </c>
      <c r="C22" s="36">
        <v>7</v>
      </c>
      <c r="K22" s="65"/>
      <c r="L22" s="66"/>
      <c r="M22" s="68"/>
    </row>
    <row r="23" spans="2:19" x14ac:dyDescent="0.25">
      <c r="B23" s="15" t="s">
        <v>149</v>
      </c>
      <c r="C23" s="36" t="s">
        <v>148</v>
      </c>
      <c r="E23" s="12"/>
      <c r="K23" s="65"/>
      <c r="L23" s="66"/>
      <c r="M23" s="68"/>
      <c r="R23" s="11"/>
    </row>
    <row r="24" spans="2:19" x14ac:dyDescent="0.25">
      <c r="B24" s="15" t="s">
        <v>178</v>
      </c>
      <c r="C24" s="34">
        <f>28*0.9</f>
        <v>25.2</v>
      </c>
      <c r="D24" s="12"/>
      <c r="F24" s="37" t="s">
        <v>183</v>
      </c>
      <c r="K24" s="65"/>
      <c r="L24" s="66"/>
      <c r="M24" s="68"/>
      <c r="S24" s="11"/>
    </row>
    <row r="25" spans="2:19" x14ac:dyDescent="0.25">
      <c r="B25" s="15" t="s">
        <v>179</v>
      </c>
      <c r="C25" s="34">
        <f>28*0.9</f>
        <v>25.2</v>
      </c>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31"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982.8</v>
      </c>
      <c r="D31" s="85">
        <f t="shared" ref="D31:D36" si="0">IF($C$20="arrears",C31*$C$19,(C31+E31)*$C$19)</f>
        <v>47.665799999999997</v>
      </c>
      <c r="E31" s="106">
        <f>IF(C20="ADVANCE",0,-$C$18)</f>
        <v>-72</v>
      </c>
      <c r="F31" s="71">
        <f t="shared" ref="F31:F36" si="1">C31+D31+E31</f>
        <v>958.46579999999994</v>
      </c>
      <c r="I31" s="12"/>
      <c r="K31" s="65" t="s">
        <v>309</v>
      </c>
      <c r="L31" s="17">
        <f>D31</f>
        <v>47.665799999999997</v>
      </c>
      <c r="M31" s="68"/>
    </row>
    <row r="32" spans="2:19" x14ac:dyDescent="0.25">
      <c r="B32" s="139">
        <f>B31+366</f>
        <v>44165</v>
      </c>
      <c r="C32" s="85">
        <f>F31</f>
        <v>958.46579999999994</v>
      </c>
      <c r="D32" s="85">
        <f t="shared" si="0"/>
        <v>46.485591299999996</v>
      </c>
      <c r="E32" s="106">
        <f>-$C$18</f>
        <v>-72</v>
      </c>
      <c r="F32" s="71">
        <f t="shared" si="1"/>
        <v>932.95139129999995</v>
      </c>
      <c r="H32" s="12"/>
      <c r="K32" s="65" t="s">
        <v>166</v>
      </c>
      <c r="L32" s="85">
        <f>IF((D31+E31)&lt;0,-(D31+E31),0)</f>
        <v>24.334200000000003</v>
      </c>
      <c r="M32" s="79">
        <f>IF((D31+E31)&gt;0,(D31+E31),0)</f>
        <v>0</v>
      </c>
    </row>
    <row r="33" spans="2:13" x14ac:dyDescent="0.25">
      <c r="B33" s="139">
        <f>B32+365</f>
        <v>44530</v>
      </c>
      <c r="C33" s="85">
        <f>F32</f>
        <v>932.95139129999995</v>
      </c>
      <c r="D33" s="85">
        <f t="shared" si="0"/>
        <v>45.248142478049999</v>
      </c>
      <c r="E33" s="106">
        <f>-$C$18</f>
        <v>-72</v>
      </c>
      <c r="F33" s="71">
        <f t="shared" si="1"/>
        <v>906.19953377804995</v>
      </c>
      <c r="I33" s="12"/>
      <c r="J33" s="12"/>
      <c r="K33" s="48" t="s">
        <v>315</v>
      </c>
      <c r="L33" s="66"/>
      <c r="M33" s="117">
        <f>E31</f>
        <v>-72</v>
      </c>
    </row>
    <row r="34" spans="2:13" x14ac:dyDescent="0.25">
      <c r="B34" s="139">
        <f>B33+365</f>
        <v>44895</v>
      </c>
      <c r="C34" s="17">
        <f>F33</f>
        <v>906.19953377804995</v>
      </c>
      <c r="D34" s="85">
        <f t="shared" si="0"/>
        <v>43.950677388235427</v>
      </c>
      <c r="E34" s="106">
        <f>-$C$18</f>
        <v>-72</v>
      </c>
      <c r="F34" s="140">
        <f t="shared" si="1"/>
        <v>878.15021116628543</v>
      </c>
      <c r="I34" s="12"/>
      <c r="J34" s="12"/>
      <c r="K34" s="65"/>
      <c r="L34" s="66"/>
      <c r="M34" s="68"/>
    </row>
    <row r="35" spans="2:13" x14ac:dyDescent="0.25">
      <c r="B35" s="139">
        <f>B34+365</f>
        <v>45260</v>
      </c>
      <c r="C35" s="17">
        <f>F34</f>
        <v>878.15021116628543</v>
      </c>
      <c r="D35" s="85">
        <f t="shared" si="0"/>
        <v>42.590285241564843</v>
      </c>
      <c r="E35" s="106">
        <f>-$C$18</f>
        <v>-72</v>
      </c>
      <c r="F35" s="71">
        <f t="shared" si="1"/>
        <v>848.74049640785029</v>
      </c>
      <c r="K35" s="65"/>
      <c r="L35" s="66"/>
      <c r="M35" s="68"/>
    </row>
    <row r="36" spans="2:13" x14ac:dyDescent="0.25">
      <c r="B36" s="139">
        <f>B35+365</f>
        <v>45625</v>
      </c>
      <c r="C36" s="17">
        <f>F35</f>
        <v>848.74049640785029</v>
      </c>
      <c r="D36" s="85">
        <f t="shared" si="0"/>
        <v>41.163914075780738</v>
      </c>
      <c r="E36" s="106">
        <f>-$C$18</f>
        <v>-72</v>
      </c>
      <c r="F36" s="71">
        <f t="shared" si="1"/>
        <v>817.90441048363107</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932.95139129999995</v>
      </c>
      <c r="D39" s="66"/>
      <c r="E39" s="66"/>
      <c r="F39" s="68"/>
      <c r="K39" s="65"/>
      <c r="L39" s="66"/>
      <c r="M39" s="68"/>
    </row>
    <row r="40" spans="2:13" x14ac:dyDescent="0.25">
      <c r="B40" s="65" t="s">
        <v>143</v>
      </c>
      <c r="C40" s="17">
        <f>F31-F32</f>
        <v>25.51440869999999</v>
      </c>
      <c r="D40" s="49" t="s">
        <v>314</v>
      </c>
      <c r="E40" s="17"/>
      <c r="F40" s="68"/>
      <c r="G40" t="s">
        <v>1437</v>
      </c>
      <c r="K40" s="65"/>
      <c r="L40" s="66"/>
      <c r="M40" s="68"/>
    </row>
    <row r="41" spans="2:13" ht="15.75" thickBot="1" x14ac:dyDescent="0.3">
      <c r="B41" s="80" t="str">
        <f>"Lease payable at year end"</f>
        <v>Lease payable at year end</v>
      </c>
      <c r="C41" s="33">
        <f>C39+C40</f>
        <v>958.46579999999994</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0" t="s">
        <v>1438</v>
      </c>
      <c r="K43" s="65"/>
      <c r="L43" s="142" t="s">
        <v>10</v>
      </c>
      <c r="M43" s="143" t="s">
        <v>10</v>
      </c>
    </row>
    <row r="44" spans="2:13" x14ac:dyDescent="0.25">
      <c r="B44" t="s">
        <v>139</v>
      </c>
      <c r="C44" s="11">
        <f>C15</f>
        <v>996.8</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0"/>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0" t="s">
        <v>905</v>
      </c>
      <c r="C49" s="12"/>
    </row>
    <row r="50" spans="2:13" x14ac:dyDescent="0.25">
      <c r="B50" s="420" t="s">
        <v>1819</v>
      </c>
      <c r="C50" s="12"/>
    </row>
    <row r="51" spans="2:13" x14ac:dyDescent="0.25">
      <c r="B51" s="420" t="s">
        <v>906</v>
      </c>
      <c r="C51" s="12"/>
    </row>
    <row r="52" spans="2:13" x14ac:dyDescent="0.25">
      <c r="B52" s="420" t="s">
        <v>907</v>
      </c>
      <c r="C52" s="12"/>
    </row>
    <row r="53" spans="2:13" x14ac:dyDescent="0.25">
      <c r="B53" s="491" t="s">
        <v>908</v>
      </c>
    </row>
    <row r="55" spans="2:13" x14ac:dyDescent="0.25">
      <c r="B55" s="15" t="s">
        <v>158</v>
      </c>
      <c r="C55" s="34"/>
      <c r="K55" s="833" t="s">
        <v>313</v>
      </c>
      <c r="L55" s="833"/>
      <c r="M55" s="833"/>
    </row>
    <row r="56" spans="2:13" x14ac:dyDescent="0.25">
      <c r="B56" s="15" t="s">
        <v>159</v>
      </c>
      <c r="C56" s="34"/>
      <c r="K56" s="833"/>
      <c r="L56" s="833"/>
      <c r="M56" s="833"/>
    </row>
    <row r="57" spans="2:13" x14ac:dyDescent="0.25">
      <c r="B57" s="15" t="s">
        <v>152</v>
      </c>
      <c r="C57" s="14"/>
      <c r="K57" s="833"/>
      <c r="L57" s="833"/>
      <c r="M57" s="833"/>
    </row>
    <row r="58" spans="2:13" x14ac:dyDescent="0.25">
      <c r="B58" s="15" t="s">
        <v>153</v>
      </c>
      <c r="C58" s="14"/>
      <c r="K58" s="833"/>
      <c r="L58" s="833"/>
      <c r="M58" s="833"/>
    </row>
    <row r="59" spans="2:13" x14ac:dyDescent="0.25">
      <c r="B59" s="15" t="s">
        <v>140</v>
      </c>
      <c r="C59" s="34"/>
      <c r="K59" s="420"/>
      <c r="L59" s="420"/>
      <c r="M59" s="420"/>
    </row>
    <row r="60" spans="2:13" x14ac:dyDescent="0.25">
      <c r="B60" s="15" t="s">
        <v>144</v>
      </c>
      <c r="C60" s="34"/>
      <c r="K60" s="420"/>
      <c r="L60" s="420"/>
      <c r="M60" s="420"/>
    </row>
    <row r="61" spans="2:13" x14ac:dyDescent="0.25">
      <c r="B61" s="15" t="s">
        <v>145</v>
      </c>
      <c r="C61" s="34"/>
      <c r="K61" s="420"/>
      <c r="L61" s="420"/>
      <c r="M61" s="420"/>
    </row>
    <row r="62" spans="2:13" x14ac:dyDescent="0.25">
      <c r="B62" s="15" t="s">
        <v>134</v>
      </c>
      <c r="C62" s="35"/>
      <c r="K62" s="420"/>
      <c r="L62" s="420"/>
      <c r="M62" s="420"/>
    </row>
    <row r="63" spans="2:13" x14ac:dyDescent="0.25">
      <c r="B63" s="15" t="s">
        <v>135</v>
      </c>
      <c r="C63" s="36"/>
      <c r="J63" s="40" t="e">
        <f>C64/C58</f>
        <v>#DIV/0!</v>
      </c>
      <c r="K63" s="420" t="s">
        <v>177</v>
      </c>
      <c r="L63" s="420"/>
      <c r="M63" s="420"/>
    </row>
    <row r="64" spans="2:13" x14ac:dyDescent="0.25">
      <c r="B64" s="15" t="s">
        <v>138</v>
      </c>
      <c r="C64" s="34"/>
      <c r="D64" s="37" t="str">
        <f ca="1">IFERROR(_xlfn.FORMULATEXT(C64)," ")</f>
        <v xml:space="preserve"> </v>
      </c>
      <c r="E64" s="37" t="s">
        <v>174</v>
      </c>
      <c r="J64" s="12"/>
      <c r="K64" s="420"/>
      <c r="L64" s="420"/>
      <c r="M64" s="420"/>
    </row>
    <row r="65" spans="2:13" x14ac:dyDescent="0.25">
      <c r="B65" s="15" t="s">
        <v>154</v>
      </c>
      <c r="C65" s="34"/>
      <c r="K65" s="420"/>
      <c r="L65" s="420"/>
      <c r="M65" s="420"/>
    </row>
    <row r="66" spans="2:13" x14ac:dyDescent="0.25">
      <c r="B66" s="15" t="s">
        <v>155</v>
      </c>
      <c r="C66" s="23">
        <f>C65-C57</f>
        <v>0</v>
      </c>
      <c r="D66" s="37" t="s">
        <v>161</v>
      </c>
      <c r="J66" s="550"/>
      <c r="K66" s="420"/>
      <c r="L66" s="420"/>
      <c r="M66" s="420"/>
    </row>
    <row r="67" spans="2:13" x14ac:dyDescent="0.25">
      <c r="J67" s="12"/>
      <c r="K67" s="420"/>
      <c r="L67" s="420"/>
      <c r="M67" s="420"/>
    </row>
    <row r="68" spans="2:13" x14ac:dyDescent="0.25">
      <c r="B68" s="664" t="s">
        <v>289</v>
      </c>
      <c r="C68" s="32">
        <f>C65</f>
        <v>0</v>
      </c>
      <c r="K68" s="420"/>
      <c r="L68" s="420"/>
      <c r="M68" s="420"/>
    </row>
    <row r="69" spans="2:13" x14ac:dyDescent="0.25">
      <c r="B69" t="s">
        <v>157</v>
      </c>
      <c r="C69" s="32">
        <f>C64</f>
        <v>0</v>
      </c>
      <c r="K69" s="420"/>
      <c r="L69" s="420"/>
      <c r="M69" s="420"/>
    </row>
    <row r="70" spans="2:13" x14ac:dyDescent="0.25">
      <c r="B70" t="s">
        <v>156</v>
      </c>
      <c r="C70" s="32" t="e">
        <f>(C57/C58)*C64</f>
        <v>#DIV/0!</v>
      </c>
      <c r="D70" s="37" t="s">
        <v>163</v>
      </c>
      <c r="K70" s="420" t="s">
        <v>176</v>
      </c>
      <c r="L70" s="420"/>
      <c r="M70" s="420"/>
    </row>
    <row r="71" spans="2:13" x14ac:dyDescent="0.25">
      <c r="B71" t="str">
        <f>IF(C66&gt;0,"CR SPL - gain on sale","DR  SPL - loss on sale")</f>
        <v>DR  SPL - loss on sale</v>
      </c>
      <c r="C71" s="11" t="e">
        <f>C66/C58*(C65-C64)</f>
        <v>#DIV/0!</v>
      </c>
      <c r="D71" s="37" t="s">
        <v>162</v>
      </c>
      <c r="K71" s="420" t="s">
        <v>175</v>
      </c>
      <c r="L71" s="420"/>
      <c r="M71" s="420"/>
    </row>
    <row r="72" spans="2:13" x14ac:dyDescent="0.25">
      <c r="B72" t="s">
        <v>417</v>
      </c>
      <c r="C72" s="11">
        <f>C55</f>
        <v>0</v>
      </c>
      <c r="K72" s="420"/>
      <c r="L72" s="420"/>
      <c r="M72" s="420"/>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3"/>
      <c r="D82" s="563"/>
    </row>
    <row r="83" spans="3:4" x14ac:dyDescent="0.25">
      <c r="C83" s="563"/>
      <c r="D83" s="563"/>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T21"/>
  <sheetViews>
    <sheetView zoomScale="80" zoomScaleNormal="80" workbookViewId="0"/>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1830</v>
      </c>
    </row>
    <row r="2" spans="1:20" x14ac:dyDescent="0.25">
      <c r="C2" s="1" t="s">
        <v>1101</v>
      </c>
      <c r="D2" s="1" t="s">
        <v>1766</v>
      </c>
      <c r="E2" s="1" t="s">
        <v>1765</v>
      </c>
      <c r="F2" s="1" t="s">
        <v>1826</v>
      </c>
      <c r="G2" s="1" t="s">
        <v>631</v>
      </c>
      <c r="H2" s="882" t="s">
        <v>1827</v>
      </c>
      <c r="I2" s="882"/>
      <c r="J2" s="1" t="s">
        <v>36</v>
      </c>
      <c r="K2" s="1" t="s">
        <v>1865</v>
      </c>
      <c r="L2" s="1" t="s">
        <v>397</v>
      </c>
      <c r="M2" s="1" t="s">
        <v>396</v>
      </c>
      <c r="N2" s="1" t="s">
        <v>515</v>
      </c>
      <c r="O2" s="1" t="s">
        <v>1867</v>
      </c>
      <c r="P2" s="1" t="s">
        <v>1879</v>
      </c>
      <c r="Q2" s="1" t="s">
        <v>1828</v>
      </c>
      <c r="R2" s="1" t="s">
        <v>169</v>
      </c>
      <c r="S2" s="1" t="s">
        <v>1864</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1825</v>
      </c>
      <c r="C5" s="14"/>
      <c r="D5" s="14"/>
      <c r="E5" s="14"/>
      <c r="F5" s="14"/>
      <c r="G5" s="14"/>
      <c r="H5" s="14"/>
      <c r="I5" s="14"/>
      <c r="J5" s="14"/>
      <c r="K5" s="14"/>
      <c r="L5" s="14"/>
      <c r="M5" s="14"/>
      <c r="N5" s="14"/>
      <c r="O5" s="14"/>
      <c r="P5" s="14"/>
      <c r="Q5" s="14"/>
      <c r="R5" s="14"/>
      <c r="S5" s="14"/>
    </row>
    <row r="6" spans="1:20" x14ac:dyDescent="0.25">
      <c r="A6" s="1" t="s">
        <v>1829</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1831</v>
      </c>
      <c r="C15" s="11">
        <f>SUM(C5:C14)</f>
        <v>0</v>
      </c>
      <c r="D15" s="11">
        <f t="shared" ref="D15:R15" si="0">SUM(D5:D14)</f>
        <v>0</v>
      </c>
      <c r="E15" s="11">
        <f t="shared" si="0"/>
        <v>0</v>
      </c>
      <c r="F15" s="11">
        <f t="shared" si="0"/>
        <v>0</v>
      </c>
      <c r="G15" s="11">
        <f t="shared" si="0"/>
        <v>0</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1876</v>
      </c>
      <c r="C18" s="12">
        <f>SUM(C6:C14)*0.19</f>
        <v>0</v>
      </c>
    </row>
    <row r="20" spans="1:4" x14ac:dyDescent="0.25">
      <c r="A20" s="176" t="s">
        <v>1155</v>
      </c>
      <c r="C20" s="12">
        <f>C18</f>
        <v>0</v>
      </c>
    </row>
    <row r="21" spans="1:4" x14ac:dyDescent="0.25">
      <c r="A21" s="176" t="s">
        <v>1877</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B2:AT128"/>
  <sheetViews>
    <sheetView topLeftCell="G1" zoomScale="80" zoomScaleNormal="80" workbookViewId="0">
      <pane ySplit="5" topLeftCell="A70" activePane="bottomLeft" state="frozen"/>
      <selection activeCell="B28" sqref="B28"/>
      <selection pane="bottomLeft" activeCell="Q90" sqref="Q90"/>
    </sheetView>
  </sheetViews>
  <sheetFormatPr defaultColWidth="3.5703125" defaultRowHeight="15" x14ac:dyDescent="0.25"/>
  <cols>
    <col min="1" max="1" width="3.5703125" style="591"/>
    <col min="2" max="2" width="73.7109375" style="591" customWidth="1"/>
    <col min="3" max="3" width="93.140625" style="610" hidden="1" customWidth="1"/>
    <col min="4" max="5" width="17.28515625" style="612" customWidth="1"/>
    <col min="6" max="16" width="3.5703125" style="591"/>
    <col min="17" max="17" width="48.28515625" style="591" bestFit="1" customWidth="1"/>
    <col min="18" max="18" width="28.28515625" style="591" bestFit="1" customWidth="1"/>
    <col min="19" max="19" width="17.7109375" style="591" bestFit="1" customWidth="1"/>
    <col min="20" max="20" width="25.85546875" style="591" bestFit="1" customWidth="1"/>
    <col min="21" max="23" width="3.5703125" style="591"/>
    <col min="24" max="24" width="5.140625" style="591" customWidth="1"/>
    <col min="25" max="32" width="3.5703125" style="591"/>
    <col min="33" max="33" width="13.5703125" style="591" customWidth="1"/>
    <col min="34" max="45" width="3.5703125" style="591"/>
    <col min="46" max="46" width="15.140625" style="591" customWidth="1"/>
    <col min="47" max="16384" width="3.5703125" style="591"/>
  </cols>
  <sheetData>
    <row r="2" spans="2:46" ht="18.75" customHeight="1" x14ac:dyDescent="0.25">
      <c r="B2" s="593" t="s">
        <v>654</v>
      </c>
      <c r="C2" s="883" t="s">
        <v>655</v>
      </c>
      <c r="D2" s="597"/>
      <c r="E2" s="597"/>
    </row>
    <row r="3" spans="2:46" ht="18.75" customHeight="1" x14ac:dyDescent="0.25">
      <c r="B3" s="594" t="s">
        <v>1287</v>
      </c>
      <c r="C3" s="884"/>
      <c r="D3" s="597"/>
      <c r="E3" s="597"/>
    </row>
    <row r="4" spans="2:46" ht="18.75" customHeight="1" thickBot="1" x14ac:dyDescent="0.3">
      <c r="B4" s="595" t="s">
        <v>717</v>
      </c>
      <c r="C4" s="885"/>
      <c r="D4" s="597"/>
      <c r="E4" s="597"/>
    </row>
    <row r="5" spans="2:46" ht="18.75" customHeight="1" x14ac:dyDescent="0.25">
      <c r="B5" s="596"/>
      <c r="C5" s="598" t="s">
        <v>663</v>
      </c>
      <c r="D5" s="599" t="s">
        <v>10</v>
      </c>
      <c r="E5" s="599" t="s">
        <v>10</v>
      </c>
      <c r="Q5" s="617" t="s">
        <v>1171</v>
      </c>
    </row>
    <row r="6" spans="2:46" ht="18.75" customHeight="1" x14ac:dyDescent="0.25">
      <c r="B6" s="594" t="s">
        <v>1218</v>
      </c>
      <c r="C6" s="592"/>
      <c r="D6" s="600"/>
      <c r="E6" s="600"/>
      <c r="Q6"/>
      <c r="R6"/>
      <c r="S6" s="13" t="s">
        <v>1044</v>
      </c>
      <c r="T6" s="13" t="s">
        <v>1045</v>
      </c>
      <c r="U6"/>
      <c r="V6" s="618"/>
      <c r="W6" s="618"/>
      <c r="X6" s="618"/>
    </row>
    <row r="7" spans="2:46" ht="18.75" customHeight="1" x14ac:dyDescent="0.25">
      <c r="B7" s="596" t="str">
        <f>IF(D7&gt;0,"Cash receipts from customers","Cashpaidtocustomers")</f>
        <v>Cashpaidtocustomers</v>
      </c>
      <c r="C7" s="592"/>
      <c r="D7" s="601">
        <f>R22</f>
        <v>0</v>
      </c>
      <c r="E7" s="600"/>
      <c r="Q7" s="1" t="s">
        <v>92</v>
      </c>
      <c r="R7"/>
      <c r="S7" s="2" t="s">
        <v>10</v>
      </c>
      <c r="T7" s="2" t="s">
        <v>10</v>
      </c>
      <c r="U7"/>
      <c r="V7" s="618"/>
      <c r="W7" s="618"/>
      <c r="X7" s="618"/>
      <c r="Z7" s="746" t="s">
        <v>69</v>
      </c>
      <c r="AA7" s="747"/>
      <c r="AB7" s="747"/>
      <c r="AC7" s="747"/>
      <c r="AD7" s="747"/>
      <c r="AE7" s="747"/>
      <c r="AF7" s="747"/>
      <c r="AG7" s="745"/>
      <c r="AJ7" s="746" t="s">
        <v>1173</v>
      </c>
      <c r="AK7" s="747"/>
      <c r="AL7" s="747"/>
      <c r="AM7" s="747"/>
      <c r="AN7" s="747"/>
      <c r="AO7" s="748"/>
      <c r="AP7" s="748"/>
      <c r="AQ7" s="748"/>
      <c r="AR7" s="748"/>
      <c r="AS7" s="748"/>
      <c r="AT7" s="748"/>
    </row>
    <row r="8" spans="2:46" ht="18.75" customHeight="1" x14ac:dyDescent="0.25">
      <c r="B8" s="596" t="str">
        <f>IF(D8&lt;0,"Cash paid to suppliers and employees","Cash received from suppliers")</f>
        <v>Cash received from suppliers</v>
      </c>
      <c r="C8" s="592"/>
      <c r="D8" s="602">
        <f>-T22</f>
        <v>0</v>
      </c>
      <c r="E8" s="600"/>
      <c r="Q8" t="s">
        <v>1172</v>
      </c>
      <c r="R8"/>
      <c r="S8" s="3"/>
      <c r="T8" s="3"/>
      <c r="U8"/>
      <c r="V8" s="618"/>
      <c r="W8" s="618"/>
      <c r="X8" s="618"/>
      <c r="Z8" s="747" t="s">
        <v>67</v>
      </c>
      <c r="AA8" s="747"/>
      <c r="AB8" s="747"/>
      <c r="AC8" s="747"/>
      <c r="AD8" s="747"/>
      <c r="AE8" s="747"/>
      <c r="AF8" s="747"/>
      <c r="AG8" s="744"/>
      <c r="AH8" s="687"/>
      <c r="AI8" s="687"/>
      <c r="AJ8" s="747" t="s">
        <v>1897</v>
      </c>
      <c r="AK8" s="747"/>
      <c r="AL8" s="747"/>
      <c r="AM8" s="747"/>
      <c r="AN8" s="747"/>
      <c r="AO8" s="748"/>
      <c r="AP8" s="748"/>
      <c r="AQ8" s="748"/>
      <c r="AR8" s="748"/>
      <c r="AS8" s="748"/>
      <c r="AT8" s="621"/>
    </row>
    <row r="9" spans="2:46" ht="18.75" customHeight="1" x14ac:dyDescent="0.25">
      <c r="B9" s="596" t="s">
        <v>1164</v>
      </c>
      <c r="C9" s="592"/>
      <c r="D9" s="603">
        <f>D7+D8</f>
        <v>0</v>
      </c>
      <c r="E9" s="600"/>
      <c r="Q9" t="s">
        <v>85</v>
      </c>
      <c r="R9"/>
      <c r="S9" s="3"/>
      <c r="T9" s="3"/>
      <c r="U9"/>
      <c r="V9" s="618"/>
      <c r="W9" s="618"/>
      <c r="X9" s="618"/>
      <c r="Z9" s="747" t="s">
        <v>1895</v>
      </c>
      <c r="AA9" s="747"/>
      <c r="AB9" s="747"/>
      <c r="AC9" s="747"/>
      <c r="AD9" s="747"/>
      <c r="AE9" s="747"/>
      <c r="AF9" s="747"/>
      <c r="AG9" s="744"/>
      <c r="AH9" s="687"/>
      <c r="AI9" s="687"/>
      <c r="AJ9" s="747" t="s">
        <v>1766</v>
      </c>
      <c r="AK9" s="747"/>
      <c r="AL9" s="747"/>
      <c r="AM9" s="747"/>
      <c r="AN9" s="747"/>
      <c r="AO9" s="748"/>
      <c r="AP9" s="748"/>
      <c r="AQ9" s="748"/>
      <c r="AR9" s="748"/>
      <c r="AS9" s="748"/>
      <c r="AT9" s="621"/>
    </row>
    <row r="10" spans="2:46" ht="18.75" customHeight="1" thickBot="1" x14ac:dyDescent="0.3">
      <c r="B10" s="596" t="s">
        <v>629</v>
      </c>
      <c r="C10" s="592" t="s">
        <v>1288</v>
      </c>
      <c r="D10" s="601">
        <f>T33</f>
        <v>0</v>
      </c>
      <c r="E10" s="600"/>
      <c r="Q10"/>
      <c r="R10"/>
      <c r="S10" s="225">
        <f>SUM(S8:S9)</f>
        <v>0</v>
      </c>
      <c r="T10" s="225">
        <f>SUM(T8:T9)</f>
        <v>0</v>
      </c>
      <c r="U10"/>
      <c r="V10" s="618"/>
      <c r="W10" s="618"/>
      <c r="X10" s="618"/>
      <c r="Z10" s="747" t="s">
        <v>1896</v>
      </c>
      <c r="AA10" s="747"/>
      <c r="AB10" s="747"/>
      <c r="AC10" s="747"/>
      <c r="AD10" s="747"/>
      <c r="AE10" s="747"/>
      <c r="AF10" s="747"/>
      <c r="AG10" s="744"/>
      <c r="AH10" s="687"/>
      <c r="AI10" s="687"/>
      <c r="AJ10" s="747" t="s">
        <v>1900</v>
      </c>
      <c r="AK10" s="747"/>
      <c r="AL10" s="747"/>
      <c r="AM10" s="747"/>
      <c r="AN10" s="747"/>
      <c r="AO10" s="748"/>
      <c r="AP10" s="748"/>
      <c r="AQ10" s="748"/>
      <c r="AR10" s="748"/>
      <c r="AS10" s="748"/>
      <c r="AT10" s="621"/>
    </row>
    <row r="11" spans="2:46" ht="18.75" customHeight="1" thickTop="1" x14ac:dyDescent="0.25">
      <c r="B11" s="596" t="s">
        <v>634</v>
      </c>
      <c r="C11" s="592"/>
      <c r="D11" s="602">
        <f>T42</f>
        <v>0</v>
      </c>
      <c r="E11" s="600"/>
      <c r="Q11"/>
      <c r="R11"/>
      <c r="S11"/>
      <c r="T11"/>
      <c r="U11"/>
      <c r="V11" s="618"/>
      <c r="W11" s="618"/>
      <c r="X11" s="618"/>
      <c r="Z11" s="747"/>
      <c r="AA11" s="747"/>
      <c r="AB11" s="747"/>
      <c r="AC11" s="747"/>
      <c r="AD11" s="747"/>
      <c r="AE11" s="747"/>
      <c r="AF11" s="747"/>
      <c r="AG11" s="745">
        <f>AG8-AG9+AG10</f>
        <v>0</v>
      </c>
      <c r="AH11" s="687"/>
      <c r="AI11" s="687"/>
      <c r="AJ11" s="747" t="s">
        <v>1901</v>
      </c>
      <c r="AK11" s="748"/>
      <c r="AL11" s="748"/>
      <c r="AM11" s="748"/>
      <c r="AN11" s="748"/>
      <c r="AO11" s="748"/>
      <c r="AP11" s="748"/>
      <c r="AQ11" s="748"/>
      <c r="AR11" s="748"/>
      <c r="AS11" s="748"/>
      <c r="AT11" s="621"/>
    </row>
    <row r="12" spans="2:46" ht="18.75" customHeight="1" x14ac:dyDescent="0.25">
      <c r="B12" s="604" t="s">
        <v>1289</v>
      </c>
      <c r="C12" s="592" t="s">
        <v>1290</v>
      </c>
      <c r="D12" s="605"/>
      <c r="E12" s="606">
        <f>SUM(D9:D11)</f>
        <v>0</v>
      </c>
      <c r="Q12"/>
      <c r="R12"/>
      <c r="S12"/>
      <c r="T12"/>
      <c r="U12"/>
      <c r="V12" s="618"/>
      <c r="W12" s="618"/>
      <c r="X12" s="618"/>
      <c r="AH12" s="687"/>
      <c r="AI12" s="687"/>
      <c r="AJ12" s="747" t="s">
        <v>1898</v>
      </c>
      <c r="AK12" s="747"/>
      <c r="AL12" s="747"/>
      <c r="AM12" s="747"/>
      <c r="AN12" s="747"/>
      <c r="AO12" s="748"/>
      <c r="AP12" s="748"/>
      <c r="AQ12" s="748"/>
      <c r="AR12" s="748"/>
      <c r="AS12" s="748"/>
      <c r="AT12" s="621"/>
    </row>
    <row r="13" spans="2:46" ht="18.75" customHeight="1" x14ac:dyDescent="0.25">
      <c r="B13" s="596"/>
      <c r="C13" s="592"/>
      <c r="D13" s="600"/>
      <c r="E13" s="600"/>
      <c r="Q13" t="s">
        <v>624</v>
      </c>
      <c r="R13"/>
      <c r="S13"/>
      <c r="T13"/>
      <c r="U13"/>
      <c r="V13" s="618"/>
      <c r="W13" s="618"/>
      <c r="X13" s="618"/>
      <c r="Z13" s="687"/>
      <c r="AA13" s="687"/>
      <c r="AB13" s="687"/>
      <c r="AC13" s="687"/>
      <c r="AD13" s="687"/>
      <c r="AE13" s="687"/>
      <c r="AF13" s="687"/>
      <c r="AG13" s="687"/>
      <c r="AH13" s="687"/>
      <c r="AI13" s="687"/>
      <c r="AJ13" s="747" t="s">
        <v>1899</v>
      </c>
      <c r="AK13" s="747"/>
      <c r="AL13" s="747"/>
      <c r="AM13" s="747"/>
      <c r="AN13" s="747"/>
      <c r="AO13" s="748"/>
      <c r="AP13" s="748"/>
      <c r="AQ13" s="748"/>
      <c r="AR13" s="748"/>
      <c r="AS13" s="748"/>
      <c r="AT13" s="621"/>
    </row>
    <row r="14" spans="2:46" ht="18.75" customHeight="1" x14ac:dyDescent="0.25">
      <c r="B14" s="594" t="s">
        <v>1219</v>
      </c>
      <c r="C14" s="592" t="s">
        <v>667</v>
      </c>
      <c r="D14" s="600"/>
      <c r="E14" s="600"/>
      <c r="Q14"/>
      <c r="R14" t="s">
        <v>625</v>
      </c>
      <c r="S14"/>
      <c r="T14" t="s">
        <v>86</v>
      </c>
      <c r="U14"/>
      <c r="V14" s="618"/>
      <c r="W14" s="618"/>
      <c r="X14" s="618"/>
      <c r="AJ14" s="748"/>
      <c r="AK14" s="748"/>
      <c r="AL14" s="748"/>
      <c r="AM14" s="748"/>
      <c r="AN14" s="748"/>
      <c r="AO14" s="748"/>
      <c r="AP14" s="748"/>
      <c r="AQ14" s="748"/>
      <c r="AR14" s="748"/>
      <c r="AS14" s="748"/>
      <c r="AT14" s="748">
        <f>SUM(AT8:AT13)</f>
        <v>0</v>
      </c>
    </row>
    <row r="15" spans="2:46" ht="18.75" customHeight="1" x14ac:dyDescent="0.25">
      <c r="B15" s="596" t="s">
        <v>1291</v>
      </c>
      <c r="C15" s="592"/>
      <c r="D15" s="601"/>
      <c r="E15" s="600"/>
      <c r="Q15"/>
      <c r="R15" s="2" t="s">
        <v>10</v>
      </c>
      <c r="S15"/>
      <c r="T15" s="2" t="s">
        <v>10</v>
      </c>
      <c r="U15"/>
      <c r="V15" s="618"/>
      <c r="W15" s="618"/>
      <c r="X15" s="618"/>
    </row>
    <row r="16" spans="2:46" ht="18.75" customHeight="1" x14ac:dyDescent="0.25">
      <c r="B16" s="596" t="s">
        <v>1292</v>
      </c>
      <c r="C16" s="592"/>
      <c r="D16" s="601"/>
      <c r="E16" s="600"/>
      <c r="Q16" s="15" t="s">
        <v>626</v>
      </c>
      <c r="R16" s="14"/>
      <c r="S16" s="15" t="s">
        <v>626</v>
      </c>
      <c r="T16" s="14"/>
      <c r="U16"/>
      <c r="V16" s="619" t="s">
        <v>1272</v>
      </c>
      <c r="W16" s="618"/>
      <c r="X16" s="618"/>
    </row>
    <row r="17" spans="2:27" ht="18.75" customHeight="1" x14ac:dyDescent="0.25">
      <c r="B17" s="596" t="s">
        <v>1293</v>
      </c>
      <c r="C17" s="592" t="s">
        <v>1294</v>
      </c>
      <c r="D17" s="601"/>
      <c r="E17" s="600"/>
      <c r="Q17" s="15" t="s">
        <v>58</v>
      </c>
      <c r="R17" s="14"/>
      <c r="S17" s="15" t="s">
        <v>69</v>
      </c>
      <c r="T17" s="14"/>
      <c r="U17"/>
      <c r="V17" s="619" t="s">
        <v>1174</v>
      </c>
      <c r="W17" s="618"/>
      <c r="X17" s="618"/>
    </row>
    <row r="18" spans="2:27" ht="18.75" customHeight="1" x14ac:dyDescent="0.25">
      <c r="B18" s="596" t="s">
        <v>1295</v>
      </c>
      <c r="C18" s="592" t="s">
        <v>1294</v>
      </c>
      <c r="D18" s="601"/>
      <c r="E18" s="600"/>
      <c r="Q18" s="15" t="s">
        <v>1271</v>
      </c>
      <c r="R18" s="3"/>
      <c r="S18" s="15" t="s">
        <v>721</v>
      </c>
      <c r="T18" s="14"/>
      <c r="U18"/>
      <c r="V18" s="618"/>
      <c r="W18" s="618"/>
      <c r="X18" s="618"/>
    </row>
    <row r="19" spans="2:27" ht="18.75" customHeight="1" x14ac:dyDescent="0.25">
      <c r="B19" s="596" t="s">
        <v>1296</v>
      </c>
      <c r="C19" s="592" t="s">
        <v>1297</v>
      </c>
      <c r="D19" s="601"/>
      <c r="E19" s="600"/>
      <c r="Q19" s="176" t="s">
        <v>1270</v>
      </c>
      <c r="R19" s="3"/>
      <c r="S19" s="15" t="s">
        <v>1173</v>
      </c>
      <c r="T19" s="14"/>
      <c r="U19"/>
      <c r="V19" s="619" t="s">
        <v>1700</v>
      </c>
      <c r="W19" s="618"/>
      <c r="X19" s="618"/>
    </row>
    <row r="20" spans="2:27" ht="18.75" customHeight="1" x14ac:dyDescent="0.25">
      <c r="B20" s="596" t="s">
        <v>1298</v>
      </c>
      <c r="C20" s="592" t="s">
        <v>1297</v>
      </c>
      <c r="D20" s="601"/>
      <c r="E20" s="600"/>
      <c r="Q20"/>
      <c r="R20" s="11">
        <f>SUM(R16:R19)</f>
        <v>0</v>
      </c>
      <c r="S20" s="11"/>
      <c r="T20" s="11">
        <f>SUM(T16:T19)</f>
        <v>0</v>
      </c>
      <c r="U20"/>
      <c r="V20" s="618"/>
      <c r="W20" s="618"/>
      <c r="X20" s="618"/>
    </row>
    <row r="21" spans="2:27" ht="18.75" customHeight="1" x14ac:dyDescent="0.25">
      <c r="B21" s="596" t="s">
        <v>645</v>
      </c>
      <c r="C21" s="592" t="s">
        <v>1299</v>
      </c>
      <c r="D21" s="601"/>
      <c r="E21" s="600"/>
      <c r="Q21" s="15" t="s">
        <v>627</v>
      </c>
      <c r="R21" s="14"/>
      <c r="S21" s="15" t="s">
        <v>627</v>
      </c>
      <c r="T21" s="14"/>
      <c r="U21"/>
      <c r="V21" s="618"/>
      <c r="W21" s="618"/>
      <c r="X21" s="618"/>
      <c r="AA21" s="687"/>
    </row>
    <row r="22" spans="2:27" ht="18.75" customHeight="1" thickBot="1" x14ac:dyDescent="0.3">
      <c r="B22" s="596" t="s">
        <v>1163</v>
      </c>
      <c r="C22" s="592" t="s">
        <v>1299</v>
      </c>
      <c r="D22" s="602"/>
      <c r="E22" s="600"/>
      <c r="Q22" s="15" t="s">
        <v>628</v>
      </c>
      <c r="R22" s="94">
        <f>R20-R21</f>
        <v>0</v>
      </c>
      <c r="S22"/>
      <c r="T22" s="94">
        <f>T20-T21</f>
        <v>0</v>
      </c>
      <c r="U22"/>
      <c r="V22" s="618"/>
      <c r="W22" s="618"/>
      <c r="X22" s="618"/>
    </row>
    <row r="23" spans="2:27" ht="18.75" customHeight="1" thickTop="1" x14ac:dyDescent="0.25">
      <c r="B23" s="604" t="s">
        <v>1300</v>
      </c>
      <c r="C23" s="592" t="s">
        <v>1290</v>
      </c>
      <c r="D23" s="605"/>
      <c r="E23" s="606">
        <f>SUM(D15:D22)</f>
        <v>0</v>
      </c>
      <c r="Q23"/>
      <c r="R23"/>
      <c r="S23"/>
      <c r="T23"/>
      <c r="U23"/>
      <c r="V23" s="618"/>
      <c r="W23" s="618"/>
      <c r="X23" s="618"/>
    </row>
    <row r="24" spans="2:27" ht="18.75" customHeight="1" x14ac:dyDescent="0.25">
      <c r="B24" s="596"/>
      <c r="C24" s="592"/>
      <c r="D24" s="600"/>
      <c r="E24" s="600"/>
      <c r="Q24" s="1" t="s">
        <v>1165</v>
      </c>
      <c r="R24"/>
      <c r="S24"/>
      <c r="T24" s="220">
        <f>R22+T22</f>
        <v>0</v>
      </c>
      <c r="U24"/>
      <c r="V24" s="618"/>
      <c r="W24" s="618"/>
      <c r="X24" s="618"/>
    </row>
    <row r="25" spans="2:27" ht="18.75" customHeight="1" x14ac:dyDescent="0.25">
      <c r="B25" s="594" t="s">
        <v>1167</v>
      </c>
      <c r="C25" s="592"/>
      <c r="D25" s="600"/>
      <c r="E25" s="600"/>
      <c r="Q25"/>
      <c r="R25"/>
      <c r="S25"/>
      <c r="T25"/>
      <c r="U25"/>
      <c r="V25" s="618"/>
      <c r="W25" s="618"/>
      <c r="X25" s="618"/>
    </row>
    <row r="26" spans="2:27" ht="18.75" customHeight="1" x14ac:dyDescent="0.25">
      <c r="B26" s="596" t="s">
        <v>1168</v>
      </c>
      <c r="C26" s="592"/>
      <c r="D26" s="601"/>
      <c r="E26" s="600"/>
      <c r="Q26" s="1" t="s">
        <v>629</v>
      </c>
      <c r="R26"/>
      <c r="S26"/>
      <c r="T26"/>
      <c r="U26"/>
      <c r="V26" s="618"/>
      <c r="W26" s="618"/>
      <c r="X26" s="618"/>
    </row>
    <row r="27" spans="2:27" ht="18.75" customHeight="1" x14ac:dyDescent="0.25">
      <c r="B27" s="596" t="s">
        <v>1301</v>
      </c>
      <c r="C27" s="592"/>
      <c r="D27" s="601"/>
      <c r="E27" s="600"/>
      <c r="Q27" t="s">
        <v>630</v>
      </c>
      <c r="R27"/>
      <c r="S27"/>
      <c r="T27" s="14"/>
      <c r="U27"/>
      <c r="V27" s="618"/>
      <c r="W27" s="618"/>
      <c r="X27" s="618"/>
    </row>
    <row r="28" spans="2:27" ht="18.75" customHeight="1" x14ac:dyDescent="0.25">
      <c r="B28" s="596" t="s">
        <v>1302</v>
      </c>
      <c r="C28" s="592" t="s">
        <v>1303</v>
      </c>
      <c r="D28" s="643">
        <f>T91</f>
        <v>0</v>
      </c>
      <c r="E28" s="600"/>
      <c r="Q28" t="s">
        <v>631</v>
      </c>
      <c r="R28"/>
      <c r="S28"/>
      <c r="T28" s="14"/>
      <c r="U28"/>
      <c r="V28" s="618"/>
      <c r="W28" s="618"/>
      <c r="X28" s="618"/>
    </row>
    <row r="29" spans="2:27" ht="18.75" customHeight="1" x14ac:dyDescent="0.25">
      <c r="B29" s="596" t="s">
        <v>1304</v>
      </c>
      <c r="C29" s="592" t="s">
        <v>1305</v>
      </c>
      <c r="D29" s="643">
        <f>-T104</f>
        <v>0</v>
      </c>
      <c r="E29" s="600"/>
      <c r="Q29" t="s">
        <v>632</v>
      </c>
      <c r="R29"/>
      <c r="S29"/>
      <c r="T29" s="14"/>
      <c r="U29"/>
      <c r="V29" s="618"/>
      <c r="W29" s="618"/>
      <c r="X29" s="618"/>
    </row>
    <row r="30" spans="2:27" ht="18.75" customHeight="1" x14ac:dyDescent="0.25">
      <c r="B30" s="596" t="s">
        <v>1166</v>
      </c>
      <c r="C30" s="592"/>
      <c r="D30" s="601"/>
      <c r="E30" s="600"/>
      <c r="Q30" t="s">
        <v>644</v>
      </c>
      <c r="R30"/>
      <c r="S30"/>
      <c r="T30" s="14"/>
      <c r="U30"/>
      <c r="V30" s="618"/>
      <c r="W30" s="618"/>
      <c r="X30" s="618"/>
    </row>
    <row r="31" spans="2:27" ht="18.75" customHeight="1" x14ac:dyDescent="0.25">
      <c r="B31" s="596" t="s">
        <v>375</v>
      </c>
      <c r="C31" s="592" t="s">
        <v>1299</v>
      </c>
      <c r="D31" s="602"/>
      <c r="E31" s="600"/>
      <c r="Q31"/>
      <c r="R31"/>
      <c r="S31"/>
      <c r="T31" s="130">
        <f>T27+T28-T30+T29</f>
        <v>0</v>
      </c>
      <c r="U31"/>
      <c r="V31" s="618"/>
      <c r="W31" s="618"/>
      <c r="X31" s="618"/>
    </row>
    <row r="32" spans="2:27" ht="18.75" customHeight="1" x14ac:dyDescent="0.25">
      <c r="B32" s="604" t="s">
        <v>1306</v>
      </c>
      <c r="C32" s="592" t="s">
        <v>1290</v>
      </c>
      <c r="D32" s="605"/>
      <c r="E32" s="607">
        <f>SUM(D26:D31)</f>
        <v>0</v>
      </c>
      <c r="Q32" t="s">
        <v>633</v>
      </c>
      <c r="R32"/>
      <c r="S32"/>
      <c r="T32" s="14"/>
      <c r="U32"/>
      <c r="V32" s="618"/>
      <c r="W32" s="618"/>
      <c r="X32" s="618"/>
    </row>
    <row r="33" spans="2:24" ht="18.75" customHeight="1" thickBot="1" x14ac:dyDescent="0.3">
      <c r="B33" s="596"/>
      <c r="C33" s="592"/>
      <c r="D33" s="600"/>
      <c r="E33" s="605"/>
      <c r="Q33" t="s">
        <v>629</v>
      </c>
      <c r="R33"/>
      <c r="S33"/>
      <c r="T33" s="18">
        <f>T31-T32</f>
        <v>0</v>
      </c>
      <c r="U33"/>
      <c r="V33" s="618"/>
      <c r="W33" s="618"/>
      <c r="X33" s="618"/>
    </row>
    <row r="34" spans="2:24" ht="18.75" customHeight="1" thickTop="1" x14ac:dyDescent="0.25">
      <c r="B34" s="594" t="s">
        <v>1307</v>
      </c>
      <c r="C34" s="592" t="s">
        <v>1308</v>
      </c>
      <c r="D34" s="600"/>
      <c r="E34" s="606">
        <f>SUM(E12,E23,E32)</f>
        <v>0</v>
      </c>
      <c r="Q34"/>
      <c r="R34"/>
      <c r="S34"/>
      <c r="T34"/>
      <c r="U34"/>
      <c r="V34" s="618"/>
      <c r="W34" s="618"/>
      <c r="X34" s="618"/>
    </row>
    <row r="35" spans="2:24" ht="18.75" customHeight="1" x14ac:dyDescent="0.25">
      <c r="B35" s="608" t="s">
        <v>1309</v>
      </c>
      <c r="C35" s="592" t="s">
        <v>1310</v>
      </c>
      <c r="D35" s="600"/>
      <c r="E35" s="602">
        <f>T10</f>
        <v>0</v>
      </c>
      <c r="Q35" s="1" t="s">
        <v>634</v>
      </c>
      <c r="R35"/>
      <c r="S35"/>
      <c r="T35"/>
      <c r="U35"/>
      <c r="V35" s="618"/>
      <c r="W35" s="618"/>
      <c r="X35" s="618"/>
    </row>
    <row r="36" spans="2:24" ht="18.75" customHeight="1" thickBot="1" x14ac:dyDescent="0.3">
      <c r="B36" s="594" t="s">
        <v>1311</v>
      </c>
      <c r="C36" s="592" t="s">
        <v>1310</v>
      </c>
      <c r="D36" s="600"/>
      <c r="E36" s="609">
        <f>S10</f>
        <v>0</v>
      </c>
      <c r="Q36" t="s">
        <v>635</v>
      </c>
      <c r="R36"/>
      <c r="S36" s="14"/>
      <c r="T36" s="11"/>
      <c r="U36"/>
      <c r="V36" s="618"/>
      <c r="W36" s="618"/>
      <c r="X36" s="618"/>
    </row>
    <row r="37" spans="2:24" ht="18.75" customHeight="1" x14ac:dyDescent="0.25">
      <c r="D37" s="611"/>
      <c r="E37" s="611"/>
      <c r="Q37" t="s">
        <v>636</v>
      </c>
      <c r="R37"/>
      <c r="S37" s="14"/>
      <c r="T37" s="11">
        <f>S37+S36</f>
        <v>0</v>
      </c>
      <c r="U37"/>
      <c r="V37" s="618"/>
      <c r="W37" s="618"/>
      <c r="X37" s="618"/>
    </row>
    <row r="38" spans="2:24" ht="18.75" customHeight="1" x14ac:dyDescent="0.25">
      <c r="C38" s="592" t="s">
        <v>1312</v>
      </c>
      <c r="D38" s="886">
        <f>E36-(SUM(E34:E35))</f>
        <v>0</v>
      </c>
      <c r="E38" s="887"/>
      <c r="Q38" t="s">
        <v>1</v>
      </c>
      <c r="R38"/>
      <c r="S38" s="11"/>
      <c r="T38" s="14"/>
      <c r="U38"/>
      <c r="V38" s="618"/>
      <c r="W38" s="618"/>
      <c r="X38" s="618"/>
    </row>
    <row r="39" spans="2:24" ht="18.75" customHeight="1" x14ac:dyDescent="0.25">
      <c r="D39" s="611"/>
      <c r="E39" s="611"/>
      <c r="Q39"/>
      <c r="R39"/>
      <c r="S39" s="11"/>
      <c r="T39" s="11">
        <f>T37+T38</f>
        <v>0</v>
      </c>
      <c r="U39"/>
      <c r="V39" s="618"/>
      <c r="W39" s="618"/>
      <c r="X39" s="618"/>
    </row>
    <row r="40" spans="2:24" ht="18.75" customHeight="1" x14ac:dyDescent="0.25">
      <c r="D40" s="611"/>
      <c r="E40" s="611"/>
      <c r="Q40" t="s">
        <v>637</v>
      </c>
      <c r="R40"/>
      <c r="S40" s="14"/>
      <c r="T40" s="11"/>
      <c r="U40"/>
      <c r="V40" s="618"/>
      <c r="W40" s="618"/>
      <c r="X40" s="618"/>
    </row>
    <row r="41" spans="2:24" ht="18.75" customHeight="1" x14ac:dyDescent="0.25">
      <c r="D41" s="611"/>
      <c r="E41" s="611"/>
      <c r="Q41" t="s">
        <v>638</v>
      </c>
      <c r="R41"/>
      <c r="S41" s="14"/>
      <c r="T41" s="11">
        <f>S41+S40</f>
        <v>0</v>
      </c>
      <c r="U41"/>
      <c r="V41" s="618"/>
      <c r="W41" s="618"/>
      <c r="X41" s="618"/>
    </row>
    <row r="42" spans="2:24" ht="18.75" customHeight="1" thickBot="1" x14ac:dyDescent="0.3">
      <c r="D42" s="611"/>
      <c r="E42" s="611"/>
      <c r="Q42" t="s">
        <v>634</v>
      </c>
      <c r="R42"/>
      <c r="S42" s="11"/>
      <c r="T42" s="18">
        <f>T39-T41</f>
        <v>0</v>
      </c>
      <c r="U42"/>
      <c r="V42" s="618"/>
      <c r="W42" s="618"/>
      <c r="X42" s="618"/>
    </row>
    <row r="43" spans="2:24" ht="18.75" customHeight="1" thickTop="1" x14ac:dyDescent="0.25">
      <c r="D43" s="611"/>
      <c r="E43" s="611"/>
      <c r="Q43"/>
      <c r="R43"/>
      <c r="S43"/>
      <c r="T43"/>
      <c r="U43"/>
      <c r="V43" s="618"/>
      <c r="W43" s="618"/>
      <c r="X43" s="618"/>
    </row>
    <row r="44" spans="2:24" ht="18.75" customHeight="1" x14ac:dyDescent="0.25">
      <c r="D44" s="611"/>
      <c r="E44" s="611"/>
      <c r="Q44" s="1" t="s">
        <v>639</v>
      </c>
      <c r="R44"/>
      <c r="S44"/>
      <c r="T44"/>
      <c r="U44"/>
      <c r="V44" s="618"/>
      <c r="W44" s="618"/>
      <c r="X44" s="618"/>
    </row>
    <row r="45" spans="2:24" ht="18.75" customHeight="1" x14ac:dyDescent="0.25">
      <c r="D45" s="611"/>
      <c r="E45" s="611"/>
      <c r="Q45" t="s">
        <v>640</v>
      </c>
      <c r="R45"/>
      <c r="S45"/>
      <c r="T45" s="14"/>
      <c r="U45"/>
      <c r="V45" s="618"/>
      <c r="W45" s="618"/>
      <c r="X45" s="618"/>
    </row>
    <row r="46" spans="2:24" ht="18.75" customHeight="1" x14ac:dyDescent="0.25">
      <c r="D46" s="611"/>
      <c r="E46" s="611"/>
      <c r="Q46" t="s">
        <v>641</v>
      </c>
      <c r="R46"/>
      <c r="S46"/>
      <c r="T46" s="14"/>
      <c r="U46"/>
      <c r="V46" s="618"/>
      <c r="W46" s="618"/>
      <c r="X46" s="618"/>
    </row>
    <row r="47" spans="2:24" ht="18.75" customHeight="1" x14ac:dyDescent="0.25">
      <c r="D47" s="611"/>
      <c r="E47" s="611"/>
      <c r="Q47" t="s">
        <v>643</v>
      </c>
      <c r="R47"/>
      <c r="S47"/>
      <c r="T47" s="14"/>
      <c r="U47"/>
      <c r="V47" s="618"/>
      <c r="W47" s="618"/>
      <c r="X47" s="618"/>
    </row>
    <row r="48" spans="2:24" ht="18.75" customHeight="1" x14ac:dyDescent="0.25">
      <c r="D48" s="611"/>
      <c r="E48" s="611"/>
      <c r="Q48" t="s">
        <v>1273</v>
      </c>
      <c r="R48"/>
      <c r="S48"/>
      <c r="T48" s="14"/>
      <c r="U48"/>
      <c r="V48" s="618"/>
      <c r="W48" s="618"/>
      <c r="X48" s="618"/>
    </row>
    <row r="49" spans="4:24" ht="18.75" customHeight="1" x14ac:dyDescent="0.25">
      <c r="D49" s="611"/>
      <c r="E49" s="611"/>
      <c r="Q49" t="s">
        <v>1274</v>
      </c>
      <c r="R49"/>
      <c r="S49"/>
      <c r="T49" s="14"/>
      <c r="U49"/>
      <c r="V49" s="618"/>
      <c r="W49" s="618"/>
      <c r="X49" s="618"/>
    </row>
    <row r="50" spans="4:24" ht="18.75" customHeight="1" x14ac:dyDescent="0.25">
      <c r="D50" s="611"/>
      <c r="E50" s="611"/>
      <c r="Q50"/>
      <c r="R50"/>
      <c r="S50"/>
      <c r="T50" s="130">
        <f>T45-T47+T46-T48+T49</f>
        <v>0</v>
      </c>
      <c r="U50"/>
      <c r="V50" s="618"/>
      <c r="W50" s="618"/>
      <c r="X50" s="618"/>
    </row>
    <row r="51" spans="4:24" ht="18.75" customHeight="1" x14ac:dyDescent="0.25">
      <c r="D51" s="611"/>
      <c r="E51" s="611"/>
      <c r="Q51" t="s">
        <v>642</v>
      </c>
      <c r="R51"/>
      <c r="S51"/>
      <c r="T51" s="14"/>
      <c r="U51"/>
      <c r="V51" s="618"/>
      <c r="W51" s="618"/>
      <c r="X51" s="618"/>
    </row>
    <row r="52" spans="4:24" ht="18.75" customHeight="1" thickBot="1" x14ac:dyDescent="0.3">
      <c r="D52" s="611"/>
      <c r="E52" s="611"/>
      <c r="Q52" t="s">
        <v>639</v>
      </c>
      <c r="R52"/>
      <c r="S52"/>
      <c r="T52" s="18">
        <f>T51-T50</f>
        <v>0</v>
      </c>
      <c r="U52"/>
      <c r="V52" s="618"/>
      <c r="W52" s="618"/>
      <c r="X52" s="618"/>
    </row>
    <row r="53" spans="4:24" ht="18.75" customHeight="1" thickTop="1" x14ac:dyDescent="0.25">
      <c r="D53" s="611"/>
      <c r="E53" s="611"/>
      <c r="Q53"/>
      <c r="R53"/>
      <c r="S53"/>
      <c r="T53" s="66"/>
      <c r="U53"/>
      <c r="V53" s="618"/>
      <c r="W53" s="618"/>
      <c r="X53" s="618"/>
    </row>
    <row r="54" spans="4:24" x14ac:dyDescent="0.25">
      <c r="Q54" s="1" t="s">
        <v>1335</v>
      </c>
      <c r="R54" s="620"/>
      <c r="S54" s="620"/>
      <c r="T54" s="620"/>
      <c r="U54" s="620"/>
      <c r="V54" s="618"/>
      <c r="W54" s="618"/>
      <c r="X54" s="618"/>
    </row>
    <row r="55" spans="4:24" x14ac:dyDescent="0.25">
      <c r="Q55" t="s">
        <v>233</v>
      </c>
      <c r="R55" s="620"/>
      <c r="S55" s="620"/>
      <c r="T55" s="621"/>
      <c r="U55" s="620"/>
      <c r="V55" s="618"/>
      <c r="W55" s="618"/>
      <c r="X55" s="618"/>
    </row>
    <row r="56" spans="4:24" x14ac:dyDescent="0.25">
      <c r="Q56" t="s">
        <v>1336</v>
      </c>
      <c r="R56" s="620"/>
      <c r="S56" s="620"/>
      <c r="T56" s="621"/>
      <c r="U56" s="620"/>
      <c r="V56" s="618"/>
      <c r="W56" s="618"/>
      <c r="X56" s="618"/>
    </row>
    <row r="57" spans="4:24" ht="15.75" thickBot="1" x14ac:dyDescent="0.3">
      <c r="Q57" t="s">
        <v>1335</v>
      </c>
      <c r="R57" s="620"/>
      <c r="S57" s="620"/>
      <c r="T57" s="18">
        <f>T55-T56</f>
        <v>0</v>
      </c>
      <c r="U57" s="620"/>
      <c r="V57" s="618"/>
      <c r="W57" s="618"/>
      <c r="X57" s="618"/>
    </row>
    <row r="58" spans="4:24" ht="15.75" thickTop="1" x14ac:dyDescent="0.25">
      <c r="Q58" s="620"/>
      <c r="R58" s="620"/>
      <c r="S58" s="620"/>
      <c r="T58" s="620"/>
      <c r="U58" s="620"/>
      <c r="V58" s="618"/>
      <c r="W58" s="618"/>
      <c r="X58" s="618"/>
    </row>
    <row r="59" spans="4:24" x14ac:dyDescent="0.25">
      <c r="Q59" s="620"/>
      <c r="R59" s="620"/>
      <c r="S59" s="620"/>
      <c r="T59" s="620"/>
      <c r="U59" s="620"/>
      <c r="V59" s="618"/>
      <c r="W59" s="618"/>
      <c r="X59" s="618"/>
    </row>
    <row r="60" spans="4:24" x14ac:dyDescent="0.25">
      <c r="Q60" s="1" t="s">
        <v>645</v>
      </c>
      <c r="R60"/>
      <c r="S60"/>
      <c r="T60" s="66"/>
      <c r="U60"/>
      <c r="V60" s="618"/>
      <c r="W60" s="618"/>
      <c r="X60" s="618"/>
    </row>
    <row r="61" spans="4:24" x14ac:dyDescent="0.25">
      <c r="Q61" t="s">
        <v>646</v>
      </c>
      <c r="R61"/>
      <c r="S61"/>
      <c r="T61" s="3"/>
      <c r="U61"/>
      <c r="V61" s="618"/>
      <c r="W61" s="618"/>
      <c r="X61" s="618"/>
    </row>
    <row r="62" spans="4:24" x14ac:dyDescent="0.25">
      <c r="Q62" t="s">
        <v>647</v>
      </c>
      <c r="R62"/>
      <c r="S62"/>
      <c r="T62" s="14"/>
      <c r="U62"/>
      <c r="V62" s="618"/>
      <c r="W62" s="618"/>
      <c r="X62" s="618"/>
    </row>
    <row r="63" spans="4:24" x14ac:dyDescent="0.25">
      <c r="Q63" t="s">
        <v>1217</v>
      </c>
      <c r="R63"/>
      <c r="S63"/>
      <c r="T63" s="14"/>
      <c r="U63"/>
      <c r="V63" s="618"/>
      <c r="W63" s="618"/>
      <c r="X63" s="618"/>
    </row>
    <row r="64" spans="4:24" x14ac:dyDescent="0.25">
      <c r="Q64" t="s">
        <v>350</v>
      </c>
      <c r="R64"/>
      <c r="S64"/>
      <c r="T64" s="14"/>
      <c r="U64"/>
      <c r="V64" s="618"/>
      <c r="W64" s="618"/>
      <c r="X64" s="618"/>
    </row>
    <row r="65" spans="17:24" x14ac:dyDescent="0.25">
      <c r="Q65"/>
      <c r="R65"/>
      <c r="S65"/>
      <c r="T65" s="195">
        <f>T61+T62+T64-T63</f>
        <v>0</v>
      </c>
      <c r="U65"/>
      <c r="V65" s="618"/>
      <c r="W65" s="618"/>
      <c r="X65" s="618"/>
    </row>
    <row r="66" spans="17:24" x14ac:dyDescent="0.25">
      <c r="Q66" t="s">
        <v>648</v>
      </c>
      <c r="R66"/>
      <c r="S66"/>
      <c r="T66" s="3">
        <v>0</v>
      </c>
      <c r="U66"/>
      <c r="V66" s="618"/>
      <c r="W66" s="618"/>
      <c r="X66" s="618"/>
    </row>
    <row r="67" spans="17:24" ht="15.75" thickBot="1" x14ac:dyDescent="0.3">
      <c r="Q67" t="s">
        <v>645</v>
      </c>
      <c r="R67"/>
      <c r="S67"/>
      <c r="T67" s="18">
        <f>T65-T66</f>
        <v>0</v>
      </c>
      <c r="U67"/>
      <c r="V67" s="618"/>
      <c r="W67" s="618"/>
      <c r="X67" s="618"/>
    </row>
    <row r="68" spans="17:24" ht="15.75" thickTop="1" x14ac:dyDescent="0.25">
      <c r="Q68"/>
      <c r="R68"/>
      <c r="S68"/>
      <c r="T68" s="66"/>
      <c r="U68"/>
      <c r="V68" s="618"/>
      <c r="W68" s="618"/>
      <c r="X68" s="618"/>
    </row>
    <row r="69" spans="17:24" x14ac:dyDescent="0.25">
      <c r="Q69" s="1" t="s">
        <v>375</v>
      </c>
      <c r="R69"/>
      <c r="S69"/>
      <c r="T69" s="66"/>
      <c r="U69"/>
      <c r="V69" s="618"/>
      <c r="W69" s="618"/>
      <c r="X69" s="618"/>
    </row>
    <row r="70" spans="17:24" x14ac:dyDescent="0.25">
      <c r="Q70" t="s">
        <v>649</v>
      </c>
      <c r="R70"/>
      <c r="S70"/>
      <c r="T70" s="70"/>
      <c r="U70"/>
      <c r="V70" s="618"/>
      <c r="W70" s="618"/>
      <c r="X70" s="618"/>
    </row>
    <row r="71" spans="17:24" x14ac:dyDescent="0.25">
      <c r="Q71" t="s">
        <v>650</v>
      </c>
      <c r="R71"/>
      <c r="S71"/>
      <c r="T71" s="70"/>
      <c r="U71"/>
      <c r="V71" s="618"/>
      <c r="W71" s="618"/>
      <c r="X71" s="618"/>
    </row>
    <row r="72" spans="17:24" x14ac:dyDescent="0.25">
      <c r="Q72" t="s">
        <v>1327</v>
      </c>
      <c r="R72"/>
      <c r="S72"/>
      <c r="T72" s="70"/>
      <c r="U72"/>
      <c r="V72" s="618"/>
      <c r="W72" s="618"/>
      <c r="X72" s="618"/>
    </row>
    <row r="73" spans="17:24" x14ac:dyDescent="0.25">
      <c r="Q73" t="s">
        <v>651</v>
      </c>
      <c r="R73"/>
      <c r="S73"/>
      <c r="T73" s="70"/>
      <c r="U73" s="420" t="s">
        <v>653</v>
      </c>
      <c r="V73" s="618"/>
      <c r="W73" s="618"/>
      <c r="X73" s="618"/>
    </row>
    <row r="74" spans="17:24" x14ac:dyDescent="0.25">
      <c r="Q74"/>
      <c r="R74"/>
      <c r="S74"/>
      <c r="T74" s="130">
        <f>T70+T71-T72+T73</f>
        <v>0</v>
      </c>
      <c r="U74"/>
    </row>
    <row r="75" spans="17:24" x14ac:dyDescent="0.25">
      <c r="Q75" t="s">
        <v>652</v>
      </c>
      <c r="R75"/>
      <c r="S75"/>
      <c r="T75" s="70"/>
      <c r="U75"/>
    </row>
    <row r="76" spans="17:24" ht="15.75" thickBot="1" x14ac:dyDescent="0.3">
      <c r="Q76" t="s">
        <v>375</v>
      </c>
      <c r="R76"/>
      <c r="S76"/>
      <c r="T76" s="94">
        <f>-(T75-T74)</f>
        <v>0</v>
      </c>
      <c r="U76"/>
    </row>
    <row r="77" spans="17:24" ht="15.75" thickTop="1" x14ac:dyDescent="0.25">
      <c r="Q77"/>
      <c r="R77"/>
      <c r="S77"/>
      <c r="T77"/>
      <c r="U77"/>
    </row>
    <row r="78" spans="17:24" x14ac:dyDescent="0.25">
      <c r="Q78"/>
      <c r="R78"/>
      <c r="S78"/>
      <c r="T78"/>
      <c r="U78"/>
    </row>
    <row r="79" spans="17:24" x14ac:dyDescent="0.25">
      <c r="Q79" s="1" t="s">
        <v>1163</v>
      </c>
      <c r="R79"/>
      <c r="S79"/>
      <c r="T79" s="3"/>
      <c r="U79"/>
    </row>
    <row r="80" spans="17:24" x14ac:dyDescent="0.25">
      <c r="Q80"/>
      <c r="R80"/>
      <c r="S80"/>
      <c r="T80"/>
      <c r="U80"/>
    </row>
    <row r="81" spans="17:21" x14ac:dyDescent="0.25">
      <c r="Q81" s="1" t="s">
        <v>1328</v>
      </c>
      <c r="R81" s="620"/>
      <c r="S81" s="620"/>
      <c r="T81" s="620"/>
      <c r="U81" s="620"/>
    </row>
    <row r="82" spans="17:21" x14ac:dyDescent="0.25">
      <c r="Q82" t="s">
        <v>1329</v>
      </c>
      <c r="R82" s="620"/>
      <c r="S82" s="620"/>
      <c r="T82" s="266"/>
      <c r="U82" s="620"/>
    </row>
    <row r="83" spans="17:21" x14ac:dyDescent="0.25">
      <c r="Q83" t="s">
        <v>22</v>
      </c>
      <c r="R83" s="620"/>
      <c r="S83" s="620"/>
      <c r="T83" s="3"/>
      <c r="U83" s="620"/>
    </row>
    <row r="84" spans="17:21" x14ac:dyDescent="0.25">
      <c r="Q84"/>
      <c r="R84" s="620"/>
      <c r="S84" s="620"/>
      <c r="T84" s="130">
        <f>SUM(T82:T83)</f>
        <v>0</v>
      </c>
      <c r="U84" s="620"/>
    </row>
    <row r="85" spans="17:21" x14ac:dyDescent="0.25">
      <c r="Q85" t="s">
        <v>1330</v>
      </c>
      <c r="R85" s="620"/>
      <c r="S85" s="620"/>
      <c r="T85" s="70"/>
      <c r="U85" s="620"/>
    </row>
    <row r="86" spans="17:21" ht="15.75" thickBot="1" x14ac:dyDescent="0.3">
      <c r="Q86" t="s">
        <v>1328</v>
      </c>
      <c r="R86" s="620"/>
      <c r="S86" s="620"/>
      <c r="T86" s="94">
        <f>T85-T84</f>
        <v>0</v>
      </c>
      <c r="U86" s="620"/>
    </row>
    <row r="87" spans="17:21" ht="15.75" thickTop="1" x14ac:dyDescent="0.25">
      <c r="Q87" s="620"/>
      <c r="R87" s="620"/>
      <c r="S87" s="620"/>
      <c r="T87" s="620"/>
      <c r="U87" s="620"/>
    </row>
    <row r="88" spans="17:21" x14ac:dyDescent="0.25">
      <c r="Q88" s="1" t="s">
        <v>1331</v>
      </c>
      <c r="R88" s="620"/>
      <c r="S88" s="620"/>
      <c r="T88" s="620"/>
      <c r="U88" s="620"/>
    </row>
    <row r="89" spans="17:21" x14ac:dyDescent="0.25">
      <c r="Q89" t="s">
        <v>1332</v>
      </c>
      <c r="R89" s="620"/>
      <c r="S89" s="620"/>
      <c r="T89" s="621"/>
      <c r="U89" s="620"/>
    </row>
    <row r="90" spans="17:21" x14ac:dyDescent="0.25">
      <c r="Q90" t="s">
        <v>1333</v>
      </c>
      <c r="R90" s="620"/>
      <c r="S90" s="620"/>
      <c r="T90" s="621"/>
      <c r="U90" s="620"/>
    </row>
    <row r="91" spans="17:21" ht="15.75" thickBot="1" x14ac:dyDescent="0.3">
      <c r="Q91" t="s">
        <v>1334</v>
      </c>
      <c r="R91" s="620"/>
      <c r="S91" s="620"/>
      <c r="T91" s="94">
        <f>T90-T89</f>
        <v>0</v>
      </c>
      <c r="U91" s="620"/>
    </row>
    <row r="92" spans="17:21" ht="15.75" thickTop="1" x14ac:dyDescent="0.25">
      <c r="Q92"/>
      <c r="R92" s="620"/>
      <c r="S92" s="620"/>
      <c r="T92" s="17"/>
      <c r="U92" s="620"/>
    </row>
    <row r="93" spans="17:21" x14ac:dyDescent="0.25">
      <c r="Q93" s="1" t="s">
        <v>1169</v>
      </c>
      <c r="R93" s="620"/>
      <c r="S93" s="620"/>
      <c r="T93" s="620"/>
      <c r="U93" s="620"/>
    </row>
    <row r="94" spans="17:21" x14ac:dyDescent="0.25">
      <c r="Q94" t="s">
        <v>1457</v>
      </c>
      <c r="R94" s="620"/>
      <c r="S94" s="620"/>
      <c r="T94" s="621"/>
      <c r="U94" s="620"/>
    </row>
    <row r="95" spans="17:21" x14ac:dyDescent="0.25">
      <c r="Q95" t="s">
        <v>1458</v>
      </c>
      <c r="R95" s="620"/>
      <c r="S95" s="620"/>
      <c r="T95" s="621"/>
      <c r="U95" s="620"/>
    </row>
    <row r="96" spans="17:21" x14ac:dyDescent="0.25">
      <c r="Q96" s="620"/>
      <c r="R96" s="620"/>
      <c r="S96" s="620"/>
      <c r="T96" s="640">
        <f>SUM(T94:T95)</f>
        <v>0</v>
      </c>
      <c r="U96" s="620"/>
    </row>
    <row r="97" spans="17:21" x14ac:dyDescent="0.25">
      <c r="Q97" t="s">
        <v>1459</v>
      </c>
      <c r="R97" s="620"/>
      <c r="S97" s="620"/>
      <c r="T97" s="621"/>
      <c r="U97" s="620"/>
    </row>
    <row r="98" spans="17:21" ht="15.75" thickBot="1" x14ac:dyDescent="0.3">
      <c r="Q98" t="s">
        <v>1169</v>
      </c>
      <c r="R98" s="620"/>
      <c r="S98" s="620"/>
      <c r="T98" s="641">
        <f>T97-T96</f>
        <v>0</v>
      </c>
      <c r="U98" s="620"/>
    </row>
    <row r="99" spans="17:21" ht="15.75" thickTop="1" x14ac:dyDescent="0.25">
      <c r="Q99" s="620"/>
      <c r="R99" s="620"/>
      <c r="S99" s="620"/>
      <c r="T99" s="620"/>
      <c r="U99" s="620"/>
    </row>
    <row r="100" spans="17:21" x14ac:dyDescent="0.25">
      <c r="Q100" s="620"/>
      <c r="R100" s="620"/>
      <c r="S100" s="620"/>
      <c r="T100" s="620"/>
      <c r="U100" s="620"/>
    </row>
    <row r="101" spans="17:21" x14ac:dyDescent="0.25">
      <c r="Q101" s="1" t="s">
        <v>1460</v>
      </c>
      <c r="R101" s="620"/>
      <c r="S101" s="620"/>
      <c r="T101" s="620"/>
      <c r="U101" s="620"/>
    </row>
    <row r="102" spans="17:21" x14ac:dyDescent="0.25">
      <c r="Q102" t="s">
        <v>1461</v>
      </c>
      <c r="R102" s="620"/>
      <c r="S102" s="620"/>
      <c r="T102" s="3"/>
      <c r="U102" s="620"/>
    </row>
    <row r="103" spans="17:21" x14ac:dyDescent="0.25">
      <c r="Q103" t="s">
        <v>1462</v>
      </c>
      <c r="R103" s="620"/>
      <c r="S103" s="620"/>
      <c r="T103" s="3"/>
      <c r="U103" s="620"/>
    </row>
    <row r="104" spans="17:21" ht="15.75" thickBot="1" x14ac:dyDescent="0.3">
      <c r="Q104" t="s">
        <v>1460</v>
      </c>
      <c r="R104" s="620"/>
      <c r="S104" s="620"/>
      <c r="T104" s="641">
        <f>T102-T103</f>
        <v>0</v>
      </c>
      <c r="U104" s="620"/>
    </row>
    <row r="105" spans="17:21" ht="15.75" thickTop="1" x14ac:dyDescent="0.25">
      <c r="Q105" s="620"/>
      <c r="R105" s="620"/>
      <c r="S105" s="620"/>
      <c r="T105" s="620"/>
      <c r="U105" s="620"/>
    </row>
    <row r="106" spans="17:21" x14ac:dyDescent="0.25">
      <c r="Q106" s="620"/>
      <c r="R106" s="620"/>
      <c r="S106" s="620"/>
      <c r="T106" s="620"/>
      <c r="U106" s="620"/>
    </row>
    <row r="107" spans="17:21" ht="15.75" x14ac:dyDescent="0.25">
      <c r="Q107" s="642" t="s">
        <v>1170</v>
      </c>
      <c r="R107" s="620"/>
      <c r="S107" s="620"/>
      <c r="T107" s="620"/>
      <c r="U107" s="620"/>
    </row>
    <row r="108" spans="17:21" x14ac:dyDescent="0.25">
      <c r="Q108" t="s">
        <v>1457</v>
      </c>
      <c r="R108" s="620"/>
      <c r="S108" s="620"/>
      <c r="T108" s="621"/>
      <c r="U108" s="620"/>
    </row>
    <row r="109" spans="17:21" x14ac:dyDescent="0.25">
      <c r="Q109" t="s">
        <v>1463</v>
      </c>
      <c r="R109" s="620"/>
      <c r="S109" s="620"/>
      <c r="T109" s="621"/>
      <c r="U109" s="620"/>
    </row>
    <row r="110" spans="17:21" x14ac:dyDescent="0.25">
      <c r="Q110"/>
      <c r="R110" s="620"/>
      <c r="S110" s="620"/>
      <c r="T110" s="640">
        <f>SUM(T108:T109)</f>
        <v>0</v>
      </c>
      <c r="U110" s="620"/>
    </row>
    <row r="111" spans="17:21" x14ac:dyDescent="0.25">
      <c r="Q111" t="s">
        <v>1459</v>
      </c>
      <c r="R111" s="620"/>
      <c r="S111" s="620"/>
      <c r="T111" s="621"/>
      <c r="U111" s="620"/>
    </row>
    <row r="112" spans="17:21" x14ac:dyDescent="0.25">
      <c r="Q112" t="s">
        <v>1464</v>
      </c>
      <c r="R112" s="620"/>
      <c r="S112" s="620"/>
      <c r="T112" s="620">
        <f>T110-T111</f>
        <v>0</v>
      </c>
      <c r="U112" s="620"/>
    </row>
    <row r="113" spans="17:21" x14ac:dyDescent="0.25">
      <c r="Q113" t="s">
        <v>1465</v>
      </c>
      <c r="R113" s="620"/>
      <c r="S113" s="620"/>
      <c r="T113" s="621"/>
      <c r="U113" s="620"/>
    </row>
    <row r="114" spans="17:21" ht="15.75" thickBot="1" x14ac:dyDescent="0.3">
      <c r="Q114" t="s">
        <v>1170</v>
      </c>
      <c r="R114" s="620"/>
      <c r="S114" s="620"/>
      <c r="T114" s="641">
        <f>T113+T112</f>
        <v>0</v>
      </c>
      <c r="U114" s="620"/>
    </row>
    <row r="115" spans="17:21" ht="15.75" thickTop="1" x14ac:dyDescent="0.25">
      <c r="Q115" s="620"/>
      <c r="R115" s="620"/>
      <c r="S115" s="620"/>
      <c r="T115" s="620"/>
      <c r="U115" s="620"/>
    </row>
    <row r="116" spans="17:21" x14ac:dyDescent="0.25">
      <c r="Q116" s="620"/>
      <c r="R116" s="620"/>
      <c r="S116" s="620"/>
      <c r="T116" s="620"/>
      <c r="U116" s="620"/>
    </row>
    <row r="117" spans="17:21" ht="15.75" x14ac:dyDescent="0.25">
      <c r="Q117" s="642" t="s">
        <v>1533</v>
      </c>
      <c r="R117" s="620"/>
      <c r="S117" s="620"/>
      <c r="T117" s="620"/>
      <c r="U117" s="620"/>
    </row>
    <row r="118" spans="17:21" x14ac:dyDescent="0.25">
      <c r="Q118" t="s">
        <v>1534</v>
      </c>
      <c r="R118" s="620"/>
      <c r="S118" s="620"/>
      <c r="T118" s="621"/>
      <c r="U118" s="620"/>
    </row>
    <row r="119" spans="17:21" x14ac:dyDescent="0.25">
      <c r="Q119" t="s">
        <v>1535</v>
      </c>
      <c r="R119" s="620"/>
      <c r="S119" s="620"/>
      <c r="T119" s="621"/>
      <c r="U119" s="620"/>
    </row>
    <row r="120" spans="17:21" x14ac:dyDescent="0.25">
      <c r="Q120"/>
      <c r="R120" s="620"/>
      <c r="S120" s="620"/>
      <c r="T120" s="662">
        <f>T118+T119</f>
        <v>0</v>
      </c>
      <c r="U120" s="620"/>
    </row>
    <row r="121" spans="17:21" x14ac:dyDescent="0.25">
      <c r="Q121" t="s">
        <v>1536</v>
      </c>
      <c r="R121" s="620"/>
      <c r="S121" s="620"/>
      <c r="T121" s="621"/>
      <c r="U121" s="620"/>
    </row>
    <row r="122" spans="17:21" ht="15.75" thickBot="1" x14ac:dyDescent="0.3">
      <c r="Q122" t="s">
        <v>1166</v>
      </c>
      <c r="R122" s="620"/>
      <c r="S122" s="620"/>
      <c r="T122" s="641">
        <f>T120-T121</f>
        <v>0</v>
      </c>
      <c r="U122" s="620"/>
    </row>
    <row r="123" spans="17:21" ht="15.75" thickTop="1" x14ac:dyDescent="0.25">
      <c r="Q123" s="620"/>
      <c r="R123" s="620"/>
      <c r="S123" s="620"/>
      <c r="T123" s="620"/>
      <c r="U123" s="620"/>
    </row>
    <row r="124" spans="17:21" x14ac:dyDescent="0.25">
      <c r="Q124" s="620"/>
      <c r="R124" s="620"/>
      <c r="S124" s="620"/>
      <c r="T124" s="620"/>
      <c r="U124" s="620"/>
    </row>
    <row r="125" spans="17:21" x14ac:dyDescent="0.25">
      <c r="Q125" s="620"/>
      <c r="R125" s="620"/>
      <c r="S125" s="620"/>
      <c r="T125" s="620"/>
      <c r="U125" s="620"/>
    </row>
    <row r="126" spans="17:21" x14ac:dyDescent="0.25">
      <c r="Q126" s="620"/>
      <c r="R126" s="620"/>
      <c r="S126" s="620"/>
      <c r="T126" s="620"/>
      <c r="U126" s="620"/>
    </row>
    <row r="127" spans="17:21" x14ac:dyDescent="0.25">
      <c r="Q127" s="620"/>
      <c r="R127" s="620"/>
      <c r="S127" s="620"/>
      <c r="T127" s="620"/>
      <c r="U127" s="620"/>
    </row>
    <row r="128" spans="17:21" x14ac:dyDescent="0.25">
      <c r="Q128" s="620"/>
      <c r="R128" s="620"/>
      <c r="S128" s="620"/>
      <c r="T128" s="620"/>
      <c r="U128" s="620"/>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B1:R118"/>
  <sheetViews>
    <sheetView topLeftCell="G1" zoomScale="80" zoomScaleNormal="80" workbookViewId="0">
      <pane ySplit="5" topLeftCell="A65" activePane="bottomLeft" state="frozen"/>
      <selection pane="bottomLeft" activeCell="I84" sqref="I84"/>
    </sheetView>
  </sheetViews>
  <sheetFormatPr defaultColWidth="3.5703125" defaultRowHeight="15" x14ac:dyDescent="0.25"/>
  <cols>
    <col min="1" max="1" width="3.5703125" style="591"/>
    <col min="2" max="2" width="73.7109375" style="591" customWidth="1"/>
    <col min="3" max="3" width="104" style="610" hidden="1" customWidth="1"/>
    <col min="4" max="5" width="17.28515625" style="612" customWidth="1"/>
    <col min="6" max="8" width="3.5703125" style="591"/>
    <col min="9" max="9" width="65.5703125" style="591" bestFit="1" customWidth="1"/>
    <col min="10" max="10" width="12.28515625" style="591" customWidth="1"/>
    <col min="11" max="11" width="24.28515625" style="591" bestFit="1" customWidth="1"/>
    <col min="12" max="12" width="25.85546875" style="591" customWidth="1"/>
    <col min="13" max="13" width="19.5703125" style="591" customWidth="1"/>
    <col min="14" max="14" width="3.5703125" style="591"/>
    <col min="15" max="15" width="6.28515625" style="591" bestFit="1" customWidth="1"/>
    <col min="16" max="16" width="6" style="591" bestFit="1" customWidth="1"/>
    <col min="17" max="17" width="3.5703125" style="591"/>
    <col min="18" max="18" width="6.28515625" style="591" bestFit="1" customWidth="1"/>
    <col min="19" max="16384" width="3.5703125" style="591"/>
  </cols>
  <sheetData>
    <row r="1" spans="2:18" x14ac:dyDescent="0.25">
      <c r="I1" s="273"/>
      <c r="J1" s="273"/>
      <c r="K1" s="750" t="s">
        <v>1044</v>
      </c>
      <c r="L1" s="750" t="s">
        <v>1045</v>
      </c>
    </row>
    <row r="2" spans="2:18" ht="18.75" customHeight="1" x14ac:dyDescent="0.25">
      <c r="B2" s="593" t="s">
        <v>654</v>
      </c>
      <c r="C2" s="883" t="s">
        <v>655</v>
      </c>
      <c r="D2" s="597"/>
      <c r="E2" s="597"/>
      <c r="I2" s="272" t="s">
        <v>92</v>
      </c>
      <c r="J2" s="273"/>
      <c r="K2" s="751" t="s">
        <v>10</v>
      </c>
      <c r="L2" s="751" t="s">
        <v>10</v>
      </c>
    </row>
    <row r="3" spans="2:18" ht="18.75" customHeight="1" x14ac:dyDescent="0.25">
      <c r="B3" s="594" t="s">
        <v>1287</v>
      </c>
      <c r="C3" s="884"/>
      <c r="D3" s="597"/>
      <c r="E3" s="597"/>
      <c r="I3" s="273" t="s">
        <v>1172</v>
      </c>
      <c r="J3" s="273"/>
      <c r="K3" s="3">
        <v>7742</v>
      </c>
      <c r="L3" s="3">
        <v>10028</v>
      </c>
    </row>
    <row r="4" spans="2:18" ht="18.75" customHeight="1" thickBot="1" x14ac:dyDescent="0.3">
      <c r="B4" s="595" t="s">
        <v>717</v>
      </c>
      <c r="C4" s="885"/>
      <c r="D4" s="597"/>
      <c r="E4" s="597"/>
      <c r="I4" s="273" t="s">
        <v>85</v>
      </c>
      <c r="J4" s="273"/>
      <c r="K4" s="3"/>
      <c r="L4" s="3"/>
    </row>
    <row r="5" spans="2:18" ht="18.75" customHeight="1" thickBot="1" x14ac:dyDescent="0.3">
      <c r="B5" s="596"/>
      <c r="C5" s="598" t="s">
        <v>663</v>
      </c>
      <c r="D5" s="599" t="s">
        <v>10</v>
      </c>
      <c r="E5" s="599" t="s">
        <v>10</v>
      </c>
      <c r="I5" s="273"/>
      <c r="J5" s="273"/>
      <c r="K5" s="752">
        <f>SUM(K3:K4)</f>
        <v>7742</v>
      </c>
      <c r="L5" s="752">
        <f>SUM(L3:L4)</f>
        <v>10028</v>
      </c>
    </row>
    <row r="6" spans="2:18" ht="18.75" customHeight="1" thickTop="1" x14ac:dyDescent="0.25">
      <c r="B6" s="594" t="s">
        <v>1218</v>
      </c>
      <c r="C6" s="592"/>
      <c r="D6" s="600"/>
      <c r="E6" s="600"/>
    </row>
    <row r="7" spans="2:18" ht="18.75" customHeight="1" x14ac:dyDescent="0.25">
      <c r="B7" s="596" t="s">
        <v>1313</v>
      </c>
      <c r="C7" s="592" t="s">
        <v>1314</v>
      </c>
      <c r="D7" s="601">
        <f>'Adjustments for cash flow'!C15</f>
        <v>0</v>
      </c>
      <c r="E7" s="600"/>
      <c r="I7" s="272" t="s">
        <v>624</v>
      </c>
      <c r="J7" s="273"/>
      <c r="K7" s="273"/>
      <c r="L7" s="273"/>
      <c r="M7" s="273"/>
      <c r="N7" s="273"/>
    </row>
    <row r="8" spans="2:18" ht="18.75" customHeight="1" x14ac:dyDescent="0.25">
      <c r="B8" s="596" t="s">
        <v>1189</v>
      </c>
      <c r="C8" s="592"/>
      <c r="D8" s="613"/>
      <c r="E8" s="600"/>
      <c r="I8" s="273"/>
      <c r="J8" s="273" t="s">
        <v>56</v>
      </c>
      <c r="K8" s="273" t="s">
        <v>625</v>
      </c>
      <c r="L8" s="273" t="s">
        <v>86</v>
      </c>
      <c r="M8" s="273" t="s">
        <v>119</v>
      </c>
      <c r="N8" s="273"/>
    </row>
    <row r="9" spans="2:18" ht="18.75" customHeight="1" x14ac:dyDescent="0.25">
      <c r="B9" s="614" t="s">
        <v>1315</v>
      </c>
      <c r="C9" s="592" t="s">
        <v>1316</v>
      </c>
      <c r="D9" s="755">
        <f>'Adjustments for cash flow'!D15</f>
        <v>0</v>
      </c>
      <c r="E9" s="600"/>
      <c r="I9" s="273"/>
      <c r="J9" s="751" t="s">
        <v>10</v>
      </c>
      <c r="K9" s="751" t="s">
        <v>10</v>
      </c>
      <c r="L9" s="751" t="s">
        <v>10</v>
      </c>
      <c r="M9" s="751" t="s">
        <v>10</v>
      </c>
      <c r="N9" s="273"/>
      <c r="R9" s="619" t="s">
        <v>1192</v>
      </c>
    </row>
    <row r="10" spans="2:18" ht="18.75" customHeight="1" x14ac:dyDescent="0.25">
      <c r="B10" s="614" t="s">
        <v>1317</v>
      </c>
      <c r="C10" s="592" t="s">
        <v>1316</v>
      </c>
      <c r="D10" s="755"/>
      <c r="E10" s="600"/>
      <c r="I10" s="273" t="s">
        <v>626</v>
      </c>
      <c r="J10" s="780">
        <v>23073</v>
      </c>
      <c r="K10" s="780">
        <v>6470</v>
      </c>
      <c r="L10" s="780">
        <v>3674</v>
      </c>
      <c r="M10" s="27"/>
      <c r="N10" s="273"/>
      <c r="R10" s="619" t="s">
        <v>1191</v>
      </c>
    </row>
    <row r="11" spans="2:18" ht="18.75" customHeight="1" x14ac:dyDescent="0.25">
      <c r="B11" s="614" t="s">
        <v>1318</v>
      </c>
      <c r="C11" s="592" t="s">
        <v>1316</v>
      </c>
      <c r="D11" s="755">
        <f>'Adjustments for cash flow'!H15</f>
        <v>0</v>
      </c>
      <c r="E11" s="600"/>
      <c r="I11" s="273" t="s">
        <v>1190</v>
      </c>
      <c r="J11" s="780"/>
      <c r="K11" s="780"/>
      <c r="L11" s="780"/>
      <c r="M11" s="27"/>
      <c r="N11" s="273"/>
    </row>
    <row r="12" spans="2:18" ht="18.75" customHeight="1" x14ac:dyDescent="0.25">
      <c r="B12" s="614" t="s">
        <v>1319</v>
      </c>
      <c r="C12" s="592" t="s">
        <v>1316</v>
      </c>
      <c r="D12" s="755"/>
      <c r="E12" s="600"/>
      <c r="I12" s="273" t="s">
        <v>627</v>
      </c>
      <c r="J12" s="780">
        <v>25919</v>
      </c>
      <c r="K12" s="780">
        <v>7010</v>
      </c>
      <c r="L12" s="780">
        <v>3246</v>
      </c>
      <c r="M12" s="27"/>
      <c r="N12" s="273"/>
    </row>
    <row r="13" spans="2:18" ht="18.75" customHeight="1" thickBot="1" x14ac:dyDescent="0.3">
      <c r="B13" s="614" t="s">
        <v>1320</v>
      </c>
      <c r="C13" s="592" t="s">
        <v>1316</v>
      </c>
      <c r="D13" s="755">
        <f>'Adjustments for cash flow'!I15</f>
        <v>0</v>
      </c>
      <c r="E13" s="600"/>
      <c r="I13" s="273" t="s">
        <v>628</v>
      </c>
      <c r="J13" s="801">
        <f>J12-J10-J11</f>
        <v>2846</v>
      </c>
      <c r="K13" s="801">
        <f>K12-K10-K11</f>
        <v>540</v>
      </c>
      <c r="L13" s="801">
        <f>L12-L10-L11</f>
        <v>-428</v>
      </c>
      <c r="M13" s="801">
        <f>M12-M10-M11</f>
        <v>0</v>
      </c>
      <c r="N13" s="273"/>
    </row>
    <row r="14" spans="2:18" ht="18.75" customHeight="1" thickTop="1" x14ac:dyDescent="0.25">
      <c r="B14" s="614" t="s">
        <v>1321</v>
      </c>
      <c r="C14" s="592" t="s">
        <v>1316</v>
      </c>
      <c r="D14" s="755"/>
      <c r="E14" s="600"/>
      <c r="I14" s="272" t="s">
        <v>1165</v>
      </c>
      <c r="J14" s="802"/>
      <c r="K14" s="802"/>
      <c r="L14" s="803"/>
      <c r="M14" s="803">
        <f>-(J13+K13+L13+M13)</f>
        <v>-2958</v>
      </c>
      <c r="N14" s="273"/>
    </row>
    <row r="15" spans="2:18" ht="18.75" customHeight="1" x14ac:dyDescent="0.25">
      <c r="B15" s="614" t="s">
        <v>1322</v>
      </c>
      <c r="C15" s="592" t="s">
        <v>1316</v>
      </c>
      <c r="D15" s="755"/>
      <c r="E15" s="600"/>
      <c r="I15" s="273"/>
      <c r="J15" s="273"/>
      <c r="K15" s="273"/>
      <c r="L15" s="273"/>
      <c r="M15" s="273"/>
      <c r="N15" s="273"/>
    </row>
    <row r="16" spans="2:18" ht="18.75" customHeight="1" x14ac:dyDescent="0.25">
      <c r="B16" s="614" t="s">
        <v>1323</v>
      </c>
      <c r="C16" s="592" t="s">
        <v>1316</v>
      </c>
      <c r="D16" s="755"/>
      <c r="E16" s="600"/>
      <c r="I16" s="273"/>
      <c r="J16" s="273"/>
      <c r="K16" s="273"/>
      <c r="L16" s="273"/>
      <c r="M16" s="273"/>
      <c r="N16" s="273"/>
    </row>
    <row r="17" spans="2:14" ht="18.75" customHeight="1" x14ac:dyDescent="0.25">
      <c r="B17" s="614" t="s">
        <v>1324</v>
      </c>
      <c r="C17" s="592" t="s">
        <v>1316</v>
      </c>
      <c r="D17" s="755"/>
      <c r="E17" s="600"/>
      <c r="I17" s="273" t="s">
        <v>1326</v>
      </c>
      <c r="J17" s="273"/>
      <c r="K17" s="273"/>
      <c r="L17" s="273"/>
      <c r="M17" s="273"/>
      <c r="N17" s="273"/>
    </row>
    <row r="18" spans="2:14" ht="18.75" customHeight="1" x14ac:dyDescent="0.25">
      <c r="B18" s="614" t="s">
        <v>647</v>
      </c>
      <c r="C18" s="592" t="s">
        <v>1316</v>
      </c>
      <c r="D18" s="755"/>
      <c r="E18" s="600"/>
    </row>
    <row r="19" spans="2:14" ht="18.75" customHeight="1" x14ac:dyDescent="0.25">
      <c r="B19" s="614" t="s">
        <v>631</v>
      </c>
      <c r="C19" s="592" t="s">
        <v>1316</v>
      </c>
      <c r="D19" s="756">
        <v>1068</v>
      </c>
      <c r="E19" s="600"/>
      <c r="I19" s="272" t="s">
        <v>629</v>
      </c>
      <c r="J19" s="273"/>
      <c r="K19" s="273"/>
      <c r="L19"/>
    </row>
    <row r="20" spans="2:14" ht="18.75" customHeight="1" x14ac:dyDescent="0.25">
      <c r="B20" s="614"/>
      <c r="C20" s="592"/>
      <c r="D20" s="616">
        <f>SUM(D7:D19)</f>
        <v>1068</v>
      </c>
      <c r="E20" s="600"/>
      <c r="I20" s="273" t="s">
        <v>630</v>
      </c>
      <c r="J20" s="273"/>
      <c r="K20" s="273"/>
      <c r="L20" s="14"/>
      <c r="M20" s="591" t="str">
        <f ca="1">IFERROR(_xlfn.FORMULATEXT(L20)," ")</f>
        <v xml:space="preserve"> </v>
      </c>
    </row>
    <row r="21" spans="2:14" ht="18.75" customHeight="1" x14ac:dyDescent="0.25">
      <c r="B21" s="614" t="str">
        <f>IF(D21&lt;0,"Increase in inventories","Decrease in inventories")</f>
        <v>Increase in inventories</v>
      </c>
      <c r="C21" s="592" t="s">
        <v>1316</v>
      </c>
      <c r="D21" s="615">
        <f>-J13</f>
        <v>-2846</v>
      </c>
      <c r="E21" s="600"/>
      <c r="I21" s="273" t="s">
        <v>631</v>
      </c>
      <c r="J21" s="273"/>
      <c r="K21" s="273"/>
      <c r="L21" s="14"/>
      <c r="M21" s="591" t="str">
        <f t="shared" ref="M21:M82" ca="1" si="0">IFERROR(_xlfn.FORMULATEXT(L21)," ")</f>
        <v xml:space="preserve"> </v>
      </c>
    </row>
    <row r="22" spans="2:14" ht="18.75" customHeight="1" x14ac:dyDescent="0.25">
      <c r="B22" s="614" t="str">
        <f>IF(D22&lt;0,"Increase in trade and other receivables","Decrease in trade and other receivables")</f>
        <v>Increase in trade and other receivables</v>
      </c>
      <c r="C22" s="592" t="s">
        <v>1316</v>
      </c>
      <c r="D22" s="615">
        <f>-K13</f>
        <v>-540</v>
      </c>
      <c r="E22" s="600"/>
      <c r="I22" s="273" t="s">
        <v>632</v>
      </c>
      <c r="J22" s="273"/>
      <c r="K22" s="273"/>
      <c r="L22" s="14"/>
      <c r="M22" s="591" t="str">
        <f t="shared" ca="1" si="0"/>
        <v xml:space="preserve"> </v>
      </c>
    </row>
    <row r="23" spans="2:14" ht="18.75" customHeight="1" x14ac:dyDescent="0.25">
      <c r="B23" s="614" t="str">
        <f>IF(D23&gt;0,"Increase in trade and other payables","Decrease in trade and other payables")</f>
        <v>Decrease in trade and other payables</v>
      </c>
      <c r="C23" s="592" t="s">
        <v>1316</v>
      </c>
      <c r="D23" s="601">
        <f>L13</f>
        <v>-428</v>
      </c>
      <c r="E23" s="600"/>
      <c r="I23" s="273" t="s">
        <v>644</v>
      </c>
      <c r="J23" s="273"/>
      <c r="K23" s="273"/>
      <c r="L23" s="14"/>
      <c r="M23" s="591" t="str">
        <f t="shared" ca="1" si="0"/>
        <v xml:space="preserve"> </v>
      </c>
    </row>
    <row r="24" spans="2:14" ht="18.75" customHeight="1" x14ac:dyDescent="0.25">
      <c r="B24" s="614" t="str">
        <f>IF(D24&gt;0,"Increase in provisions","Decrease in provisions")</f>
        <v>Decrease in provisions</v>
      </c>
      <c r="C24" s="592" t="s">
        <v>1316</v>
      </c>
      <c r="D24" s="601">
        <f>M13</f>
        <v>0</v>
      </c>
      <c r="E24" s="600"/>
      <c r="I24" s="273"/>
      <c r="J24" s="273"/>
      <c r="K24" s="273"/>
      <c r="L24" s="130">
        <f>L20+L21-L23+L22</f>
        <v>0</v>
      </c>
    </row>
    <row r="25" spans="2:14" ht="18.75" customHeight="1" x14ac:dyDescent="0.25">
      <c r="B25" s="596" t="s">
        <v>1164</v>
      </c>
      <c r="C25" s="592"/>
      <c r="D25" s="603">
        <f>SUM(D20:D24)</f>
        <v>-2746</v>
      </c>
      <c r="E25" s="600"/>
      <c r="I25" s="273" t="s">
        <v>633</v>
      </c>
      <c r="J25" s="273"/>
      <c r="K25" s="273"/>
      <c r="L25" s="14"/>
      <c r="M25" s="591" t="str">
        <f t="shared" ca="1" si="0"/>
        <v xml:space="preserve"> </v>
      </c>
    </row>
    <row r="26" spans="2:14" ht="18.75" customHeight="1" thickBot="1" x14ac:dyDescent="0.3">
      <c r="B26" s="596" t="s">
        <v>629</v>
      </c>
      <c r="C26" s="592" t="s">
        <v>1288</v>
      </c>
      <c r="D26" s="601">
        <f>-L26</f>
        <v>0</v>
      </c>
      <c r="E26" s="600"/>
      <c r="I26" s="273" t="s">
        <v>629</v>
      </c>
      <c r="J26" s="273"/>
      <c r="K26" s="273"/>
      <c r="L26" s="753">
        <f>L24-L25</f>
        <v>0</v>
      </c>
    </row>
    <row r="27" spans="2:14" ht="18.75" customHeight="1" thickTop="1" x14ac:dyDescent="0.25">
      <c r="B27" s="596" t="s">
        <v>634</v>
      </c>
      <c r="C27" s="592"/>
      <c r="D27" s="602">
        <f>-L35</f>
        <v>0</v>
      </c>
      <c r="E27" s="600"/>
      <c r="I27" s="273"/>
      <c r="J27" s="273"/>
      <c r="K27" s="273"/>
      <c r="L27" s="273"/>
      <c r="M27" s="591" t="str">
        <f t="shared" ca="1" si="0"/>
        <v xml:space="preserve"> </v>
      </c>
    </row>
    <row r="28" spans="2:14" ht="18.75" customHeight="1" x14ac:dyDescent="0.25">
      <c r="B28" s="604" t="s">
        <v>1289</v>
      </c>
      <c r="C28" s="592" t="s">
        <v>1290</v>
      </c>
      <c r="D28" s="605"/>
      <c r="E28" s="606">
        <f>SUM(D25:D27)</f>
        <v>-2746</v>
      </c>
      <c r="I28" s="272" t="s">
        <v>634</v>
      </c>
      <c r="J28" s="273"/>
      <c r="K28" s="273"/>
      <c r="L28" s="273"/>
      <c r="M28" s="591" t="str">
        <f t="shared" ca="1" si="0"/>
        <v xml:space="preserve"> </v>
      </c>
    </row>
    <row r="29" spans="2:14" ht="18.75" customHeight="1" x14ac:dyDescent="0.25">
      <c r="B29" s="596"/>
      <c r="C29" s="592"/>
      <c r="D29" s="600"/>
      <c r="E29" s="600"/>
      <c r="I29" s="273" t="s">
        <v>635</v>
      </c>
      <c r="J29" s="273"/>
      <c r="K29" s="14"/>
      <c r="L29" s="278"/>
      <c r="M29" s="591" t="str">
        <f t="shared" ca="1" si="0"/>
        <v xml:space="preserve"> </v>
      </c>
    </row>
    <row r="30" spans="2:14" ht="18.75" customHeight="1" x14ac:dyDescent="0.25">
      <c r="B30" s="594" t="s">
        <v>1219</v>
      </c>
      <c r="C30" s="592" t="s">
        <v>667</v>
      </c>
      <c r="D30" s="600"/>
      <c r="E30" s="600"/>
      <c r="I30" s="273" t="s">
        <v>636</v>
      </c>
      <c r="J30" s="273"/>
      <c r="K30" s="14"/>
      <c r="L30" s="278">
        <f>K30+K29</f>
        <v>0</v>
      </c>
    </row>
    <row r="31" spans="2:14" ht="18.75" customHeight="1" x14ac:dyDescent="0.25">
      <c r="B31" s="596" t="s">
        <v>1291</v>
      </c>
      <c r="C31" s="592"/>
      <c r="D31" s="601"/>
      <c r="E31" s="600"/>
      <c r="I31" s="273" t="s">
        <v>1</v>
      </c>
      <c r="J31" s="273"/>
      <c r="K31" s="278"/>
      <c r="L31" s="14"/>
      <c r="M31" s="591" t="str">
        <f t="shared" ca="1" si="0"/>
        <v xml:space="preserve"> </v>
      </c>
    </row>
    <row r="32" spans="2:14" ht="18.75" customHeight="1" x14ac:dyDescent="0.25">
      <c r="B32" s="596" t="s">
        <v>1292</v>
      </c>
      <c r="C32" s="592"/>
      <c r="D32" s="601"/>
      <c r="E32" s="600"/>
      <c r="I32" s="273"/>
      <c r="J32" s="273"/>
      <c r="K32" s="278"/>
      <c r="L32" s="278">
        <f>L30+L31</f>
        <v>0</v>
      </c>
    </row>
    <row r="33" spans="2:13" ht="18.75" customHeight="1" x14ac:dyDescent="0.25">
      <c r="B33" s="596" t="s">
        <v>1293</v>
      </c>
      <c r="C33" s="592" t="s">
        <v>1294</v>
      </c>
      <c r="D33" s="601">
        <f>-L45</f>
        <v>0</v>
      </c>
      <c r="E33" s="600"/>
      <c r="I33" s="273" t="s">
        <v>637</v>
      </c>
      <c r="J33" s="273"/>
      <c r="K33" s="14"/>
      <c r="L33" s="278"/>
      <c r="M33" s="591" t="str">
        <f t="shared" ca="1" si="0"/>
        <v xml:space="preserve"> </v>
      </c>
    </row>
    <row r="34" spans="2:13" ht="18.75" customHeight="1" x14ac:dyDescent="0.25">
      <c r="B34" s="596" t="s">
        <v>1295</v>
      </c>
      <c r="C34" s="592" t="s">
        <v>1294</v>
      </c>
      <c r="D34" s="601">
        <f>L50</f>
        <v>0</v>
      </c>
      <c r="E34" s="600"/>
      <c r="I34" s="273" t="s">
        <v>638</v>
      </c>
      <c r="J34" s="273"/>
      <c r="K34" s="14"/>
      <c r="L34" s="278">
        <f>K34+K33</f>
        <v>0</v>
      </c>
    </row>
    <row r="35" spans="2:13" ht="18.75" customHeight="1" thickBot="1" x14ac:dyDescent="0.3">
      <c r="B35" s="596" t="s">
        <v>1296</v>
      </c>
      <c r="C35" s="592" t="s">
        <v>1297</v>
      </c>
      <c r="D35" s="601">
        <f>-L92</f>
        <v>0</v>
      </c>
      <c r="E35" s="600"/>
      <c r="I35" s="273" t="s">
        <v>634</v>
      </c>
      <c r="J35" s="273"/>
      <c r="K35" s="278"/>
      <c r="L35" s="753">
        <f>L32-L34</f>
        <v>0</v>
      </c>
    </row>
    <row r="36" spans="2:13" ht="18.75" customHeight="1" thickTop="1" x14ac:dyDescent="0.25">
      <c r="B36" s="596" t="s">
        <v>1298</v>
      </c>
      <c r="C36" s="592" t="s">
        <v>1297</v>
      </c>
      <c r="D36" s="601"/>
      <c r="E36" s="600"/>
      <c r="I36" s="273"/>
      <c r="J36" s="273"/>
      <c r="K36" s="273"/>
      <c r="L36" s="273"/>
      <c r="M36" s="591" t="str">
        <f t="shared" ca="1" si="0"/>
        <v xml:space="preserve"> </v>
      </c>
    </row>
    <row r="37" spans="2:13" ht="18.75" customHeight="1" x14ac:dyDescent="0.25">
      <c r="B37" s="596" t="s">
        <v>645</v>
      </c>
      <c r="C37" s="592" t="s">
        <v>1299</v>
      </c>
      <c r="D37" s="601">
        <f>L60</f>
        <v>0</v>
      </c>
      <c r="E37" s="600"/>
      <c r="I37" s="272" t="s">
        <v>639</v>
      </c>
      <c r="J37" s="273"/>
      <c r="K37" s="273"/>
      <c r="L37" s="273"/>
      <c r="M37" s="591" t="str">
        <f t="shared" ca="1" si="0"/>
        <v xml:space="preserve"> </v>
      </c>
    </row>
    <row r="38" spans="2:13" ht="18.75" customHeight="1" x14ac:dyDescent="0.25">
      <c r="B38" s="596" t="s">
        <v>1163</v>
      </c>
      <c r="C38" s="592" t="s">
        <v>1299</v>
      </c>
      <c r="D38" s="602">
        <f>L71</f>
        <v>0</v>
      </c>
      <c r="E38" s="600"/>
      <c r="I38" s="273" t="s">
        <v>640</v>
      </c>
      <c r="J38" s="273"/>
      <c r="K38" s="273"/>
      <c r="L38" s="14"/>
      <c r="M38" s="591" t="str">
        <f t="shared" ca="1" si="0"/>
        <v xml:space="preserve"> </v>
      </c>
    </row>
    <row r="39" spans="2:13" ht="18.75" customHeight="1" x14ac:dyDescent="0.25">
      <c r="B39" s="604" t="s">
        <v>1300</v>
      </c>
      <c r="C39" s="592" t="s">
        <v>1290</v>
      </c>
      <c r="D39" s="605"/>
      <c r="E39" s="606">
        <f>SUM(D31:D38)</f>
        <v>0</v>
      </c>
      <c r="I39" s="273" t="s">
        <v>1903</v>
      </c>
      <c r="J39" s="273"/>
      <c r="K39" s="273"/>
      <c r="L39" s="14"/>
      <c r="M39" s="591" t="str">
        <f t="shared" ca="1" si="0"/>
        <v xml:space="preserve"> </v>
      </c>
    </row>
    <row r="40" spans="2:13" ht="18.75" customHeight="1" x14ac:dyDescent="0.25">
      <c r="B40" s="596"/>
      <c r="C40" s="592"/>
      <c r="D40" s="600"/>
      <c r="E40" s="600"/>
      <c r="I40" s="273" t="s">
        <v>643</v>
      </c>
      <c r="J40" s="273"/>
      <c r="K40" s="273"/>
      <c r="L40" s="14"/>
      <c r="M40" s="591" t="str">
        <f t="shared" ca="1" si="0"/>
        <v xml:space="preserve"> </v>
      </c>
    </row>
    <row r="41" spans="2:13" ht="18.75" customHeight="1" x14ac:dyDescent="0.25">
      <c r="B41" s="594" t="s">
        <v>1167</v>
      </c>
      <c r="C41" s="592"/>
      <c r="D41" s="600"/>
      <c r="E41" s="600"/>
      <c r="I41" s="273" t="s">
        <v>1273</v>
      </c>
      <c r="J41" s="273"/>
      <c r="K41" s="273"/>
      <c r="L41" s="14"/>
      <c r="M41" s="591" t="str">
        <f t="shared" ca="1" si="0"/>
        <v xml:space="preserve"> </v>
      </c>
    </row>
    <row r="42" spans="2:13" ht="18.75" customHeight="1" x14ac:dyDescent="0.25">
      <c r="B42" s="596" t="s">
        <v>1168</v>
      </c>
      <c r="C42" s="592"/>
      <c r="D42" s="601">
        <f>L79</f>
        <v>0</v>
      </c>
      <c r="E42" s="600"/>
      <c r="I42" s="273" t="s">
        <v>1274</v>
      </c>
      <c r="J42" s="273"/>
      <c r="K42" s="273"/>
      <c r="L42" s="14"/>
      <c r="M42" s="591" t="str">
        <f t="shared" ca="1" si="0"/>
        <v xml:space="preserve"> </v>
      </c>
    </row>
    <row r="43" spans="2:13" ht="18.75" customHeight="1" x14ac:dyDescent="0.25">
      <c r="B43" s="596" t="s">
        <v>1301</v>
      </c>
      <c r="C43" s="592"/>
      <c r="D43" s="601"/>
      <c r="E43" s="600"/>
      <c r="I43" s="273"/>
      <c r="J43" s="273"/>
      <c r="K43" s="273"/>
      <c r="L43" s="130">
        <f>L38-L40+L39-L41+L42</f>
        <v>0</v>
      </c>
    </row>
    <row r="44" spans="2:13" ht="18.75" customHeight="1" x14ac:dyDescent="0.25">
      <c r="B44" s="596" t="s">
        <v>1302</v>
      </c>
      <c r="C44" s="592" t="s">
        <v>1303</v>
      </c>
      <c r="D44" s="601">
        <f>L85</f>
        <v>0</v>
      </c>
      <c r="E44" s="600"/>
      <c r="I44" s="273" t="s">
        <v>642</v>
      </c>
      <c r="J44" s="273"/>
      <c r="K44" s="273"/>
      <c r="L44" s="14">
        <f>'Adjustments for cash flow'!J15</f>
        <v>0</v>
      </c>
    </row>
    <row r="45" spans="2:13" ht="18.75" customHeight="1" thickBot="1" x14ac:dyDescent="0.3">
      <c r="B45" s="596" t="s">
        <v>1304</v>
      </c>
      <c r="C45" s="592" t="s">
        <v>1305</v>
      </c>
      <c r="D45" s="601">
        <f>-L100</f>
        <v>0</v>
      </c>
      <c r="E45" s="600"/>
      <c r="I45" s="273" t="s">
        <v>639</v>
      </c>
      <c r="J45" s="273"/>
      <c r="K45" s="273"/>
      <c r="L45" s="18">
        <f>L44-L43</f>
        <v>0</v>
      </c>
    </row>
    <row r="46" spans="2:13" ht="18.75" customHeight="1" thickTop="1" x14ac:dyDescent="0.25">
      <c r="B46" s="596" t="s">
        <v>1166</v>
      </c>
      <c r="C46" s="592"/>
      <c r="D46" s="601">
        <f>-L108</f>
        <v>0</v>
      </c>
      <c r="E46" s="600"/>
      <c r="I46" s="273"/>
      <c r="J46" s="273"/>
      <c r="K46" s="273"/>
      <c r="L46" s="438"/>
      <c r="M46" s="591" t="str">
        <f t="shared" ca="1" si="0"/>
        <v xml:space="preserve"> </v>
      </c>
    </row>
    <row r="47" spans="2:13" ht="18.75" customHeight="1" x14ac:dyDescent="0.25">
      <c r="B47" s="596" t="s">
        <v>1823</v>
      </c>
      <c r="C47" s="592"/>
      <c r="D47" s="601"/>
      <c r="E47" s="600"/>
      <c r="I47" s="272" t="s">
        <v>1335</v>
      </c>
      <c r="J47" s="748"/>
      <c r="K47" s="748"/>
      <c r="L47" s="748"/>
      <c r="M47" s="591" t="str">
        <f t="shared" ca="1" si="0"/>
        <v xml:space="preserve"> </v>
      </c>
    </row>
    <row r="48" spans="2:13" ht="18.75" customHeight="1" x14ac:dyDescent="0.25">
      <c r="B48" s="596" t="s">
        <v>1822</v>
      </c>
      <c r="C48" s="592"/>
      <c r="D48" s="601"/>
      <c r="E48" s="600"/>
      <c r="I48" s="273" t="s">
        <v>233</v>
      </c>
      <c r="J48" s="748"/>
      <c r="K48" s="748"/>
      <c r="L48" s="266"/>
      <c r="M48" s="591" t="str">
        <f t="shared" ca="1" si="0"/>
        <v xml:space="preserve"> </v>
      </c>
    </row>
    <row r="49" spans="2:13" ht="18.75" customHeight="1" x14ac:dyDescent="0.25">
      <c r="B49" s="596" t="s">
        <v>375</v>
      </c>
      <c r="C49" s="592" t="s">
        <v>1299</v>
      </c>
      <c r="D49" s="602">
        <f>-L69</f>
        <v>0</v>
      </c>
      <c r="E49" s="600"/>
      <c r="I49" s="273" t="s">
        <v>1336</v>
      </c>
      <c r="J49" s="748"/>
      <c r="K49" s="748"/>
      <c r="L49" s="266"/>
      <c r="M49" s="591" t="str">
        <f t="shared" ca="1" si="0"/>
        <v xml:space="preserve"> </v>
      </c>
    </row>
    <row r="50" spans="2:13" ht="18.75" customHeight="1" thickBot="1" x14ac:dyDescent="0.3">
      <c r="B50" s="604" t="s">
        <v>1325</v>
      </c>
      <c r="C50" s="592" t="s">
        <v>1290</v>
      </c>
      <c r="D50" s="605"/>
      <c r="E50" s="607">
        <f>SUM(D42:D49)</f>
        <v>0</v>
      </c>
      <c r="I50" s="273" t="s">
        <v>1335</v>
      </c>
      <c r="J50" s="748"/>
      <c r="K50" s="748"/>
      <c r="L50" s="18">
        <f>L48-L49</f>
        <v>0</v>
      </c>
    </row>
    <row r="51" spans="2:13" ht="18.75" customHeight="1" thickTop="1" x14ac:dyDescent="0.25">
      <c r="B51" s="596"/>
      <c r="C51" s="592"/>
      <c r="D51" s="600"/>
      <c r="E51" s="605"/>
      <c r="I51" s="748"/>
      <c r="J51" s="748"/>
      <c r="K51" s="748"/>
      <c r="L51" s="748"/>
      <c r="M51" s="591" t="str">
        <f t="shared" ca="1" si="0"/>
        <v xml:space="preserve"> </v>
      </c>
    </row>
    <row r="52" spans="2:13" ht="18.75" customHeight="1" x14ac:dyDescent="0.25">
      <c r="B52" s="594" t="s">
        <v>1307</v>
      </c>
      <c r="C52" s="592" t="s">
        <v>1308</v>
      </c>
      <c r="D52" s="600"/>
      <c r="E52" s="606">
        <f>SUM(E28,E39,E50)</f>
        <v>-2746</v>
      </c>
      <c r="I52" s="748"/>
      <c r="J52" s="748"/>
      <c r="K52" s="748"/>
      <c r="L52" s="748"/>
      <c r="M52" s="591" t="str">
        <f t="shared" ca="1" si="0"/>
        <v xml:space="preserve"> </v>
      </c>
    </row>
    <row r="53" spans="2:13" ht="18.75" customHeight="1" x14ac:dyDescent="0.25">
      <c r="B53" s="608" t="s">
        <v>1309</v>
      </c>
      <c r="C53" s="592" t="s">
        <v>1310</v>
      </c>
      <c r="D53" s="600"/>
      <c r="E53" s="602">
        <f>L5</f>
        <v>10028</v>
      </c>
      <c r="I53" s="272" t="s">
        <v>645</v>
      </c>
      <c r="J53" s="273"/>
      <c r="K53" s="273"/>
      <c r="L53" s="438"/>
      <c r="M53" s="591" t="str">
        <f t="shared" ca="1" si="0"/>
        <v xml:space="preserve"> </v>
      </c>
    </row>
    <row r="54" spans="2:13" ht="18.75" customHeight="1" thickBot="1" x14ac:dyDescent="0.3">
      <c r="B54" s="594" t="s">
        <v>1311</v>
      </c>
      <c r="C54" s="592" t="s">
        <v>1310</v>
      </c>
      <c r="D54" s="600"/>
      <c r="E54" s="609">
        <f>K5</f>
        <v>7742</v>
      </c>
      <c r="I54" s="273" t="s">
        <v>646</v>
      </c>
      <c r="J54" s="273"/>
      <c r="K54" s="273"/>
      <c r="L54" s="3"/>
      <c r="M54" s="591" t="str">
        <f t="shared" ca="1" si="0"/>
        <v xml:space="preserve"> </v>
      </c>
    </row>
    <row r="55" spans="2:13" ht="18.75" customHeight="1" x14ac:dyDescent="0.25">
      <c r="D55" s="611"/>
      <c r="E55" s="611"/>
      <c r="I55" s="273" t="s">
        <v>647</v>
      </c>
      <c r="J55" s="273"/>
      <c r="K55" s="273"/>
      <c r="L55" s="14"/>
      <c r="M55" s="591" t="str">
        <f t="shared" ca="1" si="0"/>
        <v xml:space="preserve"> </v>
      </c>
    </row>
    <row r="56" spans="2:13" ht="18.75" customHeight="1" x14ac:dyDescent="0.25">
      <c r="C56" s="592" t="s">
        <v>1312</v>
      </c>
      <c r="D56" s="684">
        <f>E54-(SUM(E52:E53))</f>
        <v>460</v>
      </c>
      <c r="E56" s="685"/>
      <c r="I56" s="273" t="s">
        <v>1217</v>
      </c>
      <c r="J56" s="273"/>
      <c r="K56" s="273"/>
      <c r="L56" s="14"/>
      <c r="M56" s="591" t="str">
        <f t="shared" ca="1" si="0"/>
        <v xml:space="preserve"> </v>
      </c>
    </row>
    <row r="57" spans="2:13" ht="18.75" customHeight="1" x14ac:dyDescent="0.25">
      <c r="D57" s="611"/>
      <c r="E57" s="611"/>
      <c r="I57" s="273" t="s">
        <v>350</v>
      </c>
      <c r="J57" s="273"/>
      <c r="K57" s="273"/>
      <c r="L57" s="14"/>
      <c r="M57" s="591" t="str">
        <f t="shared" ca="1" si="0"/>
        <v xml:space="preserve"> </v>
      </c>
    </row>
    <row r="58" spans="2:13" ht="18.75" customHeight="1" x14ac:dyDescent="0.25">
      <c r="D58" s="611"/>
      <c r="E58" s="611"/>
      <c r="I58" s="273"/>
      <c r="J58" s="273"/>
      <c r="K58" s="273"/>
      <c r="L58" s="195">
        <f>L54+L55+L57-L56</f>
        <v>0</v>
      </c>
    </row>
    <row r="59" spans="2:13" ht="18.75" customHeight="1" x14ac:dyDescent="0.25">
      <c r="D59" s="611"/>
      <c r="E59" s="611"/>
      <c r="I59" s="273" t="s">
        <v>648</v>
      </c>
      <c r="J59" s="273"/>
      <c r="K59" s="273"/>
      <c r="L59" s="3">
        <v>0</v>
      </c>
      <c r="M59" s="591" t="str">
        <f t="shared" ca="1" si="0"/>
        <v xml:space="preserve"> </v>
      </c>
    </row>
    <row r="60" spans="2:13" ht="18.75" customHeight="1" thickBot="1" x14ac:dyDescent="0.3">
      <c r="D60" s="611"/>
      <c r="E60" s="611"/>
      <c r="I60" s="273" t="s">
        <v>645</v>
      </c>
      <c r="J60" s="273"/>
      <c r="K60" s="273"/>
      <c r="L60" s="18">
        <f>L58-L59</f>
        <v>0</v>
      </c>
    </row>
    <row r="61" spans="2:13" ht="18.75" customHeight="1" thickTop="1" x14ac:dyDescent="0.25">
      <c r="D61" s="611"/>
      <c r="E61" s="611"/>
      <c r="I61" s="273"/>
      <c r="J61" s="273"/>
      <c r="K61" s="273"/>
      <c r="L61" s="438"/>
      <c r="M61" s="591" t="str">
        <f t="shared" ca="1" si="0"/>
        <v xml:space="preserve"> </v>
      </c>
    </row>
    <row r="62" spans="2:13" ht="18.75" customHeight="1" x14ac:dyDescent="0.25">
      <c r="D62" s="611"/>
      <c r="E62" s="611"/>
      <c r="I62" s="272" t="s">
        <v>375</v>
      </c>
      <c r="J62" s="273"/>
      <c r="K62" s="273"/>
      <c r="L62" s="438"/>
      <c r="M62" s="591" t="str">
        <f t="shared" ca="1" si="0"/>
        <v xml:space="preserve"> </v>
      </c>
    </row>
    <row r="63" spans="2:13" ht="18.75" customHeight="1" x14ac:dyDescent="0.25">
      <c r="D63" s="611"/>
      <c r="E63" s="611"/>
      <c r="I63" s="273" t="s">
        <v>649</v>
      </c>
      <c r="J63" s="273"/>
      <c r="K63" s="273"/>
      <c r="L63" s="70"/>
      <c r="M63" s="591" t="str">
        <f t="shared" ca="1" si="0"/>
        <v xml:space="preserve"> </v>
      </c>
    </row>
    <row r="64" spans="2:13" ht="18.75" customHeight="1" x14ac:dyDescent="0.25">
      <c r="D64" s="611"/>
      <c r="E64" s="611"/>
      <c r="I64" s="273" t="s">
        <v>650</v>
      </c>
      <c r="J64" s="273"/>
      <c r="K64" s="273"/>
      <c r="L64" s="70"/>
      <c r="M64" s="591" t="str">
        <f t="shared" ca="1" si="0"/>
        <v xml:space="preserve"> </v>
      </c>
    </row>
    <row r="65" spans="4:13" ht="18.75" customHeight="1" x14ac:dyDescent="0.25">
      <c r="D65" s="611"/>
      <c r="E65" s="611"/>
      <c r="I65" s="273" t="s">
        <v>22</v>
      </c>
      <c r="J65" s="273"/>
      <c r="K65" s="273"/>
      <c r="L65" s="621"/>
      <c r="M65" s="591" t="str">
        <f ca="1">IFERROR(_xlfn.FORMULATEXT(L66)," ")</f>
        <v xml:space="preserve"> </v>
      </c>
    </row>
    <row r="66" spans="4:13" ht="18.75" customHeight="1" x14ac:dyDescent="0.25">
      <c r="D66" s="611"/>
      <c r="E66" s="611"/>
      <c r="I66" s="273" t="s">
        <v>651</v>
      </c>
      <c r="J66" s="273"/>
      <c r="K66" s="273"/>
      <c r="L66" s="70"/>
    </row>
    <row r="67" spans="4:13" ht="18.75" customHeight="1" x14ac:dyDescent="0.25">
      <c r="D67" s="611"/>
      <c r="E67" s="611"/>
      <c r="I67" s="273"/>
      <c r="J67" s="273"/>
      <c r="K67" s="273"/>
      <c r="L67" s="130">
        <f>L63+L64+L66-L65</f>
        <v>0</v>
      </c>
      <c r="M67" s="591" t="str">
        <f ca="1">IFERROR(_xlfn.FORMULATEXT(L68)," ")</f>
        <v xml:space="preserve"> </v>
      </c>
    </row>
    <row r="68" spans="4:13" ht="18.75" customHeight="1" x14ac:dyDescent="0.25">
      <c r="D68" s="611"/>
      <c r="E68" s="611"/>
      <c r="I68" s="273" t="s">
        <v>652</v>
      </c>
      <c r="J68" s="273"/>
      <c r="K68" s="273"/>
      <c r="L68" s="70"/>
    </row>
    <row r="69" spans="4:13" ht="18.75" customHeight="1" thickBot="1" x14ac:dyDescent="0.3">
      <c r="D69" s="611"/>
      <c r="E69" s="611"/>
      <c r="I69" s="273" t="s">
        <v>375</v>
      </c>
      <c r="J69" s="273"/>
      <c r="K69" s="273"/>
      <c r="L69" s="94">
        <f>-(L68-L67)</f>
        <v>0</v>
      </c>
      <c r="M69" s="591" t="str">
        <f ca="1">IFERROR(_xlfn.FORMULATEXT(#REF!)," ")</f>
        <v xml:space="preserve"> </v>
      </c>
    </row>
    <row r="70" spans="4:13" ht="18.75" customHeight="1" thickTop="1" x14ac:dyDescent="0.25">
      <c r="I70" s="273"/>
      <c r="J70" s="273"/>
      <c r="K70" s="273"/>
      <c r="L70"/>
      <c r="M70" s="591" t="str">
        <f t="shared" ca="1" si="0"/>
        <v xml:space="preserve"> </v>
      </c>
    </row>
    <row r="71" spans="4:13" ht="18.75" customHeight="1" x14ac:dyDescent="0.25">
      <c r="I71" s="272" t="s">
        <v>1163</v>
      </c>
      <c r="J71" s="273"/>
      <c r="K71" s="273"/>
      <c r="L71" s="3"/>
      <c r="M71" s="591" t="str">
        <f t="shared" ca="1" si="0"/>
        <v xml:space="preserve"> </v>
      </c>
    </row>
    <row r="72" spans="4:13" ht="18.75" customHeight="1" x14ac:dyDescent="0.25">
      <c r="I72" s="273"/>
      <c r="J72" s="273"/>
      <c r="K72" s="273"/>
      <c r="L72" s="273"/>
      <c r="M72" s="591" t="str">
        <f t="shared" ca="1" si="0"/>
        <v xml:space="preserve"> </v>
      </c>
    </row>
    <row r="73" spans="4:13" ht="18.75" customHeight="1" x14ac:dyDescent="0.25">
      <c r="I73" s="273"/>
      <c r="J73" s="273"/>
      <c r="K73" s="273"/>
      <c r="L73" s="273"/>
      <c r="M73" s="591" t="str">
        <f t="shared" ca="1" si="0"/>
        <v xml:space="preserve"> </v>
      </c>
    </row>
    <row r="74" spans="4:13" x14ac:dyDescent="0.25">
      <c r="I74" s="272" t="s">
        <v>1328</v>
      </c>
      <c r="J74" s="748"/>
      <c r="K74" s="748"/>
      <c r="L74" s="748"/>
      <c r="M74" s="591" t="str">
        <f t="shared" ca="1" si="0"/>
        <v xml:space="preserve"> </v>
      </c>
    </row>
    <row r="75" spans="4:13" x14ac:dyDescent="0.25">
      <c r="I75" s="273" t="s">
        <v>1329</v>
      </c>
      <c r="J75" s="748"/>
      <c r="K75" s="748"/>
      <c r="L75" s="266"/>
      <c r="M75" s="749" t="str">
        <f t="shared" ca="1" si="0"/>
        <v xml:space="preserve"> </v>
      </c>
    </row>
    <row r="76" spans="4:13" x14ac:dyDescent="0.25">
      <c r="I76" s="273" t="s">
        <v>22</v>
      </c>
      <c r="J76" s="748"/>
      <c r="K76" s="748"/>
      <c r="L76" s="266"/>
      <c r="M76" s="749" t="str">
        <f t="shared" ca="1" si="0"/>
        <v xml:space="preserve"> </v>
      </c>
    </row>
    <row r="77" spans="4:13" x14ac:dyDescent="0.25">
      <c r="I77" s="273"/>
      <c r="J77" s="748"/>
      <c r="K77" s="748"/>
      <c r="L77" s="130">
        <f>SUM(L75:L76)</f>
        <v>0</v>
      </c>
      <c r="M77" s="749"/>
    </row>
    <row r="78" spans="4:13" x14ac:dyDescent="0.25">
      <c r="I78" s="273" t="s">
        <v>1330</v>
      </c>
      <c r="J78" s="748"/>
      <c r="K78" s="748"/>
      <c r="L78" s="70"/>
      <c r="M78" s="749" t="str">
        <f t="shared" ca="1" si="0"/>
        <v xml:space="preserve"> </v>
      </c>
    </row>
    <row r="79" spans="4:13" ht="15.75" thickBot="1" x14ac:dyDescent="0.3">
      <c r="I79" s="273" t="s">
        <v>1328</v>
      </c>
      <c r="J79" s="748"/>
      <c r="K79" s="748"/>
      <c r="L79" s="94">
        <f>L78-L77</f>
        <v>0</v>
      </c>
    </row>
    <row r="80" spans="4:13" ht="15.75" thickTop="1" x14ac:dyDescent="0.25">
      <c r="I80" s="748"/>
      <c r="J80" s="748"/>
      <c r="K80" s="748"/>
      <c r="L80" s="748"/>
      <c r="M80" s="591" t="str">
        <f t="shared" ca="1" si="0"/>
        <v xml:space="preserve"> </v>
      </c>
    </row>
    <row r="81" spans="9:14" x14ac:dyDescent="0.25">
      <c r="I81" s="272" t="s">
        <v>1331</v>
      </c>
      <c r="J81" s="748"/>
      <c r="K81" s="748"/>
      <c r="L81" s="748"/>
      <c r="M81" s="591" t="str">
        <f t="shared" ca="1" si="0"/>
        <v xml:space="preserve"> </v>
      </c>
    </row>
    <row r="82" spans="9:14" x14ac:dyDescent="0.25">
      <c r="I82" s="273" t="s">
        <v>1332</v>
      </c>
      <c r="J82" s="748"/>
      <c r="K82" s="748"/>
      <c r="L82" s="266"/>
      <c r="M82" s="591" t="str">
        <f t="shared" ca="1" si="0"/>
        <v xml:space="preserve"> </v>
      </c>
    </row>
    <row r="83" spans="9:14" x14ac:dyDescent="0.25">
      <c r="I83" s="273" t="s">
        <v>1902</v>
      </c>
      <c r="J83" s="273"/>
      <c r="K83" s="273"/>
      <c r="L83" s="266"/>
      <c r="M83" s="591" t="str">
        <f ca="1">IFERROR(_xlfn.FORMULATEXT(L84)," ")</f>
        <v xml:space="preserve"> </v>
      </c>
    </row>
    <row r="84" spans="9:14" x14ac:dyDescent="0.25">
      <c r="I84" s="273" t="s">
        <v>1333</v>
      </c>
      <c r="J84" s="748"/>
      <c r="K84" s="748"/>
      <c r="L84" s="266"/>
    </row>
    <row r="85" spans="9:14" ht="15.75" thickBot="1" x14ac:dyDescent="0.3">
      <c r="I85" s="273" t="s">
        <v>1334</v>
      </c>
      <c r="J85" s="748"/>
      <c r="K85" s="748"/>
      <c r="L85" s="18">
        <f>L84-L82+L83</f>
        <v>0</v>
      </c>
      <c r="M85" s="591" t="str">
        <f ca="1">IFERROR(_xlfn.FORMULATEXT(L86)," ")</f>
        <v xml:space="preserve"> </v>
      </c>
    </row>
    <row r="86" spans="9:14" ht="15.75" thickTop="1" x14ac:dyDescent="0.25">
      <c r="I86" s="748"/>
      <c r="J86" s="748"/>
      <c r="K86" s="748"/>
      <c r="L86" s="748"/>
      <c r="M86" s="591" t="str">
        <f ca="1">IFERROR(_xlfn.FORMULATEXT(L87)," ")</f>
        <v xml:space="preserve"> </v>
      </c>
    </row>
    <row r="87" spans="9:14" x14ac:dyDescent="0.25">
      <c r="I87" s="272" t="s">
        <v>1169</v>
      </c>
      <c r="J87" s="748"/>
      <c r="K87" s="748"/>
      <c r="L87" s="748"/>
      <c r="M87" s="591" t="str">
        <f ca="1">IFERROR(_xlfn.FORMULATEXT(#REF!)," ")</f>
        <v xml:space="preserve"> </v>
      </c>
    </row>
    <row r="88" spans="9:14" x14ac:dyDescent="0.25">
      <c r="I88" s="748" t="s">
        <v>1457</v>
      </c>
      <c r="J88" s="748"/>
      <c r="K88" s="748"/>
      <c r="L88" s="621"/>
      <c r="M88" s="591" t="str">
        <f ca="1">IFERROR(_xlfn.FORMULATEXT(L88)," ")</f>
        <v xml:space="preserve"> </v>
      </c>
    </row>
    <row r="89" spans="9:14" x14ac:dyDescent="0.25">
      <c r="I89" s="748" t="s">
        <v>1458</v>
      </c>
      <c r="J89" s="748"/>
      <c r="K89" s="748"/>
      <c r="L89" s="621"/>
    </row>
    <row r="90" spans="9:14" x14ac:dyDescent="0.25">
      <c r="I90" s="748"/>
      <c r="J90" s="748"/>
      <c r="K90" s="748"/>
      <c r="L90" s="640">
        <f>SUM(L88:L89)</f>
        <v>0</v>
      </c>
      <c r="M90" s="591" t="str">
        <f ca="1">IFERROR(_xlfn.FORMULATEXT(L91)," ")</f>
        <v xml:space="preserve"> </v>
      </c>
    </row>
    <row r="91" spans="9:14" x14ac:dyDescent="0.25">
      <c r="I91" s="748" t="s">
        <v>1459</v>
      </c>
      <c r="J91" s="748"/>
      <c r="K91" s="748"/>
      <c r="L91" s="621"/>
      <c r="N91" s="663" t="s">
        <v>1824</v>
      </c>
    </row>
    <row r="92" spans="9:14" ht="15.75" thickBot="1" x14ac:dyDescent="0.3">
      <c r="I92" s="748" t="s">
        <v>1169</v>
      </c>
      <c r="J92" s="748"/>
      <c r="K92" s="748"/>
      <c r="L92" s="641">
        <f>L91-L90</f>
        <v>0</v>
      </c>
      <c r="M92" s="591" t="str">
        <f ca="1">IFERROR(_xlfn.FORMULATEXT(L93)," ")</f>
        <v xml:space="preserve"> </v>
      </c>
    </row>
    <row r="93" spans="9:14" ht="15.75" thickTop="1" x14ac:dyDescent="0.25">
      <c r="I93" s="748"/>
      <c r="J93" s="748"/>
      <c r="K93" s="748"/>
      <c r="L93" s="748"/>
      <c r="M93" s="591" t="str">
        <f ca="1">IFERROR(_xlfn.FORMULATEXT(L94)," ")</f>
        <v xml:space="preserve"> </v>
      </c>
    </row>
    <row r="94" spans="9:14" x14ac:dyDescent="0.25">
      <c r="I94" s="748"/>
      <c r="J94" s="748"/>
      <c r="K94" s="748"/>
      <c r="L94" s="748"/>
      <c r="M94" s="591" t="str">
        <f ca="1">IFERROR(_xlfn.FORMULATEXT(L95)," ")</f>
        <v xml:space="preserve"> </v>
      </c>
    </row>
    <row r="95" spans="9:14" x14ac:dyDescent="0.25">
      <c r="I95" s="272" t="s">
        <v>1460</v>
      </c>
      <c r="J95" s="748"/>
      <c r="K95" s="748"/>
      <c r="L95" s="748"/>
      <c r="M95" s="591" t="str">
        <f ca="1">IFERROR(_xlfn.FORMULATEXT(L96)," ")</f>
        <v xml:space="preserve"> </v>
      </c>
      <c r="N95" s="663" t="s">
        <v>1532</v>
      </c>
    </row>
    <row r="96" spans="9:14" x14ac:dyDescent="0.25">
      <c r="I96" s="748" t="s">
        <v>1461</v>
      </c>
      <c r="J96" s="748"/>
      <c r="K96" s="748"/>
      <c r="L96" s="14"/>
      <c r="M96" s="591" t="str">
        <f ca="1">IFERROR(_xlfn.FORMULATEXT(L97)," ")</f>
        <v xml:space="preserve"> </v>
      </c>
      <c r="N96" s="663" t="s">
        <v>1878</v>
      </c>
    </row>
    <row r="97" spans="9:13" x14ac:dyDescent="0.25">
      <c r="I97" s="748" t="s">
        <v>1531</v>
      </c>
      <c r="J97" s="748"/>
      <c r="K97" s="748"/>
      <c r="L97" s="266"/>
    </row>
    <row r="98" spans="9:13" x14ac:dyDescent="0.25">
      <c r="I98" s="748"/>
      <c r="J98" s="748"/>
      <c r="K98" s="748"/>
      <c r="L98" s="674">
        <f>SUM(L96:L97)</f>
        <v>0</v>
      </c>
      <c r="M98" s="591" t="str">
        <f ca="1">IFERROR(_xlfn.FORMULATEXT(L99)," ")</f>
        <v xml:space="preserve"> </v>
      </c>
    </row>
    <row r="99" spans="9:13" x14ac:dyDescent="0.25">
      <c r="I99" s="748" t="s">
        <v>1462</v>
      </c>
      <c r="J99" s="748"/>
      <c r="K99" s="748"/>
      <c r="L99" s="14"/>
    </row>
    <row r="100" spans="9:13" ht="15.75" thickBot="1" x14ac:dyDescent="0.3">
      <c r="I100" s="748" t="s">
        <v>1460</v>
      </c>
      <c r="J100" s="748"/>
      <c r="K100" s="748"/>
      <c r="L100" s="675">
        <f>L98-L99</f>
        <v>0</v>
      </c>
    </row>
    <row r="101" spans="9:13" ht="15.75" thickTop="1" x14ac:dyDescent="0.25">
      <c r="I101" s="748"/>
      <c r="J101" s="748"/>
      <c r="K101" s="748"/>
      <c r="L101" s="748"/>
    </row>
    <row r="102" spans="9:13" x14ac:dyDescent="0.25">
      <c r="I102" s="748"/>
      <c r="J102" s="748"/>
      <c r="K102" s="748"/>
      <c r="L102" s="748"/>
    </row>
    <row r="103" spans="9:13" x14ac:dyDescent="0.25">
      <c r="I103" s="272" t="s">
        <v>1533</v>
      </c>
      <c r="J103" s="748"/>
      <c r="K103" s="748"/>
      <c r="L103" s="748"/>
    </row>
    <row r="104" spans="9:13" x14ac:dyDescent="0.25">
      <c r="I104" s="748" t="s">
        <v>1534</v>
      </c>
      <c r="J104" s="748"/>
      <c r="K104" s="748"/>
      <c r="L104" s="266"/>
    </row>
    <row r="105" spans="9:13" x14ac:dyDescent="0.25">
      <c r="I105" s="748" t="s">
        <v>1535</v>
      </c>
      <c r="J105" s="748"/>
      <c r="K105" s="748"/>
      <c r="L105" s="266"/>
    </row>
    <row r="106" spans="9:13" x14ac:dyDescent="0.25">
      <c r="I106" s="748"/>
      <c r="J106" s="748"/>
      <c r="K106" s="748"/>
      <c r="L106" s="674">
        <f>L104+L105</f>
        <v>0</v>
      </c>
    </row>
    <row r="107" spans="9:13" x14ac:dyDescent="0.25">
      <c r="I107" s="748" t="s">
        <v>1536</v>
      </c>
      <c r="J107" s="748"/>
      <c r="K107" s="748"/>
      <c r="L107" s="266"/>
    </row>
    <row r="108" spans="9:13" ht="15.75" thickBot="1" x14ac:dyDescent="0.3">
      <c r="I108" s="748" t="s">
        <v>1166</v>
      </c>
      <c r="J108" s="748"/>
      <c r="K108" s="748"/>
      <c r="L108" s="675">
        <f>L106-L107</f>
        <v>0</v>
      </c>
    </row>
    <row r="109" spans="9:13" ht="15.75" thickTop="1" x14ac:dyDescent="0.25">
      <c r="I109" s="748"/>
      <c r="J109" s="748"/>
      <c r="K109" s="748"/>
      <c r="L109" s="748"/>
    </row>
    <row r="110" spans="9:13" x14ac:dyDescent="0.25">
      <c r="I110" s="272" t="s">
        <v>1868</v>
      </c>
      <c r="J110" s="273"/>
      <c r="K110" s="273"/>
      <c r="L110" s="273"/>
    </row>
    <row r="111" spans="9:13" x14ac:dyDescent="0.25">
      <c r="I111" s="273" t="s">
        <v>640</v>
      </c>
      <c r="J111" s="273"/>
      <c r="K111" s="273"/>
      <c r="L111" s="14"/>
    </row>
    <row r="112" spans="9:13" x14ac:dyDescent="0.25">
      <c r="I112" s="273" t="s">
        <v>641</v>
      </c>
      <c r="J112" s="273"/>
      <c r="K112" s="273"/>
      <c r="L112" s="14"/>
    </row>
    <row r="113" spans="9:12" x14ac:dyDescent="0.25">
      <c r="I113" s="273" t="s">
        <v>1869</v>
      </c>
      <c r="J113" s="273"/>
      <c r="K113" s="273"/>
      <c r="L113" s="14"/>
    </row>
    <row r="114" spans="9:12" x14ac:dyDescent="0.25">
      <c r="I114" s="273" t="s">
        <v>1273</v>
      </c>
      <c r="J114" s="273"/>
      <c r="K114" s="273"/>
      <c r="L114" s="14"/>
    </row>
    <row r="115" spans="9:12" x14ac:dyDescent="0.25">
      <c r="I115" s="273"/>
      <c r="J115" s="273"/>
      <c r="K115" s="273"/>
      <c r="L115" s="130">
        <f>L111-L113+L112-L114</f>
        <v>0</v>
      </c>
    </row>
    <row r="116" spans="9:12" x14ac:dyDescent="0.25">
      <c r="I116" s="273" t="s">
        <v>642</v>
      </c>
      <c r="J116" s="273"/>
      <c r="K116" s="273"/>
      <c r="L116" s="14">
        <f>'Adjustments for cash flow'!K15</f>
        <v>0</v>
      </c>
    </row>
    <row r="117" spans="9:12" ht="15.75" thickBot="1" x14ac:dyDescent="0.3">
      <c r="I117" s="273" t="s">
        <v>639</v>
      </c>
      <c r="J117" s="273"/>
      <c r="K117" s="273"/>
      <c r="L117" s="18">
        <f>L116-L115</f>
        <v>0</v>
      </c>
    </row>
    <row r="118" spans="9:12" ht="15.75" thickTop="1" x14ac:dyDescent="0.25"/>
  </sheetData>
  <mergeCells count="1">
    <mergeCell ref="C2:C4"/>
  </mergeCells>
  <conditionalFormatting sqref="D56">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2:P39"/>
  <sheetViews>
    <sheetView zoomScale="80" zoomScaleNormal="80" workbookViewId="0"/>
  </sheetViews>
  <sheetFormatPr defaultRowHeight="15" x14ac:dyDescent="0.25"/>
  <cols>
    <col min="1" max="1" width="17.7109375" customWidth="1"/>
    <col min="2" max="2" width="16" customWidth="1"/>
    <col min="3" max="3" width="15.85546875" customWidth="1"/>
    <col min="4" max="4" width="12.5703125" bestFit="1" customWidth="1"/>
  </cols>
  <sheetData>
    <row r="2" spans="1:6" x14ac:dyDescent="0.25">
      <c r="F2" s="420" t="s">
        <v>1591</v>
      </c>
    </row>
    <row r="3" spans="1:6" x14ac:dyDescent="0.25">
      <c r="A3" t="s">
        <v>676</v>
      </c>
      <c r="D3" s="14"/>
      <c r="F3" s="420" t="s">
        <v>1589</v>
      </c>
    </row>
    <row r="4" spans="1:6" x14ac:dyDescent="0.25">
      <c r="A4" t="s">
        <v>678</v>
      </c>
      <c r="D4" s="14"/>
      <c r="F4" s="420" t="s">
        <v>1651</v>
      </c>
    </row>
    <row r="5" spans="1:6" x14ac:dyDescent="0.25">
      <c r="A5" t="s">
        <v>679</v>
      </c>
      <c r="D5" s="14"/>
      <c r="F5" s="420" t="s">
        <v>1661</v>
      </c>
    </row>
    <row r="6" spans="1:6" x14ac:dyDescent="0.25">
      <c r="A6" t="s">
        <v>515</v>
      </c>
      <c r="D6" s="14"/>
      <c r="F6" s="420" t="s">
        <v>1652</v>
      </c>
    </row>
    <row r="7" spans="1:6" x14ac:dyDescent="0.25">
      <c r="A7" t="s">
        <v>1278</v>
      </c>
      <c r="D7" s="14"/>
      <c r="F7" s="420" t="s">
        <v>1653</v>
      </c>
    </row>
    <row r="8" spans="1:6" x14ac:dyDescent="0.25">
      <c r="D8" s="11">
        <f>SUM(D3:D7)</f>
        <v>0</v>
      </c>
      <c r="F8" s="420" t="s">
        <v>1590</v>
      </c>
    </row>
    <row r="10" spans="1:6" x14ac:dyDescent="0.25">
      <c r="A10" t="s">
        <v>1250</v>
      </c>
      <c r="D10" s="3"/>
    </row>
    <row r="12" spans="1:6" x14ac:dyDescent="0.25">
      <c r="A12" t="s">
        <v>1251</v>
      </c>
    </row>
    <row r="13" spans="1:6" x14ac:dyDescent="0.25">
      <c r="A13" t="s">
        <v>1266</v>
      </c>
      <c r="D13" s="14"/>
      <c r="F13" s="420" t="s">
        <v>1279</v>
      </c>
    </row>
    <row r="14" spans="1:6" x14ac:dyDescent="0.25">
      <c r="A14" t="s">
        <v>1268</v>
      </c>
      <c r="D14" s="14"/>
    </row>
    <row r="15" spans="1:6" x14ac:dyDescent="0.25">
      <c r="A15" t="s">
        <v>1252</v>
      </c>
      <c r="D15" s="14"/>
      <c r="F15" s="420" t="s">
        <v>1261</v>
      </c>
    </row>
    <row r="16" spans="1:6" x14ac:dyDescent="0.25">
      <c r="A16" t="s">
        <v>22</v>
      </c>
      <c r="D16" s="14"/>
      <c r="F16" s="420" t="s">
        <v>1261</v>
      </c>
    </row>
    <row r="17" spans="1:16" x14ac:dyDescent="0.25">
      <c r="A17" t="s">
        <v>1267</v>
      </c>
      <c r="D17" s="14"/>
      <c r="F17" s="420" t="s">
        <v>1654</v>
      </c>
    </row>
    <row r="18" spans="1:16" x14ac:dyDescent="0.25">
      <c r="A18" t="s">
        <v>1655</v>
      </c>
      <c r="D18" s="14"/>
      <c r="F18" s="420" t="s">
        <v>1656</v>
      </c>
    </row>
    <row r="19" spans="1:16" x14ac:dyDescent="0.25">
      <c r="A19" t="s">
        <v>1283</v>
      </c>
      <c r="D19" s="14"/>
      <c r="F19" s="420" t="s">
        <v>1658</v>
      </c>
    </row>
    <row r="20" spans="1:16" x14ac:dyDescent="0.25">
      <c r="A20" t="s">
        <v>1253</v>
      </c>
      <c r="D20" s="14"/>
      <c r="F20" s="420"/>
    </row>
    <row r="21" spans="1:16" x14ac:dyDescent="0.25">
      <c r="A21" t="s">
        <v>1254</v>
      </c>
      <c r="D21" s="14"/>
      <c r="F21" s="420" t="s">
        <v>1269</v>
      </c>
      <c r="L21" t="s">
        <v>1280</v>
      </c>
    </row>
    <row r="22" spans="1:16" x14ac:dyDescent="0.25">
      <c r="A22" t="s">
        <v>1255</v>
      </c>
      <c r="D22" s="12">
        <f>SUM(D13:D21)</f>
        <v>0</v>
      </c>
      <c r="L22" t="s">
        <v>1281</v>
      </c>
    </row>
    <row r="23" spans="1:16" x14ac:dyDescent="0.25">
      <c r="L23" t="s">
        <v>1282</v>
      </c>
    </row>
    <row r="24" spans="1:16" x14ac:dyDescent="0.25">
      <c r="A24" t="s">
        <v>1256</v>
      </c>
      <c r="D24" s="14"/>
    </row>
    <row r="25" spans="1:16" x14ac:dyDescent="0.25">
      <c r="A25" t="s">
        <v>1257</v>
      </c>
      <c r="D25" s="21">
        <f>D14</f>
        <v>0</v>
      </c>
      <c r="L25" t="s">
        <v>1284</v>
      </c>
    </row>
    <row r="26" spans="1:16" x14ac:dyDescent="0.25">
      <c r="A26" t="s">
        <v>1258</v>
      </c>
      <c r="D26" s="21">
        <f>D15</f>
        <v>0</v>
      </c>
      <c r="F26" s="420" t="s">
        <v>1261</v>
      </c>
      <c r="L26" t="s">
        <v>1285</v>
      </c>
    </row>
    <row r="27" spans="1:16" x14ac:dyDescent="0.25">
      <c r="A27" t="s">
        <v>22</v>
      </c>
      <c r="D27" s="21">
        <f>D16</f>
        <v>0</v>
      </c>
      <c r="L27" t="s">
        <v>1657</v>
      </c>
    </row>
    <row r="28" spans="1:16" x14ac:dyDescent="0.25">
      <c r="A28" t="s">
        <v>1259</v>
      </c>
      <c r="D28" s="3"/>
      <c r="L28" t="s">
        <v>1286</v>
      </c>
    </row>
    <row r="29" spans="1:16" x14ac:dyDescent="0.25">
      <c r="A29" s="1" t="s">
        <v>1260</v>
      </c>
      <c r="D29" s="11">
        <f>SUM(D24:D28)</f>
        <v>0</v>
      </c>
    </row>
    <row r="30" spans="1:16" x14ac:dyDescent="0.25">
      <c r="L30" s="420" t="s">
        <v>1658</v>
      </c>
    </row>
    <row r="31" spans="1:16" x14ac:dyDescent="0.25">
      <c r="A31" t="s">
        <v>1262</v>
      </c>
      <c r="L31" t="s">
        <v>1585</v>
      </c>
      <c r="P31" s="3"/>
    </row>
    <row r="32" spans="1:16" x14ac:dyDescent="0.25">
      <c r="A32" t="s">
        <v>1263</v>
      </c>
      <c r="D32" s="367">
        <f>D22</f>
        <v>0</v>
      </c>
      <c r="L32" t="s">
        <v>1586</v>
      </c>
      <c r="P32" s="3"/>
    </row>
    <row r="33" spans="1:16" x14ac:dyDescent="0.25">
      <c r="A33" t="s">
        <v>1264</v>
      </c>
      <c r="D33" s="367">
        <f>D34-D32</f>
        <v>0</v>
      </c>
      <c r="L33" t="s">
        <v>1587</v>
      </c>
      <c r="P33">
        <f>P31-P32</f>
        <v>0</v>
      </c>
    </row>
    <row r="34" spans="1:16" ht="15.75" thickBot="1" x14ac:dyDescent="0.3">
      <c r="A34" t="s">
        <v>1265</v>
      </c>
      <c r="D34" s="94">
        <f>D29</f>
        <v>0</v>
      </c>
    </row>
    <row r="35" spans="1:16" ht="15.75" thickTop="1" x14ac:dyDescent="0.25"/>
    <row r="37" spans="1:16" x14ac:dyDescent="0.25">
      <c r="L37" s="1" t="s">
        <v>1650</v>
      </c>
    </row>
    <row r="38" spans="1:16" x14ac:dyDescent="0.25">
      <c r="L38" t="s">
        <v>1659</v>
      </c>
    </row>
    <row r="39" spans="1:16" x14ac:dyDescent="0.25">
      <c r="L39" t="s">
        <v>1660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B1:V91"/>
  <sheetViews>
    <sheetView topLeftCell="A61" workbookViewId="0">
      <selection activeCell="H2" sqref="H2:L21"/>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46" t="s">
        <v>1044</v>
      </c>
      <c r="F2" s="547" t="s">
        <v>1045</v>
      </c>
      <c r="G2" s="2"/>
      <c r="H2" s="182" t="s">
        <v>1096</v>
      </c>
      <c r="I2" s="2"/>
      <c r="J2" s="2"/>
      <c r="K2" s="2"/>
      <c r="L2" s="2"/>
      <c r="O2" s="1" t="s">
        <v>1097</v>
      </c>
      <c r="T2" s="1" t="s">
        <v>1098</v>
      </c>
    </row>
    <row r="3" spans="2:22" x14ac:dyDescent="0.25">
      <c r="B3" s="65" t="s">
        <v>1043</v>
      </c>
      <c r="E3" s="796">
        <v>25231</v>
      </c>
      <c r="F3" s="796">
        <v>29700</v>
      </c>
      <c r="G3" s="89"/>
      <c r="H3" s="89" t="s">
        <v>1099</v>
      </c>
      <c r="I3" s="89"/>
      <c r="J3" s="89"/>
      <c r="K3" s="35">
        <v>0.03</v>
      </c>
      <c r="L3" s="89"/>
      <c r="O3" t="s">
        <v>1100</v>
      </c>
      <c r="R3" s="3">
        <f>2337+R5</f>
        <v>3306</v>
      </c>
      <c r="T3" t="s">
        <v>1101</v>
      </c>
      <c r="U3" s="3"/>
    </row>
    <row r="4" spans="2:22" x14ac:dyDescent="0.25">
      <c r="B4" s="65" t="s">
        <v>1050</v>
      </c>
      <c r="E4" s="796">
        <v>24632</v>
      </c>
      <c r="F4" s="796">
        <v>25200</v>
      </c>
      <c r="G4" s="89"/>
      <c r="H4" s="89" t="s">
        <v>1102</v>
      </c>
      <c r="I4" s="89"/>
      <c r="J4" s="89"/>
      <c r="K4" s="35">
        <v>0.1</v>
      </c>
      <c r="L4" s="89"/>
      <c r="O4" t="s">
        <v>1103</v>
      </c>
      <c r="R4" s="3">
        <v>439</v>
      </c>
      <c r="T4" t="s">
        <v>1104</v>
      </c>
      <c r="U4" s="548"/>
    </row>
    <row r="5" spans="2:22" x14ac:dyDescent="0.25">
      <c r="B5" s="65" t="s">
        <v>1046</v>
      </c>
      <c r="E5" s="788">
        <f>E3-E4</f>
        <v>599</v>
      </c>
      <c r="F5" s="797">
        <f>F3-F4</f>
        <v>4500</v>
      </c>
      <c r="H5" t="s">
        <v>1105</v>
      </c>
      <c r="K5" s="14">
        <v>16000</v>
      </c>
      <c r="L5" t="s">
        <v>1106</v>
      </c>
      <c r="O5" t="s">
        <v>1107</v>
      </c>
      <c r="R5" s="3">
        <v>969</v>
      </c>
      <c r="U5">
        <f>U3*U4</f>
        <v>0</v>
      </c>
    </row>
    <row r="6" spans="2:22" x14ac:dyDescent="0.25">
      <c r="B6" s="65"/>
      <c r="F6" s="68"/>
      <c r="O6" t="s">
        <v>1108</v>
      </c>
      <c r="R6" s="3"/>
      <c r="T6" t="s">
        <v>1109</v>
      </c>
      <c r="U6" s="197">
        <f>U5*0.138</f>
        <v>0</v>
      </c>
    </row>
    <row r="7" spans="2:22" x14ac:dyDescent="0.25">
      <c r="B7" s="65" t="s">
        <v>1064</v>
      </c>
      <c r="F7" s="549">
        <v>4.8000000000000001E-2</v>
      </c>
      <c r="G7" s="550"/>
      <c r="H7" s="551" t="s">
        <v>1110</v>
      </c>
      <c r="I7" s="550"/>
      <c r="J7" s="550"/>
      <c r="K7" s="552">
        <f>K3*K5</f>
        <v>480</v>
      </c>
      <c r="L7" s="553" t="s">
        <v>1111</v>
      </c>
      <c r="O7" t="s">
        <v>1112</v>
      </c>
      <c r="R7" s="196">
        <v>174</v>
      </c>
    </row>
    <row r="8" spans="2:22" x14ac:dyDescent="0.25">
      <c r="B8" s="65" t="s">
        <v>1113</v>
      </c>
      <c r="E8" s="668" t="str">
        <f ca="1">IFERROR(_xlfn.FORMULATEXT(F8)," ")</f>
        <v xml:space="preserve"> </v>
      </c>
      <c r="F8" s="794">
        <v>212</v>
      </c>
      <c r="G8" s="688"/>
      <c r="H8" s="554" t="s">
        <v>1114</v>
      </c>
      <c r="I8" s="89"/>
      <c r="J8" s="89"/>
      <c r="K8" s="89">
        <f>K4*K5</f>
        <v>1600</v>
      </c>
      <c r="L8" s="555"/>
    </row>
    <row r="9" spans="2:22" x14ac:dyDescent="0.25">
      <c r="B9" s="65" t="s">
        <v>1048</v>
      </c>
      <c r="F9" s="794">
        <v>360</v>
      </c>
      <c r="G9" s="89"/>
      <c r="H9" s="556"/>
      <c r="I9" s="89"/>
      <c r="J9" s="89"/>
      <c r="K9" s="89"/>
      <c r="L9" s="555"/>
      <c r="O9" t="s">
        <v>1115</v>
      </c>
    </row>
    <row r="10" spans="2:22" x14ac:dyDescent="0.25">
      <c r="B10" s="65" t="s">
        <v>1116</v>
      </c>
      <c r="F10" s="794"/>
      <c r="H10" s="89" t="s">
        <v>1117</v>
      </c>
      <c r="I10" s="89"/>
      <c r="J10" s="89"/>
      <c r="K10" s="14"/>
      <c r="L10" s="555"/>
    </row>
    <row r="11" spans="2:22" x14ac:dyDescent="0.25">
      <c r="B11" s="65" t="s">
        <v>1118</v>
      </c>
      <c r="F11" s="794"/>
      <c r="H11" s="89"/>
      <c r="I11" s="89"/>
      <c r="J11" s="89"/>
      <c r="K11" s="14"/>
      <c r="L11" s="555"/>
      <c r="Q11" s="15" t="s">
        <v>141</v>
      </c>
      <c r="R11" s="15" t="s">
        <v>141</v>
      </c>
      <c r="T11" s="15"/>
      <c r="U11" s="15" t="s">
        <v>141</v>
      </c>
      <c r="V11" s="15" t="s">
        <v>141</v>
      </c>
    </row>
    <row r="12" spans="2:22" x14ac:dyDescent="0.25">
      <c r="B12" s="65" t="s">
        <v>1049</v>
      </c>
      <c r="F12" s="794">
        <v>6752</v>
      </c>
      <c r="G12" s="89"/>
      <c r="O12" t="s">
        <v>1119</v>
      </c>
      <c r="Q12" s="11">
        <f>R3+R4</f>
        <v>3745</v>
      </c>
      <c r="T12" t="s">
        <v>1120</v>
      </c>
      <c r="U12" s="197">
        <f>U5+U6</f>
        <v>0</v>
      </c>
    </row>
    <row r="13" spans="2:22" x14ac:dyDescent="0.25">
      <c r="B13" s="65" t="s">
        <v>1121</v>
      </c>
      <c r="F13" s="794"/>
      <c r="O13" t="s">
        <v>1122</v>
      </c>
      <c r="R13" s="197">
        <f>R7</f>
        <v>174</v>
      </c>
      <c r="T13" t="s">
        <v>1123</v>
      </c>
      <c r="V13" s="197">
        <f>U6+U5</f>
        <v>0</v>
      </c>
    </row>
    <row r="14" spans="2:22" x14ac:dyDescent="0.25">
      <c r="B14" s="65" t="s">
        <v>1124</v>
      </c>
      <c r="F14" s="794"/>
      <c r="H14" s="15"/>
      <c r="I14" s="15"/>
      <c r="J14" s="15" t="s">
        <v>141</v>
      </c>
      <c r="K14" s="15" t="s">
        <v>141</v>
      </c>
      <c r="L14" s="15"/>
      <c r="O14" t="s">
        <v>407</v>
      </c>
      <c r="R14" s="11">
        <f>R3+R4-R7</f>
        <v>3571</v>
      </c>
    </row>
    <row r="15" spans="2:22" ht="15.75" thickBot="1" x14ac:dyDescent="0.3">
      <c r="B15" s="72" t="s">
        <v>1125</v>
      </c>
      <c r="C15" s="73"/>
      <c r="D15" s="557" t="str">
        <f>"= "&amp;F14&amp;"-"&amp;F13</f>
        <v>= -</v>
      </c>
      <c r="E15" s="73"/>
      <c r="F15" s="795">
        <f>F14-F13</f>
        <v>0</v>
      </c>
      <c r="H15" s="554" t="s">
        <v>1126</v>
      </c>
      <c r="I15" s="89"/>
      <c r="J15" s="89">
        <f>K8</f>
        <v>1600</v>
      </c>
      <c r="K15" s="89"/>
      <c r="L15" s="89"/>
    </row>
    <row r="16" spans="2:22" x14ac:dyDescent="0.25">
      <c r="H16" s="558" t="s">
        <v>1052</v>
      </c>
      <c r="K16" s="12">
        <f>K8-K10</f>
        <v>1600</v>
      </c>
      <c r="L16" s="89"/>
    </row>
    <row r="17" spans="2:12" x14ac:dyDescent="0.25">
      <c r="B17" s="1" t="s">
        <v>1051</v>
      </c>
      <c r="G17" s="15"/>
      <c r="H17" s="554" t="s">
        <v>1127</v>
      </c>
      <c r="I17" s="89"/>
      <c r="J17" s="89"/>
      <c r="K17" s="89">
        <f>K10</f>
        <v>0</v>
      </c>
      <c r="L17" s="420" t="s">
        <v>1836</v>
      </c>
    </row>
    <row r="18" spans="2:12" x14ac:dyDescent="0.25">
      <c r="E18" s="15" t="s">
        <v>141</v>
      </c>
      <c r="F18" s="15" t="s">
        <v>141</v>
      </c>
      <c r="G18" s="89"/>
      <c r="H18" s="89"/>
      <c r="I18" s="89"/>
      <c r="J18" s="89"/>
      <c r="K18" s="89"/>
      <c r="L18" s="89"/>
    </row>
    <row r="19" spans="2:12" x14ac:dyDescent="0.25">
      <c r="B19" t="s">
        <v>1128</v>
      </c>
      <c r="E19" s="788">
        <f>F9+F10</f>
        <v>360</v>
      </c>
      <c r="F19" s="788"/>
      <c r="G19" s="89"/>
      <c r="H19" s="559" t="s">
        <v>1703</v>
      </c>
      <c r="I19" s="89"/>
      <c r="J19" s="89"/>
      <c r="K19" s="89"/>
      <c r="L19" s="89"/>
    </row>
    <row r="20" spans="2:12" x14ac:dyDescent="0.25">
      <c r="B20" s="3" t="s">
        <v>1832</v>
      </c>
      <c r="E20" s="788"/>
      <c r="F20" s="788">
        <f>F9+F10</f>
        <v>360</v>
      </c>
      <c r="H20" s="559" t="s">
        <v>1701</v>
      </c>
      <c r="I20" s="89"/>
      <c r="J20" s="89"/>
      <c r="K20" s="89"/>
      <c r="L20" s="89"/>
    </row>
    <row r="21" spans="2:12" x14ac:dyDescent="0.25">
      <c r="E21" s="10"/>
      <c r="F21" s="10"/>
      <c r="G21" s="89"/>
      <c r="H21" s="559" t="s">
        <v>1702</v>
      </c>
      <c r="I21" s="89"/>
      <c r="J21" s="89"/>
      <c r="K21" s="89"/>
      <c r="L21" s="89"/>
    </row>
    <row r="22" spans="2:12" x14ac:dyDescent="0.25">
      <c r="E22" s="788"/>
      <c r="F22" s="788"/>
      <c r="G22" s="89"/>
      <c r="H22" s="559"/>
      <c r="I22" s="559"/>
      <c r="J22" s="559"/>
      <c r="K22" s="559"/>
      <c r="L22" s="89"/>
    </row>
    <row r="23" spans="2:12" x14ac:dyDescent="0.25">
      <c r="B23" s="1" t="s">
        <v>1129</v>
      </c>
      <c r="E23" s="788"/>
      <c r="F23" s="788"/>
      <c r="G23" s="89"/>
      <c r="H23" s="559"/>
      <c r="I23" s="559"/>
      <c r="J23" s="559"/>
      <c r="K23" s="559"/>
      <c r="L23" s="89"/>
    </row>
    <row r="24" spans="2:12" x14ac:dyDescent="0.25">
      <c r="B24" t="str" cm="1">
        <f t="array" ref="B24">_xlfn.IFS(F15&lt;0,"DR SPL - Staff costs",F15&gt;0,"CR SPL - Staff costs",F15=0," ")</f>
        <v xml:space="preserve"> </v>
      </c>
      <c r="E24" s="788">
        <f>IF($F$15&lt;0,-$F$15,0)</f>
        <v>0</v>
      </c>
      <c r="F24" s="788">
        <f>IF($F$15&gt;0,$F$15,0)</f>
        <v>0</v>
      </c>
      <c r="G24" s="89"/>
      <c r="H24" s="559"/>
      <c r="I24" s="559"/>
      <c r="J24" s="559"/>
      <c r="K24" s="559"/>
      <c r="L24" s="89"/>
    </row>
    <row r="25" spans="2:12" x14ac:dyDescent="0.25">
      <c r="B25" t="s">
        <v>1054</v>
      </c>
      <c r="E25" s="788">
        <f>F14+F12</f>
        <v>6752</v>
      </c>
      <c r="F25" s="788"/>
      <c r="G25" s="89"/>
      <c r="H25" s="559"/>
      <c r="I25" s="559"/>
      <c r="J25" s="559"/>
      <c r="K25" s="559"/>
      <c r="L25" s="89"/>
    </row>
    <row r="26" spans="2:12" x14ac:dyDescent="0.25">
      <c r="B26" t="s">
        <v>1053</v>
      </c>
      <c r="E26" s="788"/>
      <c r="F26" s="788">
        <f>F13+F12</f>
        <v>6752</v>
      </c>
      <c r="G26" s="89"/>
      <c r="H26" s="559"/>
      <c r="I26" s="559"/>
      <c r="J26" s="559"/>
      <c r="K26" s="559"/>
      <c r="L26" s="89"/>
    </row>
    <row r="27" spans="2:12" x14ac:dyDescent="0.25">
      <c r="B27" t="s">
        <v>1990</v>
      </c>
      <c r="E27" s="788"/>
      <c r="F27" s="788"/>
      <c r="G27" s="89"/>
      <c r="H27" s="89"/>
      <c r="I27" s="89"/>
      <c r="J27" s="89"/>
      <c r="K27" s="89"/>
      <c r="L27" s="89"/>
    </row>
    <row r="28" spans="2:12" x14ac:dyDescent="0.25">
      <c r="E28" s="788"/>
      <c r="F28" s="788"/>
      <c r="G28" s="89"/>
      <c r="H28" s="89"/>
      <c r="I28" s="89"/>
      <c r="J28" s="89"/>
      <c r="K28" s="89"/>
      <c r="L28" s="89"/>
    </row>
    <row r="29" spans="2:12" x14ac:dyDescent="0.25">
      <c r="B29" s="1" t="s">
        <v>1055</v>
      </c>
      <c r="E29" s="788"/>
      <c r="F29" s="788"/>
      <c r="G29" s="89"/>
    </row>
    <row r="30" spans="2:12" x14ac:dyDescent="0.25">
      <c r="B30" s="420" t="s">
        <v>1704</v>
      </c>
      <c r="E30" s="788"/>
      <c r="F30" s="788"/>
      <c r="G30" s="89"/>
      <c r="J30" s="41"/>
    </row>
    <row r="31" spans="2:12" x14ac:dyDescent="0.25">
      <c r="B31" t="s">
        <v>1056</v>
      </c>
      <c r="E31" s="788">
        <f>F8+F11</f>
        <v>212</v>
      </c>
      <c r="F31" s="788"/>
      <c r="G31" s="89"/>
      <c r="J31" s="41"/>
    </row>
    <row r="32" spans="2:12" x14ac:dyDescent="0.25">
      <c r="B32" t="s">
        <v>1057</v>
      </c>
      <c r="E32" s="788"/>
      <c r="F32" s="788">
        <f>F8+F11</f>
        <v>212</v>
      </c>
      <c r="H32" s="15"/>
      <c r="I32" s="15"/>
      <c r="J32" s="15"/>
      <c r="K32" s="15"/>
      <c r="L32" s="15"/>
    </row>
    <row r="33" spans="2:12" x14ac:dyDescent="0.25">
      <c r="H33" s="89"/>
      <c r="I33" s="89"/>
      <c r="J33" s="89"/>
      <c r="K33" s="89"/>
      <c r="L33" s="89"/>
    </row>
    <row r="34" spans="2:12" x14ac:dyDescent="0.25">
      <c r="B34" s="1" t="s">
        <v>1058</v>
      </c>
    </row>
    <row r="35" spans="2:12" x14ac:dyDescent="0.25">
      <c r="B35" s="420" t="s">
        <v>1705</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788">
        <f>F3</f>
        <v>29700</v>
      </c>
      <c r="F38" s="788">
        <f>F4</f>
        <v>25200</v>
      </c>
      <c r="H38" s="12"/>
      <c r="I38" s="12"/>
      <c r="J38" s="12"/>
      <c r="K38" s="12"/>
      <c r="L38" s="12"/>
    </row>
    <row r="39" spans="2:12" x14ac:dyDescent="0.25">
      <c r="B39" t="s">
        <v>1059</v>
      </c>
      <c r="C39" s="742">
        <v>44652</v>
      </c>
      <c r="D39" s="189">
        <v>0</v>
      </c>
      <c r="E39" s="10">
        <f>D39*F9</f>
        <v>0</v>
      </c>
      <c r="F39" s="10">
        <v>0</v>
      </c>
      <c r="G39" s="12"/>
    </row>
    <row r="40" spans="2:12" x14ac:dyDescent="0.25">
      <c r="B40" t="s">
        <v>1130</v>
      </c>
      <c r="D40" s="189">
        <v>0</v>
      </c>
      <c r="E40" s="10">
        <f>F10*D40</f>
        <v>0</v>
      </c>
      <c r="F40" s="10">
        <f>D40*F11</f>
        <v>0</v>
      </c>
      <c r="G40" s="12"/>
    </row>
    <row r="41" spans="2:12" x14ac:dyDescent="0.25">
      <c r="B41" t="s">
        <v>1049</v>
      </c>
      <c r="D41" s="189">
        <v>0.5</v>
      </c>
      <c r="E41" s="10">
        <f>-($D$41*$F$12)</f>
        <v>-3376</v>
      </c>
      <c r="F41" s="10">
        <f>-($D$41*$F$12)</f>
        <v>-3376</v>
      </c>
      <c r="G41" s="12"/>
    </row>
    <row r="42" spans="2:12" x14ac:dyDescent="0.25">
      <c r="B42" t="s">
        <v>1049</v>
      </c>
      <c r="D42" s="189">
        <v>1</v>
      </c>
      <c r="E42" s="10">
        <f>($D$42*$E$19)</f>
        <v>360</v>
      </c>
      <c r="F42" s="10"/>
      <c r="G42" s="12"/>
    </row>
    <row r="43" spans="2:12" x14ac:dyDescent="0.25">
      <c r="B43" t="s">
        <v>1131</v>
      </c>
      <c r="D43" s="189"/>
      <c r="E43" s="10">
        <f>D43*-F13</f>
        <v>0</v>
      </c>
      <c r="F43" s="10">
        <f>D43*-F14</f>
        <v>0</v>
      </c>
      <c r="G43" s="12"/>
    </row>
    <row r="44" spans="2:12" x14ac:dyDescent="0.25">
      <c r="B44" t="s">
        <v>1061</v>
      </c>
      <c r="E44" s="789">
        <f>SUM(E38:E43)</f>
        <v>26684</v>
      </c>
      <c r="F44" s="789">
        <f>SUM(F38:F43)</f>
        <v>21824</v>
      </c>
      <c r="G44" s="12"/>
    </row>
    <row r="45" spans="2:12" ht="15.75" thickBot="1" x14ac:dyDescent="0.3">
      <c r="B45" t="s">
        <v>1065</v>
      </c>
      <c r="E45" s="159">
        <f>E44*F7</f>
        <v>1280.8320000000001</v>
      </c>
      <c r="F45" s="159">
        <f>F44*F7</f>
        <v>1047.5520000000001</v>
      </c>
      <c r="H45" s="12"/>
      <c r="I45" s="12"/>
      <c r="J45" s="12"/>
      <c r="K45" s="12"/>
      <c r="L45" s="12"/>
    </row>
    <row r="46" spans="2:12" ht="15.75" thickTop="1" x14ac:dyDescent="0.25">
      <c r="E46" s="689" t="str">
        <f>E44&amp;" * "&amp;$F$7*100&amp;"%"</f>
        <v>26684 * 4.8%</v>
      </c>
      <c r="F46" s="689" t="str">
        <f>F44&amp;" * "&amp;$F$7*100&amp;"%"</f>
        <v>21824 * 4.8%</v>
      </c>
      <c r="H46" s="12"/>
      <c r="I46" s="12"/>
      <c r="J46" s="12"/>
      <c r="K46" s="12"/>
      <c r="L46" s="12"/>
    </row>
    <row r="47" spans="2:12" ht="15.75" thickBot="1" x14ac:dyDescent="0.3">
      <c r="B47" t="s">
        <v>1833</v>
      </c>
      <c r="E47" s="689"/>
      <c r="F47" s="790">
        <f>E45-F45</f>
        <v>233.27999999999997</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1280.8320000000001</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1047.5520000000001</v>
      </c>
      <c r="G50" s="12"/>
    </row>
    <row r="51" spans="2:12" ht="33.6" customHeight="1" x14ac:dyDescent="0.25">
      <c r="B51" t="str">
        <f>IF(E45-F45&lt;0,"DR SPL - Finance costs","CR SPL - Finance income")</f>
        <v>CR SPL - Finance income</v>
      </c>
      <c r="E51" s="10">
        <f>IF($E$45-$F$45&lt;0,-($E$45-$F$45),0)</f>
        <v>0</v>
      </c>
      <c r="F51" s="10">
        <f>IF($E$45-$F$45&gt;0,($E$45-$F$45),0)</f>
        <v>233.27999999999997</v>
      </c>
      <c r="G51" s="420"/>
    </row>
    <row r="52" spans="2:12" x14ac:dyDescent="0.25">
      <c r="H52" s="15"/>
      <c r="I52" s="15"/>
      <c r="J52" s="15"/>
      <c r="K52" s="15"/>
      <c r="L52" s="15"/>
    </row>
    <row r="53" spans="2:12" x14ac:dyDescent="0.25">
      <c r="H53" s="89"/>
      <c r="I53" s="89"/>
      <c r="J53" s="89"/>
      <c r="K53" s="89"/>
      <c r="L53" s="89"/>
    </row>
    <row r="54" spans="2:12" x14ac:dyDescent="0.25">
      <c r="B54" s="1" t="s">
        <v>1066</v>
      </c>
    </row>
    <row r="55" spans="2:12" x14ac:dyDescent="0.25">
      <c r="E55" t="s">
        <v>1067</v>
      </c>
      <c r="F55" t="s">
        <v>1068</v>
      </c>
      <c r="G55" s="15"/>
      <c r="H55" s="12"/>
      <c r="I55" s="12"/>
      <c r="J55" s="12"/>
      <c r="K55" s="12"/>
      <c r="L55" s="12"/>
    </row>
    <row r="56" spans="2:12" x14ac:dyDescent="0.25">
      <c r="E56" s="15" t="s">
        <v>141</v>
      </c>
      <c r="F56" s="15" t="s">
        <v>141</v>
      </c>
      <c r="G56" s="89"/>
      <c r="H56" s="12"/>
      <c r="I56" s="12"/>
      <c r="J56" s="12"/>
      <c r="K56" s="12"/>
      <c r="L56" s="12"/>
    </row>
    <row r="57" spans="2:12" x14ac:dyDescent="0.25">
      <c r="B57" t="s">
        <v>573</v>
      </c>
      <c r="E57" s="788">
        <f>F3</f>
        <v>29700</v>
      </c>
      <c r="F57" s="788">
        <f>F4</f>
        <v>25200</v>
      </c>
      <c r="H57" s="12"/>
      <c r="I57" s="12"/>
      <c r="J57" s="12"/>
      <c r="K57" s="12"/>
      <c r="L57" s="12"/>
    </row>
    <row r="58" spans="2:12" x14ac:dyDescent="0.25">
      <c r="B58" t="s">
        <v>1069</v>
      </c>
      <c r="E58" s="10">
        <f>F9+F10</f>
        <v>360</v>
      </c>
      <c r="F58" s="10"/>
      <c r="G58" s="12"/>
      <c r="H58" s="12"/>
      <c r="I58" s="12"/>
      <c r="J58" s="12"/>
      <c r="K58" s="12"/>
      <c r="L58" s="12"/>
    </row>
    <row r="59" spans="2:12" x14ac:dyDescent="0.25">
      <c r="B59" t="s">
        <v>1049</v>
      </c>
      <c r="E59" s="10">
        <f>-F12</f>
        <v>-6752</v>
      </c>
      <c r="F59" s="10">
        <f>-F12</f>
        <v>-6752</v>
      </c>
      <c r="G59" s="12"/>
      <c r="H59" s="12"/>
      <c r="I59" s="12"/>
      <c r="J59" s="12"/>
      <c r="K59" s="12"/>
      <c r="L59" s="12"/>
    </row>
    <row r="60" spans="2:12" x14ac:dyDescent="0.25">
      <c r="B60" t="s">
        <v>1131</v>
      </c>
      <c r="E60" s="10">
        <f>-F13</f>
        <v>0</v>
      </c>
      <c r="F60" s="10">
        <f>-F14</f>
        <v>0</v>
      </c>
      <c r="G60" s="12"/>
      <c r="H60" s="89"/>
      <c r="I60" s="89"/>
      <c r="J60" s="89"/>
      <c r="K60" s="89"/>
      <c r="L60" s="89"/>
    </row>
    <row r="61" spans="2:12" x14ac:dyDescent="0.25">
      <c r="B61" t="s">
        <v>1047</v>
      </c>
      <c r="E61" s="10"/>
      <c r="F61" s="10">
        <f>F8</f>
        <v>212</v>
      </c>
      <c r="G61" s="12"/>
      <c r="H61" s="89"/>
      <c r="I61" s="89"/>
      <c r="J61" s="89"/>
      <c r="K61" s="89"/>
      <c r="L61" s="89"/>
    </row>
    <row r="62" spans="2:12" x14ac:dyDescent="0.25">
      <c r="B62" t="s">
        <v>1132</v>
      </c>
      <c r="E62" s="10"/>
      <c r="F62" s="10">
        <f>F11</f>
        <v>0</v>
      </c>
      <c r="G62" s="12"/>
      <c r="H62" s="12"/>
      <c r="I62" s="12"/>
      <c r="J62" s="12"/>
      <c r="K62" s="12"/>
      <c r="L62" s="12"/>
    </row>
    <row r="63" spans="2:12" x14ac:dyDescent="0.25">
      <c r="B63" t="s">
        <v>1070</v>
      </c>
      <c r="E63" s="10">
        <f>E45</f>
        <v>1280.8320000000001</v>
      </c>
      <c r="F63" s="10">
        <f>F45</f>
        <v>1047.5520000000001</v>
      </c>
      <c r="G63" s="12"/>
    </row>
    <row r="64" spans="2:12" x14ac:dyDescent="0.25">
      <c r="E64" s="158">
        <f>SUM(E57:E63)</f>
        <v>24588.831999999999</v>
      </c>
      <c r="F64" s="158">
        <f>SUM(F57:F63)</f>
        <v>19707.552</v>
      </c>
      <c r="G64" s="89"/>
    </row>
    <row r="65" spans="2:12" x14ac:dyDescent="0.25">
      <c r="B65" t="s">
        <v>841</v>
      </c>
      <c r="E65" s="788">
        <f>E3</f>
        <v>25231</v>
      </c>
      <c r="F65" s="788">
        <f>E4</f>
        <v>24632</v>
      </c>
      <c r="G65" s="12"/>
      <c r="H65" s="15"/>
      <c r="I65" s="15"/>
      <c r="J65" s="15"/>
      <c r="K65" s="15"/>
      <c r="L65" s="15"/>
    </row>
    <row r="66" spans="2:12" ht="15.75" thickBot="1" x14ac:dyDescent="0.3">
      <c r="B66" t="s">
        <v>1071</v>
      </c>
      <c r="E66" s="159">
        <f>E65-E64</f>
        <v>642.16800000000148</v>
      </c>
      <c r="F66" s="159">
        <f>F65-F64</f>
        <v>4924.4480000000003</v>
      </c>
      <c r="H66" s="12"/>
      <c r="I66" s="12"/>
      <c r="J66" s="12"/>
      <c r="K66" s="12"/>
      <c r="L66" s="12"/>
    </row>
    <row r="67" spans="2:12" ht="15.75" thickTop="1" x14ac:dyDescent="0.25">
      <c r="H67" s="12"/>
      <c r="I67" s="12"/>
      <c r="J67" s="12"/>
      <c r="K67" s="12"/>
      <c r="L67" s="12"/>
    </row>
    <row r="68" spans="2:12" x14ac:dyDescent="0.25">
      <c r="B68" t="s">
        <v>1133</v>
      </c>
      <c r="C68" t="str">
        <f>E66&amp;" - "&amp;F66&amp;" = £"&amp;(E66-F66)</f>
        <v>642.168000000001 - 4924.448 = £-4282.28</v>
      </c>
      <c r="G68" s="15"/>
      <c r="H68" s="12"/>
      <c r="I68" s="12"/>
      <c r="J68" s="12"/>
      <c r="K68" s="12"/>
      <c r="L68" s="12"/>
    </row>
    <row r="69" spans="2:12" x14ac:dyDescent="0.25">
      <c r="E69" s="15" t="s">
        <v>141</v>
      </c>
      <c r="F69" s="15" t="s">
        <v>141</v>
      </c>
      <c r="G69" s="12"/>
    </row>
    <row r="70" spans="2:12" x14ac:dyDescent="0.25">
      <c r="B70" t="str">
        <f>IF(E66&gt;0,"DR Pension account (assets)","CR Pension account (assets)")</f>
        <v>DR Pension account (assets)</v>
      </c>
      <c r="E70" s="10">
        <f>IF($E$66&gt;0,$E$66," ")</f>
        <v>642.16800000000148</v>
      </c>
      <c r="F70" s="10" t="str">
        <f>IF($E$66&lt;0,-$E$66," ")</f>
        <v xml:space="preserve"> </v>
      </c>
      <c r="G70" s="12"/>
    </row>
    <row r="71" spans="2:12" x14ac:dyDescent="0.25">
      <c r="B71" t="str">
        <f>IF(F66&gt;0,"CR Pension account (obligation)","DR Pension account (obligation)")</f>
        <v>CR Pension account (obligation)</v>
      </c>
      <c r="E71" s="10" t="str">
        <f>IF($F$66&lt;0,-$F$66," ")</f>
        <v xml:space="preserve"> </v>
      </c>
      <c r="F71" s="10">
        <f>IF($F$66&gt;0,$F$66," ")</f>
        <v>4924.4480000000003</v>
      </c>
      <c r="G71" s="12"/>
    </row>
    <row r="72" spans="2:12" x14ac:dyDescent="0.25">
      <c r="B72" t="str">
        <f>IF((E66-F66)&gt;0,"CR Retained earnings","DR Retained earnings")</f>
        <v>DR Retained earnings</v>
      </c>
      <c r="E72" s="10">
        <f>IF(($E$66-$F$66)&lt;0,-($E$66-$F$66),0)</f>
        <v>4282.2799999999988</v>
      </c>
      <c r="F72" s="10">
        <f>IF(($E$66-$F$66)&gt;0,$E$66-$F$66,0)</f>
        <v>0</v>
      </c>
    </row>
    <row r="76" spans="2:12" x14ac:dyDescent="0.25">
      <c r="B76" s="420" t="s">
        <v>1834</v>
      </c>
    </row>
    <row r="77" spans="2:12" ht="15.75" thickBot="1" x14ac:dyDescent="0.3">
      <c r="B77" t="str">
        <f>IF((SUM(E24+E31+E51)-SUM(F24+F31+F51))&gt;0,"Total defined benefit pension expense","Total defined benefit pension income")</f>
        <v>Total defined benefit pension income</v>
      </c>
      <c r="F77" s="791">
        <f>ABS(SUM(E24+E31+E51)-SUM(F24+F31+F51))</f>
        <v>21.279999999999973</v>
      </c>
    </row>
    <row r="78" spans="2:12" ht="15.75" thickTop="1" x14ac:dyDescent="0.25">
      <c r="B78" s="1"/>
      <c r="F78" s="792"/>
    </row>
    <row r="79" spans="2:12" x14ac:dyDescent="0.25">
      <c r="B79" s="1" t="s">
        <v>1134</v>
      </c>
      <c r="F79" s="10"/>
    </row>
    <row r="80" spans="2:12" x14ac:dyDescent="0.25">
      <c r="B80" s="1" t="s">
        <v>4</v>
      </c>
      <c r="F80" s="10"/>
    </row>
    <row r="81" spans="2:8" ht="15.75" thickBot="1" x14ac:dyDescent="0.3">
      <c r="B81" t="s">
        <v>1135</v>
      </c>
      <c r="F81" s="791">
        <f>F72-E72</f>
        <v>-4282.2799999999988</v>
      </c>
    </row>
    <row r="82" spans="2:8" ht="15.75" thickTop="1" x14ac:dyDescent="0.25">
      <c r="F82" s="10"/>
    </row>
    <row r="83" spans="2:8" x14ac:dyDescent="0.25">
      <c r="B83" s="1" t="s">
        <v>73</v>
      </c>
      <c r="F83" s="10"/>
    </row>
    <row r="84" spans="2:8" ht="15.75" thickBot="1" x14ac:dyDescent="0.3">
      <c r="B84" t="s">
        <v>1136</v>
      </c>
      <c r="F84" s="791">
        <f>IF(F65&lt;E65,-(F65-E65),0)</f>
        <v>599</v>
      </c>
      <c r="H84" s="420" t="s">
        <v>1835</v>
      </c>
    </row>
    <row r="85" spans="2:8" ht="15.75" thickTop="1" x14ac:dyDescent="0.25">
      <c r="F85" s="10"/>
    </row>
    <row r="86" spans="2:8" x14ac:dyDescent="0.25">
      <c r="B86" s="560" t="s">
        <v>1137</v>
      </c>
      <c r="C86" s="191"/>
      <c r="D86" s="191"/>
      <c r="E86" s="191"/>
      <c r="F86" s="793"/>
    </row>
    <row r="87" spans="2:8" ht="15.75" thickBot="1" x14ac:dyDescent="0.3">
      <c r="B87" s="561" t="s">
        <v>1138</v>
      </c>
      <c r="C87" s="191"/>
      <c r="D87" s="191"/>
      <c r="E87" s="191"/>
      <c r="F87" s="791">
        <f>IF(F65&gt;E65,F65-E65,0)</f>
        <v>0</v>
      </c>
    </row>
    <row r="88" spans="2:8" ht="15.75" thickTop="1" x14ac:dyDescent="0.25"/>
    <row r="91" spans="2:8" x14ac:dyDescent="0.25">
      <c r="B91"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2:P156"/>
  <sheetViews>
    <sheetView zoomScale="70" zoomScaleNormal="70" workbookViewId="0"/>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80" t="s">
        <v>1466</v>
      </c>
      <c r="B2" s="655"/>
      <c r="C2" s="655"/>
      <c r="D2" s="655"/>
      <c r="E2" s="655"/>
      <c r="F2" s="655"/>
      <c r="G2" s="655"/>
      <c r="H2" s="655"/>
      <c r="I2" s="655"/>
      <c r="J2" s="655"/>
      <c r="K2" s="655"/>
      <c r="L2" s="655"/>
    </row>
    <row r="3" spans="1:14" x14ac:dyDescent="0.25">
      <c r="A3" s="420" t="s">
        <v>1952</v>
      </c>
      <c r="N3" s="420" t="s">
        <v>1853</v>
      </c>
    </row>
    <row r="4" spans="1:14" x14ac:dyDescent="0.25">
      <c r="A4" s="420" t="s">
        <v>1667</v>
      </c>
      <c r="N4" s="420" t="s">
        <v>1854</v>
      </c>
    </row>
    <row r="5" spans="1:14" x14ac:dyDescent="0.25">
      <c r="A5" s="420" t="s">
        <v>1953</v>
      </c>
      <c r="N5" s="420"/>
    </row>
    <row r="6" spans="1:14" x14ac:dyDescent="0.25">
      <c r="A6" s="420" t="s">
        <v>1956</v>
      </c>
      <c r="N6" s="420"/>
    </row>
    <row r="7" spans="1:14" x14ac:dyDescent="0.25">
      <c r="A7" t="s">
        <v>1469</v>
      </c>
      <c r="C7" s="3"/>
      <c r="N7" s="420" t="s">
        <v>1847</v>
      </c>
    </row>
    <row r="8" spans="1:14" x14ac:dyDescent="0.25">
      <c r="A8" t="s">
        <v>1468</v>
      </c>
      <c r="C8" s="14"/>
    </row>
    <row r="9" spans="1:14" x14ac:dyDescent="0.25">
      <c r="A9" t="s">
        <v>1467</v>
      </c>
      <c r="C9" s="3"/>
      <c r="N9" s="420" t="str">
        <f>"At year end, the share option scheme is at the end of year x of a "&amp;C9&amp;" year vesting period and therefore x/"&amp;C9&amp;" of the total fair value should be accounted for:"</f>
        <v>At year end, the share option scheme is at the end of year x of a  year vesting period and therefore x/ of the total fair value should be accounted for:</v>
      </c>
    </row>
    <row r="10" spans="1:14" x14ac:dyDescent="0.25">
      <c r="A10" t="s">
        <v>1470</v>
      </c>
      <c r="C10" s="196"/>
      <c r="N10" s="420"/>
    </row>
    <row r="11" spans="1:14" x14ac:dyDescent="0.25">
      <c r="N11" s="420" t="s">
        <v>1848</v>
      </c>
    </row>
    <row r="12" spans="1:14" x14ac:dyDescent="0.25">
      <c r="A12" t="s">
        <v>1471</v>
      </c>
      <c r="C12" s="645" t="e">
        <f>(C7*C8*C10)/C9</f>
        <v>#DIV/0!</v>
      </c>
      <c r="N12" s="420"/>
    </row>
    <row r="13" spans="1:14" x14ac:dyDescent="0.25">
      <c r="C13" s="645"/>
      <c r="N13" s="420" t="s">
        <v>1849</v>
      </c>
    </row>
    <row r="14" spans="1:14" x14ac:dyDescent="0.25">
      <c r="A14" s="420" t="s">
        <v>1668</v>
      </c>
      <c r="C14" s="645"/>
      <c r="N14" s="420" t="s">
        <v>1848</v>
      </c>
    </row>
    <row r="15" spans="1:14" x14ac:dyDescent="0.25">
      <c r="A15" s="420" t="s">
        <v>1954</v>
      </c>
    </row>
    <row r="16" spans="1:14" ht="15.75" thickBot="1" x14ac:dyDescent="0.3">
      <c r="A16" s="420" t="s">
        <v>1955</v>
      </c>
    </row>
    <row r="17" spans="1:13" x14ac:dyDescent="0.25">
      <c r="A17" s="646" t="s">
        <v>1474</v>
      </c>
      <c r="B17" s="647" t="s">
        <v>1472</v>
      </c>
      <c r="C17" s="63" t="s">
        <v>1473</v>
      </c>
      <c r="D17" s="63" t="s">
        <v>276</v>
      </c>
      <c r="E17" s="647" t="s">
        <v>80</v>
      </c>
      <c r="F17" s="648" t="s">
        <v>208</v>
      </c>
      <c r="H17" s="75" t="s">
        <v>1476</v>
      </c>
      <c r="I17" s="63"/>
      <c r="J17" s="63"/>
      <c r="K17" s="63"/>
      <c r="L17" s="64"/>
    </row>
    <row r="18" spans="1:13" x14ac:dyDescent="0.25">
      <c r="A18" s="65"/>
      <c r="B18" s="66"/>
      <c r="C18" s="66"/>
      <c r="D18" s="66"/>
      <c r="E18" s="67" t="s">
        <v>10</v>
      </c>
      <c r="F18" s="126" t="s">
        <v>10</v>
      </c>
      <c r="H18" s="65"/>
      <c r="I18" s="66"/>
      <c r="J18" s="66"/>
      <c r="K18" s="66"/>
      <c r="L18" s="68"/>
      <c r="M18" s="420" t="s">
        <v>1957</v>
      </c>
    </row>
    <row r="19" spans="1:13" x14ac:dyDescent="0.25">
      <c r="A19" s="65">
        <v>1</v>
      </c>
      <c r="B19" s="49"/>
      <c r="C19" s="85">
        <f>B19*$C$8</f>
        <v>0</v>
      </c>
      <c r="D19" s="85">
        <f>C19*$C$10</f>
        <v>0</v>
      </c>
      <c r="E19" s="85" t="e">
        <f>D19/$C$9*A19</f>
        <v>#DIV/0!</v>
      </c>
      <c r="F19" s="71" t="e">
        <f>E19</f>
        <v>#DIV/0!</v>
      </c>
      <c r="H19" s="888">
        <v>1</v>
      </c>
      <c r="I19" s="66" t="s">
        <v>1475</v>
      </c>
      <c r="J19" s="66"/>
      <c r="K19" s="17" t="e">
        <f>F19</f>
        <v>#DIV/0!</v>
      </c>
      <c r="L19" s="68"/>
      <c r="M19" s="420" t="s">
        <v>1673</v>
      </c>
    </row>
    <row r="20" spans="1:13" s="183" customFormat="1" x14ac:dyDescent="0.25">
      <c r="A20" s="185"/>
      <c r="B20" s="151" t="str">
        <f ca="1">IFERROR(_xlfn.FORMULATEXT(B19)," ")</f>
        <v xml:space="preserve"> </v>
      </c>
      <c r="C20" s="111"/>
      <c r="D20" s="111"/>
      <c r="E20" s="111"/>
      <c r="F20" s="140"/>
      <c r="H20" s="888"/>
      <c r="I20" s="151" t="s">
        <v>882</v>
      </c>
      <c r="J20" s="151"/>
      <c r="K20" s="151"/>
      <c r="L20" s="140" t="e">
        <f>F19</f>
        <v>#DIV/0!</v>
      </c>
    </row>
    <row r="21" spans="1:13" x14ac:dyDescent="0.25">
      <c r="A21" s="65">
        <v>2</v>
      </c>
      <c r="B21" s="49"/>
      <c r="C21" s="85">
        <f>B21*$C$8</f>
        <v>0</v>
      </c>
      <c r="D21" s="85">
        <f>C21*$C$10</f>
        <v>0</v>
      </c>
      <c r="E21" s="85" t="e">
        <f>D21/$C$9*A21</f>
        <v>#DIV/0!</v>
      </c>
      <c r="F21" s="71" t="e">
        <f>E21-E19</f>
        <v>#DIV/0!</v>
      </c>
      <c r="H21" s="888">
        <v>2</v>
      </c>
      <c r="I21" s="66" t="s">
        <v>1475</v>
      </c>
      <c r="J21" s="66"/>
      <c r="K21" s="17" t="e">
        <f>F21</f>
        <v>#DIV/0!</v>
      </c>
      <c r="L21" s="68"/>
    </row>
    <row r="22" spans="1:13" s="183" customFormat="1" x14ac:dyDescent="0.25">
      <c r="A22" s="185"/>
      <c r="B22" s="681" t="str">
        <f ca="1">IFERROR(_xlfn.FORMULATEXT(B21)," ")</f>
        <v xml:space="preserve"> </v>
      </c>
      <c r="C22" s="111"/>
      <c r="D22" s="111"/>
      <c r="E22" s="111"/>
      <c r="F22" s="140"/>
      <c r="H22" s="888"/>
      <c r="I22" s="151" t="s">
        <v>882</v>
      </c>
      <c r="J22" s="151"/>
      <c r="K22" s="151"/>
      <c r="L22" s="140" t="e">
        <f>F21</f>
        <v>#DIV/0!</v>
      </c>
    </row>
    <row r="23" spans="1:13" x14ac:dyDescent="0.25">
      <c r="A23" s="65">
        <v>3</v>
      </c>
      <c r="B23" s="49"/>
      <c r="C23" s="85">
        <f>B23*$C$8</f>
        <v>0</v>
      </c>
      <c r="D23" s="85">
        <f>C23*$C$10</f>
        <v>0</v>
      </c>
      <c r="E23" s="85" t="e">
        <f>D23/$C$9*A23</f>
        <v>#DIV/0!</v>
      </c>
      <c r="F23" s="71" t="e">
        <f>E23-E21</f>
        <v>#DIV/0!</v>
      </c>
      <c r="H23" s="888">
        <v>3</v>
      </c>
      <c r="I23" s="66" t="s">
        <v>1475</v>
      </c>
      <c r="J23" s="66"/>
      <c r="K23" s="17" t="e">
        <f>F23</f>
        <v>#DIV/0!</v>
      </c>
      <c r="L23" s="68"/>
    </row>
    <row r="24" spans="1:13" ht="15.75" thickBot="1" x14ac:dyDescent="0.3">
      <c r="A24" s="72"/>
      <c r="B24" s="73" t="str">
        <f ca="1">IFERROR(_xlfn.FORMULATEXT(B23)," ")</f>
        <v xml:space="preserve"> </v>
      </c>
      <c r="C24" s="73"/>
      <c r="D24" s="73"/>
      <c r="E24" s="73"/>
      <c r="F24" s="82"/>
      <c r="H24" s="889"/>
      <c r="I24" s="649" t="s">
        <v>882</v>
      </c>
      <c r="J24" s="73"/>
      <c r="K24" s="73"/>
      <c r="L24" s="110" t="e">
        <f>F23</f>
        <v>#DIV/0!</v>
      </c>
    </row>
    <row r="25" spans="1:13" x14ac:dyDescent="0.25">
      <c r="A25" s="66"/>
      <c r="B25" s="66"/>
      <c r="C25" s="66"/>
      <c r="D25" s="66"/>
      <c r="E25" s="66"/>
      <c r="F25" s="66"/>
      <c r="H25" s="651"/>
      <c r="I25" s="151"/>
      <c r="J25" s="66"/>
      <c r="K25" s="66"/>
      <c r="L25" s="17"/>
    </row>
    <row r="26" spans="1:13" x14ac:dyDescent="0.25">
      <c r="A26" s="617" t="s">
        <v>1481</v>
      </c>
      <c r="B26" s="618"/>
      <c r="C26" s="618"/>
    </row>
    <row r="27" spans="1:13" x14ac:dyDescent="0.25">
      <c r="A27" s="420" t="s">
        <v>1674</v>
      </c>
    </row>
    <row r="28" spans="1:13" x14ac:dyDescent="0.25">
      <c r="A28" t="s">
        <v>1482</v>
      </c>
      <c r="B28" s="754" t="e">
        <f>SUM(K18:K24)</f>
        <v>#DIV/0!</v>
      </c>
    </row>
    <row r="30" spans="1:13" x14ac:dyDescent="0.25">
      <c r="A30" t="s">
        <v>1483</v>
      </c>
      <c r="B30" s="367"/>
    </row>
    <row r="31" spans="1:13" x14ac:dyDescent="0.25">
      <c r="A31" t="s">
        <v>1484</v>
      </c>
      <c r="B31" s="3"/>
    </row>
    <row r="32" spans="1:13" x14ac:dyDescent="0.25">
      <c r="A32" t="s">
        <v>1488</v>
      </c>
      <c r="B32" s="14"/>
      <c r="C32" s="420"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4">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t="e">
        <f>$B$33*SUM($K$19:$K$24)</f>
        <v>#DIV/0!</v>
      </c>
    </row>
    <row r="47" spans="1:3" x14ac:dyDescent="0.25">
      <c r="A47" t="s">
        <v>1487</v>
      </c>
      <c r="C47" s="12" t="e">
        <f>$B$33*SUM($K$19:$K$24)</f>
        <v>#DIV/0!</v>
      </c>
    </row>
    <row r="50" spans="1:14" x14ac:dyDescent="0.25">
      <c r="A50" s="617" t="s">
        <v>1490</v>
      </c>
      <c r="B50" s="618"/>
      <c r="C50" s="618"/>
    </row>
    <row r="51" spans="1:14" x14ac:dyDescent="0.25">
      <c r="A51" t="s">
        <v>1486</v>
      </c>
      <c r="B51" s="12" t="e">
        <f>(1-B33)*SUM($K$19:$K$24)</f>
        <v>#DIV/0!</v>
      </c>
    </row>
    <row r="52" spans="1:14" x14ac:dyDescent="0.25">
      <c r="A52" t="s">
        <v>1487</v>
      </c>
      <c r="C52" s="12" t="e">
        <f>(1-C34)*SUM($K$19:$K$24)</f>
        <v>#DIV/0!</v>
      </c>
    </row>
    <row r="59" spans="1:14" ht="18.75" x14ac:dyDescent="0.3">
      <c r="A59" s="680" t="s">
        <v>1477</v>
      </c>
      <c r="B59" s="655"/>
      <c r="C59" s="655"/>
      <c r="D59" s="655"/>
      <c r="E59" s="655"/>
      <c r="F59" s="655"/>
      <c r="G59" s="655"/>
    </row>
    <row r="60" spans="1:14" x14ac:dyDescent="0.25">
      <c r="A60" t="s">
        <v>1469</v>
      </c>
      <c r="C60" s="3"/>
      <c r="N60" s="420" t="s">
        <v>1844</v>
      </c>
    </row>
    <row r="61" spans="1:14" x14ac:dyDescent="0.25">
      <c r="A61" t="s">
        <v>1468</v>
      </c>
      <c r="C61" s="14"/>
      <c r="N61" s="420" t="s">
        <v>1845</v>
      </c>
    </row>
    <row r="62" spans="1:14" x14ac:dyDescent="0.25">
      <c r="A62" t="s">
        <v>1467</v>
      </c>
      <c r="C62" s="3"/>
      <c r="N62" s="420"/>
    </row>
    <row r="63" spans="1:14" x14ac:dyDescent="0.25">
      <c r="N63" s="420"/>
    </row>
    <row r="64" spans="1:14" x14ac:dyDescent="0.25">
      <c r="B64" t="s">
        <v>1479</v>
      </c>
      <c r="C64" t="s">
        <v>1478</v>
      </c>
      <c r="D64" t="s">
        <v>1843</v>
      </c>
      <c r="N64" s="420" t="s">
        <v>1846</v>
      </c>
    </row>
    <row r="65" spans="1:14" x14ac:dyDescent="0.25">
      <c r="A65" t="s">
        <v>1470</v>
      </c>
      <c r="B65" s="3"/>
      <c r="C65" s="644"/>
      <c r="D65" s="644"/>
      <c r="N65" s="420"/>
    </row>
    <row r="66" spans="1:14" x14ac:dyDescent="0.25">
      <c r="N66" s="420" t="s">
        <v>1847</v>
      </c>
    </row>
    <row r="67" spans="1:14" x14ac:dyDescent="0.25">
      <c r="A67" t="s">
        <v>1480</v>
      </c>
      <c r="D67" s="15" t="s">
        <v>1843</v>
      </c>
      <c r="N67" s="420"/>
    </row>
    <row r="68" spans="1:14" x14ac:dyDescent="0.25">
      <c r="N68" s="420"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45" cm="1">
        <f t="array" ref="D69">(C60*C61*_xlfn.IFS(D67="scenario 1",B65,D67="scenario 2",C65,D67="scenario 3",D65))</f>
        <v>0</v>
      </c>
      <c r="N69" s="420"/>
    </row>
    <row r="70" spans="1:14" x14ac:dyDescent="0.25">
      <c r="N70" s="420" t="s">
        <v>1848</v>
      </c>
    </row>
    <row r="71" spans="1:14" ht="15.75" thickBot="1" x14ac:dyDescent="0.3">
      <c r="N71" s="420"/>
    </row>
    <row r="72" spans="1:14" x14ac:dyDescent="0.25">
      <c r="A72" s="646" t="s">
        <v>1474</v>
      </c>
      <c r="B72" s="647" t="s">
        <v>1472</v>
      </c>
      <c r="C72" s="63" t="s">
        <v>1473</v>
      </c>
      <c r="D72" s="63" t="s">
        <v>276</v>
      </c>
      <c r="E72" s="63" t="s">
        <v>80</v>
      </c>
      <c r="F72" s="64" t="s">
        <v>208</v>
      </c>
      <c r="H72" s="75" t="s">
        <v>1476</v>
      </c>
      <c r="I72" s="63"/>
      <c r="J72" s="63"/>
      <c r="K72" s="63"/>
      <c r="L72" s="64"/>
      <c r="N72" s="420" t="s">
        <v>1849</v>
      </c>
    </row>
    <row r="73" spans="1:14" x14ac:dyDescent="0.25">
      <c r="A73" s="65"/>
      <c r="B73" s="66"/>
      <c r="C73" s="66"/>
      <c r="D73" s="67" t="s">
        <v>141</v>
      </c>
      <c r="E73" s="67" t="s">
        <v>141</v>
      </c>
      <c r="F73" s="126" t="s">
        <v>141</v>
      </c>
      <c r="H73" s="65"/>
      <c r="I73" s="66"/>
      <c r="J73" s="66"/>
      <c r="K73" s="66"/>
      <c r="L73" s="68"/>
      <c r="N73" s="420" t="s">
        <v>1848</v>
      </c>
    </row>
    <row r="74" spans="1:14" x14ac:dyDescent="0.25">
      <c r="A74" s="65">
        <v>1</v>
      </c>
      <c r="B74" s="70"/>
      <c r="C74" s="85"/>
      <c r="D74" s="85" cm="1">
        <f t="array" ref="D74">C74*_xlfn.IFS($D$67="scenario 1",$B$65,$D$67="scenario 2",$C$65,$D$67="scenario 3",$D$65)</f>
        <v>0</v>
      </c>
      <c r="E74" s="85" t="e">
        <f>D74/$C$62*A74</f>
        <v>#DIV/0!</v>
      </c>
      <c r="F74" s="71" t="e">
        <f>E74</f>
        <v>#DIV/0!</v>
      </c>
      <c r="H74" s="888">
        <v>1</v>
      </c>
      <c r="I74" s="66" t="s">
        <v>1475</v>
      </c>
      <c r="J74" s="66"/>
      <c r="K74" s="17" t="e">
        <f>F74</f>
        <v>#DIV/0!</v>
      </c>
      <c r="L74" s="68"/>
      <c r="N74" s="420"/>
    </row>
    <row r="75" spans="1:14" x14ac:dyDescent="0.25">
      <c r="A75" s="185"/>
      <c r="B75" s="151"/>
      <c r="C75" s="111"/>
      <c r="D75" s="111"/>
      <c r="E75" s="66"/>
      <c r="F75" s="140"/>
      <c r="H75" s="888"/>
      <c r="I75" s="151" t="s">
        <v>882</v>
      </c>
      <c r="J75" s="151"/>
      <c r="K75" s="151"/>
      <c r="L75" s="140" t="e">
        <f>F74</f>
        <v>#DIV/0!</v>
      </c>
      <c r="N75" s="420"/>
    </row>
    <row r="76" spans="1:14" x14ac:dyDescent="0.25">
      <c r="A76" s="65">
        <v>2</v>
      </c>
      <c r="B76" s="70"/>
      <c r="C76" s="85"/>
      <c r="D76" s="85" cm="1">
        <f t="array" ref="D76">C76*_xlfn.IFS($D$67="scenario 1",$B$65,$D$67="scenario 2",$C$65,$D$67="scenario 3",$D$65)</f>
        <v>0</v>
      </c>
      <c r="E76" s="85" t="e">
        <f>D76/$C$62*A76</f>
        <v>#DIV/0!</v>
      </c>
      <c r="F76" s="71" t="e">
        <f>E76-E74</f>
        <v>#DIV/0!</v>
      </c>
      <c r="H76" s="888">
        <v>2</v>
      </c>
      <c r="I76" s="66" t="s">
        <v>1475</v>
      </c>
      <c r="J76" s="66"/>
      <c r="K76" s="17" t="e">
        <f>F76</f>
        <v>#DIV/0!</v>
      </c>
      <c r="L76" s="68"/>
    </row>
    <row r="77" spans="1:14" x14ac:dyDescent="0.25">
      <c r="A77" s="185"/>
      <c r="B77" s="151"/>
      <c r="C77" s="111"/>
      <c r="D77" s="111"/>
      <c r="E77" s="111"/>
      <c r="F77" s="140"/>
      <c r="H77" s="888"/>
      <c r="I77" s="151" t="s">
        <v>882</v>
      </c>
      <c r="J77" s="151"/>
      <c r="K77" s="151"/>
      <c r="L77" s="140" t="e">
        <f>F76</f>
        <v>#DIV/0!</v>
      </c>
    </row>
    <row r="78" spans="1:14" x14ac:dyDescent="0.25">
      <c r="A78" s="65">
        <v>3</v>
      </c>
      <c r="B78" s="49"/>
      <c r="C78" s="85">
        <f>B78*$C$61</f>
        <v>0</v>
      </c>
      <c r="D78" s="85" cm="1">
        <f t="array" ref="D78">C78*_xlfn.IFS($D$67="scenario 1",$B$65,$D$67="scenario 2",$C$65,$D$67="scenario 3",$D$65)</f>
        <v>0</v>
      </c>
      <c r="E78" s="85" t="e">
        <f>D78/$C$62*A78</f>
        <v>#DIV/0!</v>
      </c>
      <c r="F78" s="71" t="e">
        <f>E78-E76</f>
        <v>#DIV/0!</v>
      </c>
      <c r="H78" s="888">
        <v>3</v>
      </c>
      <c r="I78" s="66" t="s">
        <v>1475</v>
      </c>
      <c r="J78" s="66"/>
      <c r="K78" s="17" t="e">
        <f>F78</f>
        <v>#DIV/0!</v>
      </c>
      <c r="L78" s="68"/>
    </row>
    <row r="79" spans="1:14" ht="15.75" thickBot="1" x14ac:dyDescent="0.3">
      <c r="A79" s="72"/>
      <c r="B79" s="73"/>
      <c r="C79" s="73"/>
      <c r="D79" s="73"/>
      <c r="E79" s="73"/>
      <c r="F79" s="82"/>
      <c r="H79" s="889"/>
      <c r="I79" s="649" t="s">
        <v>882</v>
      </c>
      <c r="J79" s="73"/>
      <c r="K79" s="73"/>
      <c r="L79" s="110" t="e">
        <f>F78</f>
        <v>#DIV/0!</v>
      </c>
    </row>
    <row r="82" spans="1:3" x14ac:dyDescent="0.25">
      <c r="A82" s="617" t="s">
        <v>1481</v>
      </c>
      <c r="B82" s="618"/>
      <c r="C82" s="618"/>
    </row>
    <row r="83" spans="1:3" x14ac:dyDescent="0.25">
      <c r="A83" t="s">
        <v>1482</v>
      </c>
      <c r="B83" s="367" t="e">
        <f>E76</f>
        <v>#DIV/0!</v>
      </c>
    </row>
    <row r="85" spans="1:3" x14ac:dyDescent="0.25">
      <c r="A85" t="s">
        <v>1483</v>
      </c>
      <c r="B85" s="367"/>
    </row>
    <row r="86" spans="1:3" x14ac:dyDescent="0.25">
      <c r="A86" t="s">
        <v>1484</v>
      </c>
      <c r="B86" s="3"/>
    </row>
    <row r="87" spans="1:3" x14ac:dyDescent="0.25">
      <c r="A87" t="s">
        <v>1488</v>
      </c>
      <c r="B87" s="14"/>
    </row>
    <row r="88" spans="1:3" x14ac:dyDescent="0.25">
      <c r="A88" t="s">
        <v>1489</v>
      </c>
      <c r="B88" s="650"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s="9" t="s">
        <v>1485</v>
      </c>
    </row>
    <row r="101" spans="1:14" x14ac:dyDescent="0.25">
      <c r="A101" t="s">
        <v>1486</v>
      </c>
      <c r="B101" s="12" t="e">
        <f>$B$88*$E$76</f>
        <v>#DIV/0!</v>
      </c>
    </row>
    <row r="102" spans="1:14" x14ac:dyDescent="0.25">
      <c r="A102" t="s">
        <v>1487</v>
      </c>
      <c r="C102" s="12" t="e">
        <f>$B$88*$E$76</f>
        <v>#DIV/0!</v>
      </c>
    </row>
    <row r="105" spans="1:14" x14ac:dyDescent="0.25">
      <c r="A105" s="617" t="s">
        <v>1490</v>
      </c>
      <c r="B105" s="618"/>
      <c r="C105" s="618"/>
    </row>
    <row r="106" spans="1:14" x14ac:dyDescent="0.25">
      <c r="A106" t="s">
        <v>1486</v>
      </c>
      <c r="B106" s="12" t="e">
        <f>(1-$B$88)*$E$76</f>
        <v>#DIV/0!</v>
      </c>
    </row>
    <row r="107" spans="1:14" x14ac:dyDescent="0.25">
      <c r="A107" t="s">
        <v>1487</v>
      </c>
      <c r="C107" s="12" t="e">
        <f>(1-$B$88)*$E$76</f>
        <v>#DIV/0!</v>
      </c>
    </row>
    <row r="111" spans="1:14" ht="21" x14ac:dyDescent="0.35">
      <c r="A111" s="653" t="s">
        <v>1491</v>
      </c>
      <c r="B111" s="655"/>
      <c r="C111" s="655"/>
      <c r="D111" s="655"/>
      <c r="E111" s="655"/>
      <c r="F111" s="655"/>
      <c r="G111" s="655"/>
      <c r="H111" s="655"/>
      <c r="I111" s="655"/>
      <c r="J111" s="655"/>
      <c r="K111" s="655"/>
      <c r="L111" s="655"/>
      <c r="M111" s="655"/>
      <c r="N111" s="655"/>
    </row>
    <row r="112" spans="1:14" x14ac:dyDescent="0.25">
      <c r="A112" s="420" t="s">
        <v>1950</v>
      </c>
      <c r="B112" s="66"/>
      <c r="C112" s="66"/>
      <c r="D112" s="66"/>
      <c r="E112" s="66"/>
      <c r="F112" s="66"/>
      <c r="G112" s="66"/>
      <c r="H112" s="66"/>
      <c r="I112" s="66"/>
      <c r="J112" s="66"/>
      <c r="K112" s="66"/>
      <c r="L112" s="66"/>
      <c r="M112" s="66"/>
      <c r="N112" s="66"/>
    </row>
    <row r="113" spans="1:14" x14ac:dyDescent="0.25">
      <c r="A113" s="420" t="s">
        <v>1696</v>
      </c>
      <c r="B113" s="66"/>
      <c r="C113" s="66"/>
      <c r="D113" s="66"/>
      <c r="E113" s="66"/>
      <c r="F113" s="66"/>
      <c r="G113" s="66"/>
      <c r="H113" s="66"/>
      <c r="I113" s="66"/>
      <c r="J113" s="66"/>
      <c r="K113" s="66"/>
      <c r="L113" s="66"/>
      <c r="M113" s="66"/>
      <c r="N113" s="66"/>
    </row>
    <row r="114" spans="1:14" ht="21" x14ac:dyDescent="0.35">
      <c r="A114" s="686"/>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0"/>
    </row>
    <row r="118" spans="1:14" x14ac:dyDescent="0.25">
      <c r="A118" t="s">
        <v>1492</v>
      </c>
      <c r="B118" s="740"/>
      <c r="G118" s="420"/>
    </row>
    <row r="119" spans="1:14" x14ac:dyDescent="0.25">
      <c r="A119" t="s">
        <v>1494</v>
      </c>
      <c r="B119" s="14"/>
      <c r="G119" s="420"/>
    </row>
    <row r="120" spans="1:14" x14ac:dyDescent="0.25">
      <c r="G120" s="420"/>
    </row>
    <row r="121" spans="1:14" x14ac:dyDescent="0.25">
      <c r="A121" s="420"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0" t="s">
        <v>1697</v>
      </c>
      <c r="G122" s="420"/>
    </row>
    <row r="123" spans="1:14" x14ac:dyDescent="0.25">
      <c r="G123" s="420"/>
    </row>
    <row r="124" spans="1:14" x14ac:dyDescent="0.25">
      <c r="A124" t="s">
        <v>17</v>
      </c>
      <c r="B124" s="11">
        <f>B115*B116</f>
        <v>0</v>
      </c>
      <c r="C124" s="11"/>
      <c r="G124" s="420"/>
    </row>
    <row r="125" spans="1:14" x14ac:dyDescent="0.25">
      <c r="A125" t="s">
        <v>678</v>
      </c>
      <c r="B125" s="11">
        <f>IF(B118="Yes",B128-C129,(B117-B116)*B115)</f>
        <v>0</v>
      </c>
      <c r="C125" s="11"/>
      <c r="G125" s="420"/>
    </row>
    <row r="126" spans="1:14" ht="15.75" thickBot="1" x14ac:dyDescent="0.3">
      <c r="A126" t="s">
        <v>1496</v>
      </c>
      <c r="B126" s="18">
        <f>B119</f>
        <v>0</v>
      </c>
      <c r="C126" s="11"/>
      <c r="G126" s="420"/>
    </row>
    <row r="127" spans="1:14" ht="15.75" thickTop="1" x14ac:dyDescent="0.25">
      <c r="B127" s="11"/>
      <c r="C127" s="11"/>
      <c r="G127" s="420"/>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0"/>
    </row>
    <row r="132" spans="1:14" x14ac:dyDescent="0.25">
      <c r="A132" s="420"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0" t="s">
        <v>1951</v>
      </c>
    </row>
    <row r="135" spans="1:14" ht="21" x14ac:dyDescent="0.35">
      <c r="A135" s="653" t="s">
        <v>1497</v>
      </c>
      <c r="B135" s="654" t="s">
        <v>1500</v>
      </c>
      <c r="C135" s="655"/>
      <c r="D135" s="655"/>
      <c r="E135" s="655"/>
      <c r="F135" s="655"/>
      <c r="G135" s="655"/>
      <c r="H135" s="655"/>
      <c r="I135" s="655"/>
      <c r="J135" s="655"/>
      <c r="K135" s="655"/>
      <c r="L135" s="655"/>
      <c r="M135" s="655"/>
      <c r="N135" s="655"/>
    </row>
    <row r="136" spans="1:14" x14ac:dyDescent="0.25">
      <c r="A136" t="s">
        <v>1498</v>
      </c>
    </row>
    <row r="138" spans="1:14" x14ac:dyDescent="0.25">
      <c r="A138" t="s">
        <v>1504</v>
      </c>
      <c r="B138" s="14"/>
      <c r="D138" s="420" t="s">
        <v>1850</v>
      </c>
    </row>
    <row r="139" spans="1:14" x14ac:dyDescent="0.25">
      <c r="A139" t="s">
        <v>1672</v>
      </c>
      <c r="B139" s="14"/>
      <c r="D139" s="420" t="s">
        <v>1851</v>
      </c>
      <c r="G139" s="3" t="s">
        <v>1848</v>
      </c>
    </row>
    <row r="140" spans="1:14" x14ac:dyDescent="0.25">
      <c r="A140" t="s">
        <v>1506</v>
      </c>
      <c r="B140" s="3"/>
      <c r="D140" s="420"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43"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43" t="str">
        <f>"The increase of £"&amp;H148&amp;" needs to be recorded"</f>
        <v>The increase of £-788333 needs to be recorded</v>
      </c>
      <c r="E142" s="3"/>
      <c r="F142" s="3"/>
    </row>
    <row r="143" spans="1:14" ht="15.75" thickBot="1" x14ac:dyDescent="0.3"/>
    <row r="144" spans="1:14" x14ac:dyDescent="0.25">
      <c r="A144" s="646" t="s">
        <v>1474</v>
      </c>
      <c r="B144" s="647" t="s">
        <v>1472</v>
      </c>
      <c r="C144" s="63" t="s">
        <v>1379</v>
      </c>
      <c r="D144" s="63" t="s">
        <v>1505</v>
      </c>
      <c r="E144" s="63" t="s">
        <v>1507</v>
      </c>
      <c r="F144" s="652" t="s">
        <v>1508</v>
      </c>
      <c r="G144" s="647" t="s">
        <v>1501</v>
      </c>
      <c r="H144" s="648"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0" t="s">
        <v>1675</v>
      </c>
    </row>
    <row r="146" spans="1:16" x14ac:dyDescent="0.25">
      <c r="A146" s="65">
        <v>1</v>
      </c>
      <c r="B146" s="49"/>
      <c r="C146" s="85">
        <f>B146*$B$139</f>
        <v>0</v>
      </c>
      <c r="D146" s="49"/>
      <c r="E146" s="85">
        <f>C146*D146</f>
        <v>0</v>
      </c>
      <c r="F146" s="66" t="str">
        <f>A146&amp;"/"&amp;$B$140</f>
        <v>1/</v>
      </c>
      <c r="G146" s="85">
        <v>788333</v>
      </c>
      <c r="H146" s="71">
        <f>G146</f>
        <v>788333</v>
      </c>
      <c r="J146" s="888">
        <v>1</v>
      </c>
      <c r="K146" s="66" t="s">
        <v>1475</v>
      </c>
      <c r="L146" s="66"/>
      <c r="M146" s="17">
        <f>H146</f>
        <v>788333</v>
      </c>
      <c r="N146" s="68"/>
      <c r="P146" s="420" t="s">
        <v>1676</v>
      </c>
    </row>
    <row r="147" spans="1:16" x14ac:dyDescent="0.25">
      <c r="A147" s="185"/>
      <c r="B147" s="151"/>
      <c r="C147" s="111"/>
      <c r="D147" s="66"/>
      <c r="E147" s="111"/>
      <c r="F147" s="66"/>
      <c r="G147" s="111"/>
      <c r="H147" s="140"/>
      <c r="J147" s="888"/>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888">
        <v>2</v>
      </c>
      <c r="K148" s="66" t="s">
        <v>1475</v>
      </c>
      <c r="L148" s="66"/>
      <c r="M148" s="17">
        <f>H148</f>
        <v>-788333</v>
      </c>
      <c r="N148" s="68"/>
    </row>
    <row r="149" spans="1:16" x14ac:dyDescent="0.25">
      <c r="A149" s="185"/>
      <c r="B149" s="151"/>
      <c r="C149" s="111"/>
      <c r="D149" s="66"/>
      <c r="E149" s="111"/>
      <c r="F149" s="66"/>
      <c r="G149" s="111"/>
      <c r="H149" s="140"/>
      <c r="J149" s="888"/>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888">
        <v>3</v>
      </c>
      <c r="K150" s="66" t="s">
        <v>1475</v>
      </c>
      <c r="L150" s="66"/>
      <c r="M150" s="17">
        <f>H150</f>
        <v>0</v>
      </c>
      <c r="N150" s="68"/>
    </row>
    <row r="151" spans="1:16" ht="15.75" thickBot="1" x14ac:dyDescent="0.3">
      <c r="A151" s="72"/>
      <c r="B151" s="73"/>
      <c r="C151" s="73"/>
      <c r="D151" s="73"/>
      <c r="E151" s="73"/>
      <c r="F151" s="73"/>
      <c r="G151" s="73"/>
      <c r="H151" s="82"/>
      <c r="J151" s="889"/>
      <c r="K151" s="649" t="s">
        <v>1499</v>
      </c>
      <c r="L151" s="73"/>
      <c r="M151" s="73"/>
      <c r="N151" s="110">
        <f>H150</f>
        <v>0</v>
      </c>
    </row>
    <row r="153" spans="1:16" x14ac:dyDescent="0.25">
      <c r="A153" s="420" t="s">
        <v>1677</v>
      </c>
    </row>
    <row r="154" spans="1:16" x14ac:dyDescent="0.25">
      <c r="A154" t="s">
        <v>1502</v>
      </c>
      <c r="J154" s="420" t="s">
        <v>1852</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J64"/>
  <sheetViews>
    <sheetView zoomScale="70" zoomScaleNormal="70" workbookViewId="0">
      <selection activeCell="A7" sqref="A7"/>
    </sheetView>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3"/>
      <c r="H2" t="s">
        <v>1238</v>
      </c>
      <c r="I2" t="s">
        <v>1239</v>
      </c>
    </row>
    <row r="3" spans="1:10" x14ac:dyDescent="0.25">
      <c r="A3" t="s">
        <v>1237</v>
      </c>
      <c r="D3" s="583"/>
      <c r="G3" s="14"/>
      <c r="H3" s="3"/>
      <c r="I3" s="3"/>
    </row>
    <row r="4" spans="1:10" ht="15.75" thickBot="1" x14ac:dyDescent="0.3">
      <c r="D4" s="586">
        <f>SUM(D2:D3)</f>
        <v>0</v>
      </c>
    </row>
    <row r="5" spans="1:10" ht="15.75" thickTop="1" x14ac:dyDescent="0.25">
      <c r="A5" t="s">
        <v>1241</v>
      </c>
      <c r="D5" s="583"/>
      <c r="J5" s="420" t="s">
        <v>1958</v>
      </c>
    </row>
    <row r="6" spans="1:10" x14ac:dyDescent="0.25">
      <c r="D6" s="584"/>
    </row>
    <row r="7" spans="1:10" x14ac:dyDescent="0.25">
      <c r="A7" s="420" t="s">
        <v>1616</v>
      </c>
      <c r="D7" s="584"/>
    </row>
    <row r="8" spans="1:10" x14ac:dyDescent="0.25">
      <c r="A8" s="420" t="s">
        <v>1608</v>
      </c>
      <c r="D8" s="584"/>
    </row>
    <row r="9" spans="1:10" x14ac:dyDescent="0.25">
      <c r="A9" s="420" t="s">
        <v>1609</v>
      </c>
      <c r="D9" s="584"/>
    </row>
    <row r="10" spans="1:10" x14ac:dyDescent="0.25">
      <c r="A10" s="668"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and so the purchase is not legal</v>
      </c>
    </row>
    <row r="12" spans="1:10" x14ac:dyDescent="0.25">
      <c r="A12" s="1" t="s">
        <v>1232</v>
      </c>
    </row>
    <row r="13" spans="1:10" x14ac:dyDescent="0.25">
      <c r="A13" t="s">
        <v>1275</v>
      </c>
      <c r="D13" s="27"/>
    </row>
    <row r="14" spans="1:10" x14ac:dyDescent="0.25">
      <c r="A14" t="s">
        <v>1224</v>
      </c>
      <c r="D14" s="582"/>
    </row>
    <row r="16" spans="1:10" x14ac:dyDescent="0.25">
      <c r="A16" t="s">
        <v>1226</v>
      </c>
      <c r="D16" s="580">
        <f>D13*D14</f>
        <v>0</v>
      </c>
    </row>
    <row r="17" spans="1:7" x14ac:dyDescent="0.25">
      <c r="A17" t="s">
        <v>1225</v>
      </c>
      <c r="D17" s="581">
        <f>D5-D16</f>
        <v>0</v>
      </c>
    </row>
    <row r="18" spans="1:7" x14ac:dyDescent="0.25">
      <c r="D18" s="581"/>
    </row>
    <row r="19" spans="1:7" x14ac:dyDescent="0.25">
      <c r="A19" t="s">
        <v>1227</v>
      </c>
      <c r="D19" s="580">
        <f>D16</f>
        <v>0</v>
      </c>
    </row>
    <row r="20" spans="1:7" x14ac:dyDescent="0.25">
      <c r="A20" t="s">
        <v>1228</v>
      </c>
      <c r="D20" s="581">
        <f>D17</f>
        <v>0</v>
      </c>
    </row>
    <row r="21" spans="1:7" x14ac:dyDescent="0.25">
      <c r="A21" s="3" t="s">
        <v>373</v>
      </c>
      <c r="E21" s="581">
        <f>D5</f>
        <v>0</v>
      </c>
    </row>
    <row r="22" spans="1:7" x14ac:dyDescent="0.25">
      <c r="E22" s="581"/>
    </row>
    <row r="23" spans="1:7" x14ac:dyDescent="0.25">
      <c r="A23" s="1" t="s">
        <v>1234</v>
      </c>
      <c r="E23" s="581"/>
    </row>
    <row r="24" spans="1:7" x14ac:dyDescent="0.25">
      <c r="A24" s="9" t="s">
        <v>17</v>
      </c>
      <c r="C24" s="37" t="str">
        <f>G3&amp;"* £"&amp;H3</f>
        <v>* £</v>
      </c>
      <c r="E24" s="581">
        <f>G3*H3</f>
        <v>0</v>
      </c>
      <c r="G24" s="420" t="s">
        <v>1560</v>
      </c>
    </row>
    <row r="25" spans="1:7" x14ac:dyDescent="0.25">
      <c r="A25" s="9" t="s">
        <v>678</v>
      </c>
      <c r="C25" s="37" t="str">
        <f>G3&amp;"* £"&amp;I3</f>
        <v>* £</v>
      </c>
      <c r="E25" s="581">
        <f>G3*I3</f>
        <v>0</v>
      </c>
    </row>
    <row r="26" spans="1:7" ht="15.75" thickBot="1" x14ac:dyDescent="0.3">
      <c r="A26" s="9" t="s">
        <v>1611</v>
      </c>
      <c r="E26" s="585">
        <f>SUM(E24:E25)</f>
        <v>0</v>
      </c>
    </row>
    <row r="27" spans="1:7" ht="15.75" thickTop="1" x14ac:dyDescent="0.25">
      <c r="A27" s="1"/>
      <c r="E27" s="581"/>
    </row>
    <row r="28" spans="1:7" x14ac:dyDescent="0.25">
      <c r="A28" s="669" t="s">
        <v>289</v>
      </c>
      <c r="D28" s="581">
        <f>E26</f>
        <v>0</v>
      </c>
    </row>
    <row r="29" spans="1:7" x14ac:dyDescent="0.25">
      <c r="A29" s="9" t="s">
        <v>370</v>
      </c>
      <c r="E29" s="581">
        <f>E24</f>
        <v>0</v>
      </c>
    </row>
    <row r="30" spans="1:7" x14ac:dyDescent="0.25">
      <c r="A30" s="9" t="s">
        <v>371</v>
      </c>
      <c r="E30" s="581">
        <f>E25</f>
        <v>0</v>
      </c>
    </row>
    <row r="31" spans="1:7" x14ac:dyDescent="0.25">
      <c r="A31" s="1"/>
      <c r="E31" s="581"/>
    </row>
    <row r="32" spans="1:7" x14ac:dyDescent="0.25">
      <c r="A32" s="1"/>
      <c r="E32" s="581"/>
    </row>
    <row r="33" spans="1:7" x14ac:dyDescent="0.25">
      <c r="A33" s="1" t="s">
        <v>1235</v>
      </c>
      <c r="E33" s="587"/>
    </row>
    <row r="34" spans="1:7" x14ac:dyDescent="0.25">
      <c r="A34" s="9" t="s">
        <v>1276</v>
      </c>
      <c r="E34" s="590" t="s">
        <v>148</v>
      </c>
    </row>
    <row r="35" spans="1:7" x14ac:dyDescent="0.25">
      <c r="A35" s="420" t="s">
        <v>1247</v>
      </c>
      <c r="E35" s="587"/>
    </row>
    <row r="36" spans="1:7" x14ac:dyDescent="0.25">
      <c r="A36" s="420" t="s">
        <v>1248</v>
      </c>
      <c r="E36" s="587"/>
    </row>
    <row r="37" spans="1:7" x14ac:dyDescent="0.25">
      <c r="A37" s="420" t="s">
        <v>1610</v>
      </c>
      <c r="E37" s="587"/>
    </row>
    <row r="38" spans="1:7" x14ac:dyDescent="0.25">
      <c r="A38" s="420" t="s">
        <v>1962</v>
      </c>
      <c r="E38" s="587"/>
    </row>
    <row r="39" spans="1:7" x14ac:dyDescent="0.25">
      <c r="A39" s="1"/>
      <c r="E39" s="587"/>
    </row>
    <row r="40" spans="1:7" x14ac:dyDescent="0.25">
      <c r="A40" s="1" t="s">
        <v>1246</v>
      </c>
      <c r="E40" s="588"/>
      <c r="G40" s="420" t="s">
        <v>1244</v>
      </c>
    </row>
    <row r="41" spans="1:7" x14ac:dyDescent="0.25">
      <c r="A41" s="1"/>
      <c r="G41" s="420"/>
    </row>
    <row r="42" spans="1:7" x14ac:dyDescent="0.25">
      <c r="A42" s="9" t="s">
        <v>1245</v>
      </c>
      <c r="E42" s="589"/>
      <c r="G42" s="420"/>
    </row>
    <row r="43" spans="1:7" x14ac:dyDescent="0.25">
      <c r="A43" s="9" t="s">
        <v>1243</v>
      </c>
      <c r="E43" s="587">
        <f>E30</f>
        <v>0</v>
      </c>
    </row>
    <row r="44" spans="1:7" x14ac:dyDescent="0.25">
      <c r="A44" s="1" t="s">
        <v>1242</v>
      </c>
      <c r="E44" s="587">
        <f>SUM(E42:E43)</f>
        <v>0</v>
      </c>
    </row>
    <row r="45" spans="1:7" x14ac:dyDescent="0.25">
      <c r="A45" s="1"/>
      <c r="E45" s="587"/>
    </row>
    <row r="46" spans="1:7" x14ac:dyDescent="0.25">
      <c r="A46" s="420" t="s">
        <v>1249</v>
      </c>
      <c r="E46" s="587"/>
    </row>
    <row r="47" spans="1:7" x14ac:dyDescent="0.25">
      <c r="A47" s="9" t="s">
        <v>994</v>
      </c>
      <c r="D47" s="581" cm="1">
        <f t="array" ref="D47">_xlfn.IFS(AND(E40&lt;E44,E34="Yes"),E40,E34="No",0,AND(E40&gt;E44,E34="Yes"),E44)</f>
        <v>0</v>
      </c>
    </row>
    <row r="48" spans="1:7" x14ac:dyDescent="0.25">
      <c r="A48" t="s">
        <v>708</v>
      </c>
      <c r="D48" s="581">
        <f>D20-D47</f>
        <v>0</v>
      </c>
    </row>
    <row r="49" spans="1:6" x14ac:dyDescent="0.25">
      <c r="A49" t="s">
        <v>1229</v>
      </c>
      <c r="E49" s="581">
        <f>D20</f>
        <v>0</v>
      </c>
    </row>
    <row r="50" spans="1:6" x14ac:dyDescent="0.25">
      <c r="E50" s="581"/>
    </row>
    <row r="51" spans="1:6" x14ac:dyDescent="0.25">
      <c r="A51" s="1" t="s">
        <v>1236</v>
      </c>
    </row>
    <row r="52" spans="1:6" x14ac:dyDescent="0.25">
      <c r="A52" s="420" t="s">
        <v>1963</v>
      </c>
    </row>
    <row r="53" spans="1:6" x14ac:dyDescent="0.25">
      <c r="A53" s="1"/>
    </row>
    <row r="54" spans="1:6" x14ac:dyDescent="0.25">
      <c r="A54" s="9" t="s">
        <v>1277</v>
      </c>
      <c r="E54" s="580">
        <f>D19</f>
        <v>0</v>
      </c>
    </row>
    <row r="55" spans="1:6" x14ac:dyDescent="0.25">
      <c r="A55" s="9" t="s">
        <v>21</v>
      </c>
      <c r="E55" s="581">
        <f>E26</f>
        <v>0</v>
      </c>
    </row>
    <row r="56" spans="1:6" x14ac:dyDescent="0.25">
      <c r="A56" s="1" t="s">
        <v>1612</v>
      </c>
      <c r="E56" s="581">
        <f>E55-E54</f>
        <v>0</v>
      </c>
      <c r="F56" s="668" t="str">
        <f>"=("&amp;E55&amp;"-"&amp;E54&amp;")"</f>
        <v>=(0-0)</v>
      </c>
    </row>
    <row r="57" spans="1:6" x14ac:dyDescent="0.25">
      <c r="A57" s="1"/>
    </row>
    <row r="58" spans="1:6" x14ac:dyDescent="0.25">
      <c r="A58" t="s">
        <v>708</v>
      </c>
      <c r="D58" s="580" cm="1">
        <f t="array" ref="D58">_xlfn.IFS(AND(D16&gt;E26,E34="Yes"),D16-E26,AND(D16&lt;E26,E34="Yes"),0,E34="No",D16)</f>
        <v>0</v>
      </c>
    </row>
    <row r="59" spans="1:6" x14ac:dyDescent="0.25">
      <c r="A59" t="s">
        <v>1230</v>
      </c>
      <c r="E59" s="580" cm="1">
        <f t="array" ref="E59">_xlfn.IFS(AND(D16&gt;E26,E34="Yes"),D16-E26,AND(D16&lt;E26,E34="Yes"),0,E34="No",D16)</f>
        <v>0</v>
      </c>
    </row>
    <row r="62" spans="1:6" x14ac:dyDescent="0.25">
      <c r="A62" s="1" t="s">
        <v>1615</v>
      </c>
    </row>
    <row r="63" spans="1:6" x14ac:dyDescent="0.25">
      <c r="A63" s="420" t="s">
        <v>1613</v>
      </c>
    </row>
    <row r="64" spans="1:6" x14ac:dyDescent="0.25">
      <c r="A64" s="420" t="s">
        <v>1614</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N44"/>
  <sheetViews>
    <sheetView zoomScale="80" zoomScaleNormal="80" workbookViewId="0">
      <selection activeCell="B25" sqref="B25"/>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5" t="s">
        <v>1792</v>
      </c>
    </row>
    <row r="2" spans="1:14" x14ac:dyDescent="0.25">
      <c r="A2" t="s">
        <v>1548</v>
      </c>
      <c r="B2" s="3"/>
      <c r="C2" t="s">
        <v>1550</v>
      </c>
      <c r="D2" s="664"/>
    </row>
    <row r="3" spans="1:14" x14ac:dyDescent="0.25">
      <c r="A3" t="s">
        <v>1549</v>
      </c>
      <c r="B3" s="3"/>
    </row>
    <row r="4" spans="1:14" x14ac:dyDescent="0.25">
      <c r="A4" t="s">
        <v>1552</v>
      </c>
      <c r="B4" s="14"/>
    </row>
    <row r="5" spans="1:14" x14ac:dyDescent="0.25">
      <c r="A5" t="s">
        <v>1551</v>
      </c>
      <c r="B5" s="189"/>
    </row>
    <row r="6" spans="1:14" x14ac:dyDescent="0.25">
      <c r="A6" t="s">
        <v>1484</v>
      </c>
      <c r="B6" s="582"/>
    </row>
    <row r="9" spans="1:14" x14ac:dyDescent="0.25">
      <c r="A9" t="s">
        <v>1553</v>
      </c>
      <c r="B9" s="12" t="e">
        <f>(B4/D2)*B2*B5</f>
        <v>#DIV/0!</v>
      </c>
      <c r="D9" s="420" t="str">
        <f>"="&amp;B4&amp;"/"&amp;D2&amp;"*"&amp;B2&amp;"*"&amp;B5</f>
        <v>=/**</v>
      </c>
    </row>
    <row r="10" spans="1:14" x14ac:dyDescent="0.25">
      <c r="A10" t="s">
        <v>154</v>
      </c>
      <c r="B10" s="12" t="e">
        <f>B9*B3</f>
        <v>#DIV/0!</v>
      </c>
    </row>
    <row r="12" spans="1:14" x14ac:dyDescent="0.25">
      <c r="A12" t="e">
        <f>"Share capital (£"&amp;B6&amp;"*"&amp;B9&amp;")"</f>
        <v>#DIV/0!</v>
      </c>
      <c r="B12" s="12" t="e">
        <f>B6*B9</f>
        <v>#DIV/0!</v>
      </c>
    </row>
    <row r="13" spans="1:14" x14ac:dyDescent="0.25">
      <c r="A13" t="s">
        <v>678</v>
      </c>
      <c r="B13" s="12" t="e">
        <f>B10-B9</f>
        <v>#DIV/0!</v>
      </c>
    </row>
    <row r="14" spans="1:14" ht="15.75" thickBot="1" x14ac:dyDescent="0.3">
      <c r="A14" t="s">
        <v>154</v>
      </c>
      <c r="B14" s="94" t="e">
        <f>SUM(B12:B13)</f>
        <v>#DIV/0!</v>
      </c>
    </row>
    <row r="15" spans="1:14" ht="15.75" thickTop="1" x14ac:dyDescent="0.25"/>
    <row r="16" spans="1:14" x14ac:dyDescent="0.25">
      <c r="A16" s="3" t="s">
        <v>1554</v>
      </c>
      <c r="B16" s="12" t="e">
        <f>B14</f>
        <v>#DIV/0!</v>
      </c>
    </row>
    <row r="17" spans="1:12" x14ac:dyDescent="0.25">
      <c r="A17" t="s">
        <v>370</v>
      </c>
      <c r="D17" s="12" t="e">
        <f>B12</f>
        <v>#DIV/0!</v>
      </c>
    </row>
    <row r="18" spans="1:12" x14ac:dyDescent="0.25">
      <c r="A18" t="s">
        <v>371</v>
      </c>
      <c r="D18" s="12" t="e">
        <f>B13</f>
        <v>#DIV/0!</v>
      </c>
    </row>
    <row r="22" spans="1:12" x14ac:dyDescent="0.25">
      <c r="A22" s="1" t="s">
        <v>21</v>
      </c>
      <c r="L22" t="s">
        <v>1793</v>
      </c>
    </row>
    <row r="23" spans="1:12" x14ac:dyDescent="0.25">
      <c r="A23" t="s">
        <v>1556</v>
      </c>
      <c r="B23" s="14">
        <v>1500</v>
      </c>
    </row>
    <row r="24" spans="1:12" x14ac:dyDescent="0.25">
      <c r="A24" t="s">
        <v>1557</v>
      </c>
      <c r="B24" s="582">
        <v>1</v>
      </c>
    </row>
    <row r="25" spans="1:12" x14ac:dyDescent="0.25">
      <c r="A25" t="s">
        <v>1558</v>
      </c>
      <c r="B25" s="644"/>
    </row>
    <row r="26" spans="1:12" x14ac:dyDescent="0.25">
      <c r="A26" t="s">
        <v>1559</v>
      </c>
      <c r="B26" s="3"/>
    </row>
    <row r="28" spans="1:12" x14ac:dyDescent="0.25">
      <c r="A28" t="s">
        <v>1790</v>
      </c>
      <c r="B28" s="11">
        <f>B23*B25-B26</f>
        <v>0</v>
      </c>
    </row>
    <row r="29" spans="1:12" x14ac:dyDescent="0.25">
      <c r="A29" t="s">
        <v>1791</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1692</v>
      </c>
    </row>
    <row r="34" spans="1:8" x14ac:dyDescent="0.25">
      <c r="A34" s="420" t="s">
        <v>1698</v>
      </c>
    </row>
    <row r="35" spans="1:8" x14ac:dyDescent="0.25">
      <c r="A35" s="420" t="s">
        <v>1699</v>
      </c>
    </row>
    <row r="36" spans="1:8" x14ac:dyDescent="0.25">
      <c r="A36" t="s">
        <v>1548</v>
      </c>
      <c r="B36" s="3"/>
      <c r="C36" t="s">
        <v>1550</v>
      </c>
      <c r="D36" s="664"/>
    </row>
    <row r="38" spans="1:8" x14ac:dyDescent="0.25">
      <c r="A38" t="s">
        <v>1693</v>
      </c>
      <c r="B38" s="14"/>
      <c r="H38" s="1" t="s">
        <v>1794</v>
      </c>
    </row>
    <row r="39" spans="1:8" x14ac:dyDescent="0.25">
      <c r="A39" t="s">
        <v>1557</v>
      </c>
      <c r="B39" s="14"/>
    </row>
    <row r="41" spans="1:8" x14ac:dyDescent="0.25">
      <c r="A41" t="s">
        <v>1694</v>
      </c>
      <c r="B41" s="12" t="e">
        <f>B38/D36*B36</f>
        <v>#DIV/0!</v>
      </c>
      <c r="D41" s="420" t="str">
        <f>"= ("&amp;B38&amp;"/"&amp;D36&amp;"*"&amp;B36&amp;")"</f>
        <v>= (/*)</v>
      </c>
    </row>
    <row r="43" spans="1:8" x14ac:dyDescent="0.25">
      <c r="A43" t="s">
        <v>1695</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0" t="s">
        <v>915</v>
      </c>
    </row>
    <row r="6" spans="2:15" x14ac:dyDescent="0.25">
      <c r="C6" s="4" t="s">
        <v>17</v>
      </c>
      <c r="D6" s="4" t="s">
        <v>18</v>
      </c>
      <c r="E6" s="4" t="s">
        <v>19</v>
      </c>
      <c r="F6" s="4" t="s">
        <v>914</v>
      </c>
      <c r="G6" s="4" t="s">
        <v>20</v>
      </c>
      <c r="L6" s="420"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2:T17"/>
  <sheetViews>
    <sheetView workbookViewId="0"/>
  </sheetViews>
  <sheetFormatPr defaultRowHeight="15" x14ac:dyDescent="0.25"/>
  <sheetData>
    <row r="2" spans="1:20" x14ac:dyDescent="0.25">
      <c r="A2" t="s">
        <v>1860</v>
      </c>
      <c r="C2">
        <f>(105+123+850+130+50)*0.12</f>
        <v>150.96</v>
      </c>
      <c r="G2" t="s">
        <v>1625</v>
      </c>
    </row>
    <row r="4" spans="1:20" x14ac:dyDescent="0.25">
      <c r="A4" t="s">
        <v>1871</v>
      </c>
      <c r="D4">
        <v>5</v>
      </c>
      <c r="E4" t="s">
        <v>490</v>
      </c>
    </row>
    <row r="5" spans="1:20" x14ac:dyDescent="0.25">
      <c r="A5" t="s">
        <v>1870</v>
      </c>
      <c r="D5">
        <v>50</v>
      </c>
      <c r="E5" t="s">
        <v>490</v>
      </c>
    </row>
    <row r="7" spans="1:20" x14ac:dyDescent="0.25">
      <c r="A7" t="s">
        <v>1872</v>
      </c>
      <c r="D7">
        <f>5/(50*12)</f>
        <v>8.3333333333333332E-3</v>
      </c>
    </row>
    <row r="9" spans="1:20" x14ac:dyDescent="0.25">
      <c r="A9" t="s">
        <v>1861</v>
      </c>
      <c r="D9">
        <f>C2*D7</f>
        <v>1.258</v>
      </c>
    </row>
    <row r="11" spans="1:20" x14ac:dyDescent="0.25">
      <c r="A11" t="s">
        <v>1862</v>
      </c>
      <c r="D11">
        <v>1</v>
      </c>
    </row>
    <row r="12" spans="1:20" x14ac:dyDescent="0.25">
      <c r="A12" t="s">
        <v>1863</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2023-05-26T15:02:10Z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