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913" documentId="8_{A2D2504D-96DB-4FA9-9006-A80B30F5C4DD}" xr6:coauthVersionLast="47" xr6:coauthVersionMax="47" xr10:uidLastSave="{C245100A-D699-4932-918C-E254F96F2D1E}"/>
  <bookViews>
    <workbookView xWindow="4680" yWindow="4680" windowWidth="28800" windowHeight="15435" firstSheet="31" activeTab="38"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2" i="74" l="1"/>
  <c r="L10" i="74"/>
  <c r="BC72" i="49" l="1"/>
  <c r="BA28" i="49"/>
  <c r="BA26" i="49"/>
  <c r="BB16" i="49"/>
  <c r="BC39" i="49" s="1"/>
  <c r="BC7" i="49"/>
  <c r="BC24" i="49" s="1"/>
  <c r="BC51" i="49"/>
  <c r="BC13" i="49"/>
  <c r="BD7" i="49"/>
  <c r="BA29" i="49"/>
  <c r="BC42" i="49"/>
  <c r="C78" i="68"/>
  <c r="BB29" i="49" l="1"/>
  <c r="BA27" i="49"/>
  <c r="BC43" i="49"/>
  <c r="BD6" i="49"/>
  <c r="BD8" i="49"/>
  <c r="BD5" i="49"/>
  <c r="BC30" i="49"/>
  <c r="D44" i="40" l="1"/>
  <c r="C42" i="40"/>
  <c r="L13" i="74"/>
  <c r="H15" i="69"/>
  <c r="K13" i="69"/>
  <c r="K14" i="69" s="1"/>
  <c r="C3" i="69" s="1"/>
  <c r="H16" i="69"/>
  <c r="L13" i="69"/>
  <c r="I13" i="69"/>
  <c r="L11" i="69"/>
  <c r="I15" i="69"/>
  <c r="I18" i="69"/>
  <c r="I10" i="69"/>
  <c r="L15" i="69"/>
  <c r="I11" i="69"/>
  <c r="L12" i="69"/>
  <c r="L16" i="69"/>
  <c r="L17" i="69"/>
  <c r="L18" i="69"/>
  <c r="L10" i="69"/>
  <c r="I12" i="69"/>
  <c r="I19" i="69"/>
  <c r="L14" i="69"/>
  <c r="I14" i="69"/>
  <c r="I17" i="69"/>
  <c r="I16"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C31" i="68"/>
  <c r="C32" i="68"/>
  <c r="C15" i="68"/>
  <c r="J14" i="64" l="1"/>
  <c r="K13" i="64"/>
  <c r="D67" i="69"/>
  <c r="E67" i="69" s="1"/>
  <c r="D65" i="69"/>
  <c r="AM46" i="56" l="1"/>
  <c r="AM43" i="56"/>
  <c r="AM29" i="56"/>
  <c r="AM20" i="56"/>
  <c r="AM21" i="56" s="1"/>
  <c r="AM19" i="56"/>
  <c r="F27" i="41"/>
  <c r="E12" i="41"/>
  <c r="E13" i="41"/>
  <c r="E14" i="41"/>
  <c r="F14" i="41" s="1"/>
  <c r="H14" i="41" s="1"/>
  <c r="E15" i="41"/>
  <c r="E11" i="41"/>
  <c r="D94" i="40"/>
  <c r="D93" i="40"/>
  <c r="D90" i="40"/>
  <c r="D89" i="40"/>
  <c r="C17" i="16"/>
  <c r="C15" i="16" s="1"/>
  <c r="C24" i="16"/>
  <c r="C25" i="16"/>
  <c r="E90" i="40"/>
  <c r="BC105" i="49" l="1"/>
  <c r="I25" i="97"/>
  <c r="D20" i="97"/>
  <c r="L11" i="97"/>
  <c r="C73" i="18"/>
  <c r="F12" i="41" l="1"/>
  <c r="H12" i="41" s="1"/>
  <c r="E18" i="41"/>
  <c r="E23" i="40" l="1"/>
  <c r="T17" i="84"/>
  <c r="T16" i="84"/>
  <c r="H49" i="69"/>
  <c r="H47" i="69" s="1"/>
  <c r="F33" i="69"/>
  <c r="H33" i="69" s="1"/>
  <c r="I33" i="69" s="1"/>
  <c r="F32" i="69"/>
  <c r="D32" i="69"/>
  <c r="C86" i="68"/>
  <c r="D87" i="68" s="1"/>
  <c r="C23" i="68"/>
  <c r="E23" i="68"/>
  <c r="A10" i="70"/>
  <c r="C19" i="96"/>
  <c r="D19" i="96" s="1"/>
  <c r="E19" i="96" s="1"/>
  <c r="F19" i="96" s="1"/>
  <c r="A121" i="96"/>
  <c r="BC97" i="49"/>
  <c r="D79" i="30"/>
  <c r="C79" i="30"/>
  <c r="C84" i="30"/>
  <c r="I23" i="30"/>
  <c r="I22" i="30"/>
  <c r="I21" i="30"/>
  <c r="C53" i="30"/>
  <c r="B59" i="30" s="1" a="1"/>
  <c r="B59" i="30" s="1"/>
  <c r="C57" i="30"/>
  <c r="C18" i="94"/>
  <c r="D21" i="94" s="1"/>
  <c r="H15" i="94"/>
  <c r="D11" i="74" s="1"/>
  <c r="M20" i="16"/>
  <c r="M21" i="16"/>
  <c r="J63" i="16"/>
  <c r="L90" i="74"/>
  <c r="L92" i="74" s="1"/>
  <c r="D35" i="74" s="1"/>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D8" i="68" a="1"/>
  <c r="D8" i="68" s="1"/>
  <c r="C51" i="36"/>
  <c r="C56" i="36" s="1"/>
  <c r="I36" i="69"/>
  <c r="I35" i="69"/>
  <c r="I34" i="69"/>
  <c r="I37"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L19" i="69"/>
  <c r="D7" i="69"/>
  <c r="M28" i="74"/>
  <c r="M22" i="74"/>
  <c r="D8" i="69"/>
  <c r="M51" i="74"/>
  <c r="E8" i="95"/>
  <c r="M55" i="74"/>
  <c r="M61" i="74"/>
  <c r="M59" i="74"/>
  <c r="M92" i="74"/>
  <c r="M37" i="74"/>
  <c r="M63" i="74"/>
  <c r="M83" i="74"/>
  <c r="M90" i="74"/>
  <c r="E89" i="40"/>
  <c r="M38" i="74"/>
  <c r="M95" i="74"/>
  <c r="M48" i="74"/>
  <c r="M88" i="74"/>
  <c r="I21" i="69"/>
  <c r="M69" i="74"/>
  <c r="M70" i="74"/>
  <c r="M87" i="74"/>
  <c r="M78" i="74"/>
  <c r="M53" i="74"/>
  <c r="M80" i="74"/>
  <c r="M98" i="74"/>
  <c r="M94" i="74"/>
  <c r="M57" i="74"/>
  <c r="C32" i="96"/>
  <c r="M65" i="74"/>
  <c r="J56" i="40"/>
  <c r="D6" i="69"/>
  <c r="M46" i="74"/>
  <c r="M56" i="74"/>
  <c r="M27" i="74"/>
  <c r="B20" i="96"/>
  <c r="B80" i="68"/>
  <c r="M74" i="74"/>
  <c r="M20" i="74"/>
  <c r="M49" i="74"/>
  <c r="D17" i="16"/>
  <c r="J57" i="40"/>
  <c r="M33" i="74"/>
  <c r="E56" i="40"/>
  <c r="M73" i="74"/>
  <c r="M82" i="74"/>
  <c r="M29" i="74"/>
  <c r="B24" i="96"/>
  <c r="M41" i="74"/>
  <c r="M39" i="74"/>
  <c r="M62" i="74"/>
  <c r="M23" i="74"/>
  <c r="B22" i="96"/>
  <c r="M75" i="74"/>
  <c r="M42" i="74"/>
  <c r="M86" i="74"/>
  <c r="C15" i="38"/>
  <c r="M52" i="74"/>
  <c r="M93" i="74"/>
  <c r="M64" i="74"/>
  <c r="I20" i="69"/>
  <c r="M72" i="74"/>
  <c r="M54" i="74"/>
  <c r="M25" i="74"/>
  <c r="D64" i="16"/>
  <c r="M47" i="74"/>
  <c r="M96" i="74"/>
  <c r="M81" i="74"/>
  <c r="M85" i="74"/>
  <c r="C13" i="38"/>
  <c r="M36" i="74"/>
  <c r="M40" i="74"/>
  <c r="C14" i="38"/>
  <c r="M76" i="74"/>
  <c r="M71" i="74"/>
  <c r="M31" i="74"/>
  <c r="L20" i="69"/>
  <c r="M21" i="74"/>
  <c r="M67" i="74"/>
  <c r="F23" i="40" l="1"/>
  <c r="E69" i="69"/>
  <c r="D21" i="97"/>
  <c r="M14" i="61"/>
  <c r="G44" i="36"/>
  <c r="B92" i="96"/>
  <c r="B94" i="96" s="1"/>
  <c r="B57" i="30"/>
  <c r="L79" i="74"/>
  <c r="D42" i="74" s="1"/>
  <c r="E50" i="74" s="1"/>
  <c r="B24" i="74"/>
  <c r="E53" i="74"/>
  <c r="C20" i="94"/>
  <c r="L115" i="74"/>
  <c r="L117" i="74" s="1"/>
  <c r="J13" i="74"/>
  <c r="C15" i="94"/>
  <c r="D7" i="74" s="1"/>
  <c r="D20" i="74" s="1"/>
  <c r="L24" i="74"/>
  <c r="L26" i="74" s="1"/>
  <c r="D26" i="74" s="1"/>
  <c r="J15" i="94"/>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D23" i="74"/>
  <c r="B23" i="74" s="1"/>
  <c r="D21" i="74" l="1"/>
  <c r="B21" i="74" s="1"/>
  <c r="M14" i="74"/>
  <c r="U12" i="95"/>
  <c r="D8" i="73"/>
  <c r="B8" i="73" s="1"/>
  <c r="L75" i="96"/>
  <c r="K74" i="96"/>
  <c r="K78" i="96"/>
  <c r="K21" i="96"/>
  <c r="L45" i="74"/>
  <c r="D33" i="74" s="1"/>
  <c r="E39" i="74" s="1"/>
  <c r="D35" i="97"/>
  <c r="D38" i="97" s="1"/>
  <c r="G21" i="97"/>
  <c r="I26" i="97" s="1"/>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E51" i="95" l="1"/>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D25" i="74"/>
  <c r="F77" i="95" l="1"/>
  <c r="A88" i="80"/>
  <c r="B88" i="80"/>
  <c r="C88" i="80"/>
  <c r="C90" i="80"/>
  <c r="B77" i="95"/>
  <c r="F72" i="95"/>
  <c r="F70" i="95"/>
  <c r="E70" i="95"/>
  <c r="B70" i="95"/>
  <c r="E72" i="95"/>
  <c r="B72" i="95"/>
  <c r="E28" i="74"/>
  <c r="E52" i="74" s="1"/>
  <c r="D56" i="74" s="1"/>
  <c r="B90" i="80" l="1"/>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D23" i="68"/>
  <c r="C36" i="68" s="1"/>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C24" i="68" s="1"/>
  <c r="D24" i="68" s="1"/>
  <c r="F24" i="68" s="1"/>
  <c r="C25" i="68" s="1"/>
  <c r="D39" i="68"/>
  <c r="E32" i="69"/>
  <c r="C38" i="66" l="1"/>
  <c r="C52" i="66" s="1"/>
  <c r="E37" i="66"/>
  <c r="E38" i="66" s="1"/>
  <c r="E52" i="66" s="1"/>
  <c r="C33" i="68"/>
  <c r="E38"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<sst xmlns="http://schemas.openxmlformats.org/spreadsheetml/2006/main" count="3673" uniqueCount="2006">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</sst>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6"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27">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43" fontId="23" fillId="0" borderId="0" xfId="0" applyNumberFormat="1" applyFont="1" applyFill="1"/>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176" fontId="0" fillId="2" borderId="0" xfId="0" applyNumberFormat="1" applyFill="1"/>
    <xf numFmtId="176" fontId="0" fillId="7" borderId="1" xfId="0" applyNumberFormat="1" applyFill="1" applyBorder="1"/>
    <xf numFmtId="176" fontId="0" fillId="2" borderId="0" xfId="1" applyNumberFormat="1" applyFont="1" applyFill="1"/>
    <xf numFmtId="176" fontId="1" fillId="7" borderId="0" xfId="0" applyNumberFormat="1" applyFont="1" applyFill="1"/>
    <xf numFmtId="176" fontId="0" fillId="7" borderId="0" xfId="0" applyNumberFormat="1" applyFill="1"/>
    <xf numFmtId="176" fontId="0" fillId="0" borderId="4" xfId="1" applyNumberFormat="1" applyFont="1" applyBorder="1"/>
    <xf numFmtId="176" fontId="0" fillId="7" borderId="1" xfId="1" applyNumberFormat="1" applyFont="1" applyFill="1" applyBorder="1"/>
    <xf numFmtId="176" fontId="0" fillId="7" borderId="0" xfId="1" applyNumberFormat="1" applyFont="1" applyFill="1"/>
    <xf numFmtId="176" fontId="0" fillId="0" borderId="1" xfId="1" applyNumberFormat="1" applyFont="1" applyBorder="1"/>
    <xf numFmtId="176" fontId="0" fillId="7" borderId="0" xfId="0" applyNumberFormat="1" applyFill="1" applyBorder="1"/>
    <xf numFmtId="176" fontId="9" fillId="7" borderId="0" xfId="4" applyNumberFormat="1" applyFont="1" applyFill="1" applyAlignment="1">
      <alignment vertical="center" wrapText="1"/>
    </xf>
    <xf numFmtId="176" fontId="9" fillId="2" borderId="0" xfId="1" applyNumberFormat="1" applyFont="1" applyFill="1" applyAlignment="1">
      <alignment vertical="center" wrapText="1"/>
    </xf>
    <xf numFmtId="176" fontId="0" fillId="0" borderId="4" xfId="0" applyNumberFormat="1" applyBorder="1"/>
    <xf numFmtId="176" fontId="0" fillId="2" borderId="0" xfId="1" applyNumberFormat="1" applyFont="1" applyFill="1" applyBorder="1"/>
    <xf numFmtId="176" fontId="9" fillId="2" borderId="0" xfId="4" applyNumberFormat="1" applyFont="1" applyFill="1" applyAlignment="1">
      <alignment vertical="center" wrapText="1"/>
    </xf>
    <xf numFmtId="176" fontId="0" fillId="0" borderId="1" xfId="0" applyNumberFormat="1" applyBorder="1"/>
    <xf numFmtId="176" fontId="0" fillId="0" borderId="0" xfId="0" applyNumberFormat="1"/>
    <xf numFmtId="176" fontId="9" fillId="0" borderId="32" xfId="4" applyNumberFormat="1" applyFont="1" applyFill="1" applyBorder="1" applyAlignment="1">
      <alignment vertical="center" wrapText="1"/>
    </xf>
    <xf numFmtId="176" fontId="9" fillId="0" borderId="1" xfId="4" applyNumberFormat="1" applyFont="1" applyFill="1" applyBorder="1" applyAlignment="1">
      <alignment vertical="center" wrapText="1"/>
    </xf>
    <xf numFmtId="176" fontId="9" fillId="0" borderId="4" xfId="1" applyNumberFormat="1" applyFont="1" applyFill="1" applyBorder="1" applyAlignment="1">
      <alignment vertical="center" wrapText="1"/>
    </xf>
    <xf numFmtId="176" fontId="9" fillId="0" borderId="1" xfId="1" applyNumberFormat="1" applyFont="1" applyFill="1" applyBorder="1" applyAlignment="1">
      <alignment vertical="center" wrapText="1"/>
    </xf>
    <xf numFmtId="176" fontId="9" fillId="9" borderId="24" xfId="4" applyNumberFormat="1" applyFont="1" applyFill="1" applyBorder="1" applyAlignment="1">
      <alignment horizontal="right" vertical="center" wrapText="1"/>
    </xf>
    <xf numFmtId="176" fontId="9" fillId="7" borderId="24" xfId="4" applyNumberFormat="1" applyFont="1" applyFill="1" applyBorder="1" applyAlignment="1">
      <alignment horizontal="right" vertical="center" wrapText="1"/>
    </xf>
    <xf numFmtId="176" fontId="9" fillId="7" borderId="25" xfId="4" applyNumberFormat="1" applyFont="1" applyFill="1" applyBorder="1" applyAlignment="1">
      <alignment horizontal="right" vertical="center" wrapText="1"/>
    </xf>
    <xf numFmtId="176" fontId="9" fillId="2" borderId="25" xfId="4" applyNumberFormat="1" applyFont="1" applyFill="1" applyBorder="1" applyAlignment="1">
      <alignment horizontal="right" vertical="center" wrapText="1"/>
    </xf>
    <xf numFmtId="176" fontId="9" fillId="2" borderId="33" xfId="4" applyNumberFormat="1" applyFont="1" applyFill="1" applyBorder="1" applyAlignment="1">
      <alignment horizontal="right" vertical="center" wrapText="1"/>
    </xf>
    <xf numFmtId="176" fontId="9" fillId="10" borderId="26" xfId="4" applyNumberFormat="1" applyFont="1" applyFill="1" applyBorder="1" applyAlignment="1">
      <alignment horizontal="right" vertical="center" wrapText="1"/>
    </xf>
    <xf numFmtId="176" fontId="9" fillId="9" borderId="25" xfId="4" applyNumberFormat="1" applyFont="1" applyFill="1" applyBorder="1" applyAlignment="1">
      <alignment horizontal="right" vertical="center" wrapText="1"/>
    </xf>
    <xf numFmtId="176" fontId="9" fillId="10" borderId="28" xfId="4" applyNumberFormat="1" applyFont="1" applyFill="1" applyBorder="1" applyAlignment="1">
      <alignment horizontal="right" vertical="center" wrapText="1"/>
    </xf>
    <xf numFmtId="176" fontId="9" fillId="9" borderId="33" xfId="4" applyNumberFormat="1" applyFont="1" applyFill="1" applyBorder="1" applyAlignment="1">
      <alignment horizontal="right" vertical="center" wrapText="1"/>
    </xf>
    <xf numFmtId="176" fontId="9" fillId="7" borderId="28" xfId="4" applyNumberFormat="1" applyFont="1" applyFill="1" applyBorder="1" applyAlignment="1">
      <alignment horizontal="right" vertical="center" wrapText="1"/>
    </xf>
    <xf numFmtId="176" fontId="9" fillId="10" borderId="24" xfId="4" applyNumberFormat="1" applyFont="1" applyFill="1" applyBorder="1" applyAlignment="1">
      <alignment horizontal="right" vertical="center" wrapText="1"/>
    </xf>
    <xf numFmtId="176" fontId="9" fillId="10" borderId="33" xfId="4" applyNumberFormat="1" applyFont="1" applyFill="1" applyBorder="1" applyAlignment="1">
      <alignment horizontal="right" vertical="center" wrapText="1"/>
    </xf>
    <xf numFmtId="176" fontId="9" fillId="9" borderId="30" xfId="4" applyNumberFormat="1" applyFont="1" applyFill="1" applyBorder="1" applyAlignment="1">
      <alignment horizontal="right" vertical="center" wrapText="1"/>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2" sqref="B32"/>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1889</v>
      </c>
    </row>
    <row r="8" spans="2:12" x14ac:dyDescent="0.25">
      <c r="B8" s="163" t="s">
        <v>1378</v>
      </c>
    </row>
    <row r="9" spans="2:12" x14ac:dyDescent="0.25">
      <c r="B9" s="163" t="s">
        <v>1885</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1887</v>
      </c>
    </row>
    <row r="28" spans="2:13" x14ac:dyDescent="0.25">
      <c r="B28" s="163" t="s">
        <v>1231</v>
      </c>
    </row>
    <row r="29" spans="2:13" x14ac:dyDescent="0.25">
      <c r="B29" s="163" t="s">
        <v>1888</v>
      </c>
    </row>
    <row r="30" spans="2:13" x14ac:dyDescent="0.25">
      <c r="B30" s="163" t="s">
        <v>21</v>
      </c>
    </row>
    <row r="31" spans="2:13" x14ac:dyDescent="0.25">
      <c r="B31" s="163" t="s">
        <v>1890</v>
      </c>
    </row>
    <row r="32" spans="2:13" x14ac:dyDescent="0.25">
      <c r="B32" s="163" t="s">
        <v>1972</v>
      </c>
    </row>
    <row r="33" spans="2:2" x14ac:dyDescent="0.25">
      <c r="B33" s="163" t="s">
        <v>1973</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08" t="s">
        <v>126</v>
      </c>
      <c r="C37" s="808"/>
      <c r="D37" s="808"/>
      <c r="E37" s="808"/>
      <c r="F37" s="808"/>
      <c r="G37" s="808"/>
      <c r="H37" s="808"/>
    </row>
    <row r="38" spans="2:8" x14ac:dyDescent="0.25">
      <c r="B38" s="808"/>
      <c r="C38" s="808"/>
      <c r="D38" s="808"/>
      <c r="E38" s="808"/>
      <c r="F38" s="808"/>
      <c r="G38" s="808"/>
      <c r="H38" s="808"/>
    </row>
    <row r="39" spans="2:8" x14ac:dyDescent="0.25">
      <c r="B39" s="808"/>
      <c r="C39" s="808"/>
      <c r="D39" s="808"/>
      <c r="E39" s="808"/>
      <c r="F39" s="808"/>
      <c r="G39" s="808"/>
      <c r="H39" s="808"/>
    </row>
    <row r="40" spans="2:8" x14ac:dyDescent="0.25">
      <c r="B40" s="808"/>
      <c r="C40" s="808"/>
      <c r="D40" s="808"/>
      <c r="E40" s="808"/>
      <c r="F40" s="808"/>
      <c r="G40" s="808"/>
      <c r="H40" s="808"/>
    </row>
    <row r="41" spans="2:8" x14ac:dyDescent="0.25">
      <c r="B41" s="808"/>
      <c r="C41" s="808"/>
      <c r="D41" s="808"/>
      <c r="E41" s="808"/>
      <c r="F41" s="808"/>
      <c r="G41" s="808"/>
      <c r="H41" s="808"/>
    </row>
    <row r="42" spans="2:8" x14ac:dyDescent="0.25">
      <c r="B42" s="808"/>
      <c r="C42" s="808"/>
      <c r="D42" s="808"/>
      <c r="E42" s="808"/>
      <c r="F42" s="808"/>
      <c r="G42" s="808"/>
      <c r="H42" s="808"/>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11"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12"/>
      <c r="D3" s="227"/>
      <c r="E3" s="227"/>
      <c r="F3" s="282"/>
      <c r="G3" s="809">
        <v>1</v>
      </c>
      <c r="H3" s="814"/>
      <c r="I3" s="809">
        <v>2</v>
      </c>
      <c r="J3" s="814"/>
      <c r="K3" s="809">
        <v>3</v>
      </c>
      <c r="L3" s="810"/>
      <c r="M3" s="814">
        <v>4</v>
      </c>
      <c r="N3" s="810"/>
      <c r="O3" s="809">
        <v>5</v>
      </c>
      <c r="P3" s="810"/>
      <c r="Q3" s="809">
        <v>6</v>
      </c>
      <c r="R3" s="810"/>
      <c r="S3" s="809">
        <v>7</v>
      </c>
      <c r="T3" s="810"/>
      <c r="U3" s="809">
        <v>8</v>
      </c>
      <c r="V3" s="810"/>
      <c r="W3" s="809">
        <v>9</v>
      </c>
      <c r="X3" s="810"/>
      <c r="Y3" s="809">
        <v>10</v>
      </c>
      <c r="Z3" s="810"/>
      <c r="AA3" s="310"/>
    </row>
    <row r="4" spans="2:72" ht="18.75" customHeight="1" thickBot="1" x14ac:dyDescent="0.3">
      <c r="B4" s="230" t="s">
        <v>870</v>
      </c>
      <c r="C4" s="813"/>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18"/>
      <c r="BE12" s="818"/>
      <c r="BF12" s="818"/>
      <c r="BG12" s="818"/>
      <c r="BH12" s="818"/>
      <c r="BI12" s="818"/>
      <c r="BJ12" s="818"/>
      <c r="BK12" s="818"/>
      <c r="BL12" s="815" t="s">
        <v>760</v>
      </c>
      <c r="BM12" s="815"/>
      <c r="BN12" s="815"/>
      <c r="BO12" s="815"/>
      <c r="BP12" s="815"/>
      <c r="BQ12" s="815"/>
      <c r="BR12" s="815"/>
      <c r="BS12" s="815"/>
      <c r="BT12" s="815"/>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18"/>
      <c r="BE13" s="818"/>
      <c r="BF13" s="818"/>
      <c r="BG13" s="818"/>
      <c r="BH13" s="818"/>
      <c r="BI13" s="818"/>
      <c r="BJ13" s="818"/>
      <c r="BK13" s="818"/>
      <c r="BL13" s="815"/>
      <c r="BM13" s="815"/>
      <c r="BN13" s="815"/>
      <c r="BO13" s="815"/>
      <c r="BP13" s="815"/>
      <c r="BQ13" s="815"/>
      <c r="BR13" s="815"/>
      <c r="BS13" s="815"/>
      <c r="BT13" s="815"/>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18"/>
      <c r="BE14" s="818"/>
      <c r="BF14" s="818"/>
      <c r="BG14" s="818"/>
      <c r="BH14" s="818"/>
      <c r="BI14" s="818"/>
      <c r="BJ14" s="818"/>
      <c r="BK14" s="818"/>
      <c r="BL14" s="815"/>
      <c r="BM14" s="815"/>
      <c r="BN14" s="815"/>
      <c r="BO14" s="815"/>
      <c r="BP14" s="815"/>
      <c r="BQ14" s="815"/>
      <c r="BR14" s="815"/>
      <c r="BS14" s="815"/>
      <c r="BT14" s="815"/>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18"/>
      <c r="BE15" s="818"/>
      <c r="BF15" s="818"/>
      <c r="BG15" s="818"/>
      <c r="BH15" s="818"/>
      <c r="BI15" s="818"/>
      <c r="BJ15" s="818"/>
      <c r="BK15" s="818"/>
      <c r="BL15" s="815"/>
      <c r="BM15" s="815"/>
      <c r="BN15" s="815"/>
      <c r="BO15" s="815"/>
      <c r="BP15" s="815"/>
      <c r="BQ15" s="815"/>
      <c r="BR15" s="815"/>
      <c r="BS15" s="815"/>
      <c r="BT15" s="815"/>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11"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16"/>
      <c r="D60" s="227"/>
      <c r="E60" s="227"/>
      <c r="F60" s="282"/>
      <c r="G60" s="809">
        <v>1</v>
      </c>
      <c r="H60" s="814"/>
      <c r="I60" s="809">
        <v>2</v>
      </c>
      <c r="J60" s="814"/>
      <c r="K60" s="809">
        <v>3</v>
      </c>
      <c r="L60" s="810"/>
      <c r="M60" s="814">
        <v>4</v>
      </c>
      <c r="N60" s="810"/>
      <c r="O60" s="809">
        <v>5</v>
      </c>
      <c r="P60" s="810"/>
      <c r="Q60" s="809">
        <v>6</v>
      </c>
      <c r="R60" s="810"/>
      <c r="S60" s="809">
        <v>7</v>
      </c>
      <c r="T60" s="810"/>
      <c r="U60" s="814">
        <v>8</v>
      </c>
      <c r="V60" s="814"/>
      <c r="W60" s="814">
        <v>9</v>
      </c>
      <c r="X60" s="810"/>
      <c r="Y60" s="809">
        <v>10</v>
      </c>
      <c r="Z60" s="810"/>
      <c r="AA60" s="310"/>
      <c r="AM60" s="267" t="s">
        <v>777</v>
      </c>
      <c r="AN60" s="274">
        <f>AV63</f>
        <v>0</v>
      </c>
      <c r="AS60" s="267" t="s">
        <v>785</v>
      </c>
      <c r="AT60" s="273"/>
      <c r="AU60" s="273"/>
      <c r="AV60" s="366">
        <f>AV57-AV59</f>
        <v>0</v>
      </c>
    </row>
    <row r="61" spans="2:64" ht="17.25" thickTop="1" thickBot="1" x14ac:dyDescent="0.3">
      <c r="B61" s="230" t="s">
        <v>717</v>
      </c>
      <c r="C61" s="817"/>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19" t="s">
        <v>71</v>
      </c>
      <c r="L4" s="819"/>
      <c r="M4" s="819"/>
      <c r="T4" t="s">
        <v>121</v>
      </c>
    </row>
    <row r="5" spans="2:24" x14ac:dyDescent="0.25">
      <c r="C5" s="16" t="s">
        <v>10</v>
      </c>
      <c r="D5" s="16" t="s">
        <v>10</v>
      </c>
      <c r="E5" s="16" t="s">
        <v>10</v>
      </c>
      <c r="F5" s="16" t="s">
        <v>10</v>
      </c>
      <c r="K5" s="819"/>
      <c r="L5" s="819"/>
      <c r="M5" s="819"/>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83" zoomScale="70" zoomScaleNormal="70" workbookViewId="0">
      <selection activeCell="BG96" sqref="BG96"/>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250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43770</v>
      </c>
      <c r="BA5" s="450">
        <v>25</v>
      </c>
      <c r="BB5" s="450">
        <v>100</v>
      </c>
      <c r="BC5" s="450">
        <v>120</v>
      </c>
      <c r="BD5" s="429">
        <f>BA5/$BB$2</f>
        <v>0.1</v>
      </c>
      <c r="BE5" s="401" t="str">
        <f>IF(BD5&gt;0.5,"Control achieved"," ")</f>
        <v xml:space="preserve"> </v>
      </c>
      <c r="BJ5" s="273"/>
      <c r="BK5" s="273"/>
      <c r="BL5" s="273"/>
      <c r="BM5" s="273"/>
      <c r="BN5" s="273"/>
      <c r="BO5" s="273"/>
    </row>
    <row r="6" spans="2:79" ht="18.75" customHeight="1" x14ac:dyDescent="0.25">
      <c r="B6" s="226" t="s">
        <v>1748</v>
      </c>
      <c r="C6" s="811"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2151.1</v>
      </c>
      <c r="AV6" s="365">
        <f>SUM(AV10:AV1048576)</f>
        <v>2151.1</v>
      </c>
      <c r="AW6" s="365">
        <f>AV6-AU6</f>
        <v>0</v>
      </c>
      <c r="AZ6" s="428">
        <v>44562</v>
      </c>
      <c r="BA6" s="450">
        <v>150</v>
      </c>
      <c r="BB6" s="450">
        <v>966</v>
      </c>
      <c r="BC6" s="450">
        <v>966</v>
      </c>
      <c r="BD6" s="429">
        <f>SUM(BA5:BA6)/$BB$2</f>
        <v>0.7</v>
      </c>
      <c r="BE6" s="401" t="str">
        <f>IF(AND(BD7&gt;0.5,BE5=" "),"Control achieved"," ")</f>
        <v>Control achieved</v>
      </c>
      <c r="BJ6" s="273"/>
      <c r="BK6" s="273"/>
      <c r="BL6" s="273"/>
      <c r="BM6" s="273"/>
      <c r="BN6" s="273"/>
      <c r="BO6" s="273"/>
    </row>
    <row r="7" spans="2:79" ht="18.75" customHeight="1" x14ac:dyDescent="0.25">
      <c r="B7" s="229" t="s">
        <v>656</v>
      </c>
      <c r="C7" s="812"/>
      <c r="D7" s="227"/>
      <c r="E7" s="227"/>
      <c r="F7" s="227"/>
      <c r="G7" s="282"/>
      <c r="H7" s="809">
        <v>1</v>
      </c>
      <c r="I7" s="814"/>
      <c r="J7" s="809">
        <v>2</v>
      </c>
      <c r="K7" s="810"/>
      <c r="L7" s="814">
        <v>3</v>
      </c>
      <c r="M7" s="814"/>
      <c r="N7" s="809">
        <v>4</v>
      </c>
      <c r="O7" s="810"/>
      <c r="P7" s="814">
        <v>5</v>
      </c>
      <c r="Q7" s="810"/>
      <c r="R7" s="809">
        <v>6</v>
      </c>
      <c r="S7" s="810"/>
      <c r="T7" s="809">
        <v>7</v>
      </c>
      <c r="U7" s="810"/>
      <c r="V7" s="809">
        <v>8</v>
      </c>
      <c r="W7" s="810"/>
      <c r="X7" s="809">
        <v>9</v>
      </c>
      <c r="Y7" s="810"/>
      <c r="Z7" s="809">
        <v>10</v>
      </c>
      <c r="AA7" s="814"/>
      <c r="AB7" s="809">
        <v>11</v>
      </c>
      <c r="AC7" s="810"/>
      <c r="AD7" s="814">
        <v>12</v>
      </c>
      <c r="AE7" s="810"/>
      <c r="AF7" s="809">
        <v>13</v>
      </c>
      <c r="AG7" s="810"/>
      <c r="AH7" s="310"/>
      <c r="AZ7" s="428">
        <v>44743</v>
      </c>
      <c r="BA7" s="450">
        <v>38</v>
      </c>
      <c r="BB7" s="450">
        <v>265</v>
      </c>
      <c r="BC7" s="450">
        <f>BB7</f>
        <v>265</v>
      </c>
      <c r="BD7" s="429">
        <f>SUM(BA5:BA7)/$BB$2</f>
        <v>0.85199999999999998</v>
      </c>
      <c r="BE7" s="401" t="str">
        <f>IF(AND(BD8&gt;0.5,BE6=" "),"Control achieved"," ")</f>
        <v xml:space="preserve"> </v>
      </c>
      <c r="BJ7" s="273"/>
      <c r="BK7" s="273"/>
      <c r="BL7" s="273"/>
      <c r="BM7" s="273"/>
      <c r="BN7" s="273"/>
      <c r="BO7" s="273"/>
    </row>
    <row r="8" spans="2:79" ht="18.75" customHeight="1" thickBot="1" x14ac:dyDescent="0.3">
      <c r="B8" s="230" t="s">
        <v>2004</v>
      </c>
      <c r="C8" s="813"/>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0.85199999999999998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1351</v>
      </c>
      <c r="BS9" s="401" t="s">
        <v>1893</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125</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1145</v>
      </c>
      <c r="AZ11" s="433" t="s">
        <v>705</v>
      </c>
      <c r="BA11" s="434"/>
      <c r="BB11" s="435" t="s">
        <v>531</v>
      </c>
      <c r="BC11" s="436">
        <v>0.3</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803">
        <f>IF(BC21&gt;0,BC21,0)</f>
        <v>197</v>
      </c>
      <c r="AV13" s="267">
        <f>IF(BC21&lt;0,-BC21,0)</f>
        <v>0</v>
      </c>
      <c r="AZ13" s="437" t="s">
        <v>530</v>
      </c>
      <c r="BA13" s="438"/>
      <c r="BB13" s="438"/>
      <c r="BC13" s="440">
        <f>+BC5+BC6</f>
        <v>1086</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197</v>
      </c>
      <c r="I14" s="325">
        <f>-SUMIF($AT$10:$AT$17,"CR Goodwill",$AV$10:$AV$17)</f>
        <v>0</v>
      </c>
      <c r="J14" s="384"/>
      <c r="K14" s="379"/>
      <c r="L14" s="295">
        <f>SUMIF(AT33:AT35,"DR Goodwill",AU33:AU35)</f>
        <v>0</v>
      </c>
      <c r="M14" s="325">
        <f>-SUMIF(AT33:AT35,"CR Goodwill",AV33:AV35)</f>
        <v>0</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0</v>
      </c>
      <c r="AD14" s="321"/>
      <c r="AE14" s="321"/>
      <c r="AF14" s="304"/>
      <c r="AG14" s="305"/>
      <c r="AH14" s="311">
        <f>SUM(G14:AG14)</f>
        <v>197</v>
      </c>
      <c r="AT14" s="267" t="s">
        <v>759</v>
      </c>
      <c r="AU14" s="803">
        <f>BB17</f>
        <v>0</v>
      </c>
      <c r="AZ14" s="437" t="s">
        <v>528</v>
      </c>
      <c r="BA14" s="438"/>
      <c r="BB14" s="441"/>
      <c r="BC14" s="441">
        <f>BC20*BC11</f>
        <v>381</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1086</v>
      </c>
      <c r="AZ15" s="437"/>
      <c r="BA15" s="438"/>
      <c r="BB15" s="441"/>
      <c r="BC15" s="796">
        <f>SUM(BC13:BC14)</f>
        <v>1467</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381</v>
      </c>
      <c r="AZ16" s="437" t="s">
        <v>696</v>
      </c>
      <c r="BA16" s="438"/>
      <c r="BB16" s="787">
        <f>BB2*0.5</f>
        <v>125</v>
      </c>
      <c r="BC16" s="441"/>
      <c r="BD16" s="439"/>
      <c r="BJ16" s="465" t="s">
        <v>765</v>
      </c>
      <c r="BK16" s="442"/>
      <c r="BL16" s="442"/>
      <c r="BM16" s="442"/>
      <c r="BN16" s="442"/>
      <c r="BO16" s="468">
        <f>BO13-BO15</f>
        <v>0</v>
      </c>
      <c r="BS16" s="815" t="s">
        <v>760</v>
      </c>
      <c r="BT16" s="815"/>
      <c r="BU16" s="815"/>
      <c r="BV16" s="815"/>
      <c r="BW16" s="815"/>
      <c r="BX16" s="815"/>
      <c r="BY16" s="815"/>
      <c r="BZ16" s="815"/>
      <c r="CA16" s="815"/>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-1086</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-1086</v>
      </c>
      <c r="AO17" s="401" t="s">
        <v>1004</v>
      </c>
      <c r="AT17" s="247" t="str">
        <f>IF(BB20&gt;0,"DR Fair value adjustments","CR Fair value adjustments")</f>
        <v>CR Fair value adjustments</v>
      </c>
      <c r="AU17" s="266">
        <f>IF(BB20&gt;0,BB20,0)</f>
        <v>0</v>
      </c>
      <c r="AV17" s="266">
        <f>IF(BB20&lt;0,-BB20,0)</f>
        <v>0</v>
      </c>
      <c r="AZ17" s="437" t="s">
        <v>678</v>
      </c>
      <c r="BA17" s="442"/>
      <c r="BB17" s="787"/>
      <c r="BC17" s="85"/>
      <c r="BD17" s="439"/>
      <c r="BJ17" s="453"/>
      <c r="BK17" s="454"/>
      <c r="BL17" s="454"/>
      <c r="BM17" s="454"/>
      <c r="BN17" s="454"/>
      <c r="BO17" s="447"/>
      <c r="BS17" s="815"/>
      <c r="BT17" s="815"/>
      <c r="BU17" s="815"/>
      <c r="BV17" s="815"/>
      <c r="BW17" s="815"/>
      <c r="BX17" s="815"/>
      <c r="BY17" s="815"/>
      <c r="BZ17" s="815"/>
      <c r="CA17" s="815"/>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87">
        <v>1145</v>
      </c>
      <c r="BC18" s="442"/>
      <c r="BD18" s="439"/>
      <c r="BS18" s="815"/>
      <c r="BT18" s="815"/>
      <c r="BU18" s="815"/>
      <c r="BV18" s="815"/>
      <c r="BW18" s="815"/>
      <c r="BX18" s="815"/>
      <c r="BY18" s="815"/>
      <c r="BZ18" s="815"/>
      <c r="CA18" s="815"/>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87"/>
      <c r="BC19" s="443"/>
      <c r="BD19" s="439"/>
      <c r="BS19" s="815"/>
      <c r="BT19" s="815"/>
      <c r="BU19" s="815"/>
      <c r="BV19" s="815"/>
      <c r="BW19" s="815"/>
      <c r="BX19" s="815"/>
      <c r="BY19" s="815"/>
      <c r="BZ19" s="815"/>
      <c r="CA19" s="815"/>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-889</v>
      </c>
      <c r="AZ20" s="437" t="s">
        <v>1017</v>
      </c>
      <c r="BA20" s="442"/>
      <c r="BB20" s="787"/>
      <c r="BC20" s="797">
        <f>SUM(BB16:BB20)</f>
        <v>1270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798">
        <f>BC15-BC20</f>
        <v>197</v>
      </c>
      <c r="BD21" s="447"/>
      <c r="BS21" s="401" t="s">
        <v>1894</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-11.1</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32.680000000000007</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DR Retained earnings</v>
      </c>
      <c r="AU23" s="275">
        <f>IF(BC31&lt;0,-BC31,0)</f>
        <v>232.32</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265</v>
      </c>
      <c r="AZ24" s="444" t="s">
        <v>829</v>
      </c>
      <c r="BA24" s="442"/>
      <c r="BB24" s="442"/>
      <c r="BC24" s="70">
        <f>+BC7</f>
        <v>265</v>
      </c>
      <c r="BD24" s="439"/>
      <c r="BG24" s="677"/>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0</v>
      </c>
      <c r="AC25" s="305">
        <f>-SUMIF($AT$100:$AT$104,"CR Cash and cash equivalents",$AU$100:$AU$104)</f>
        <v>0</v>
      </c>
      <c r="AD25" s="321"/>
      <c r="AE25" s="321"/>
      <c r="AF25" s="304"/>
      <c r="AG25" s="305"/>
      <c r="AH25" s="311">
        <f>SUM(G25:AG25)</f>
        <v>0</v>
      </c>
      <c r="AZ25" s="444" t="s">
        <v>830</v>
      </c>
      <c r="BA25" s="799">
        <v>0.7</v>
      </c>
      <c r="BB25" s="442"/>
      <c r="BC25" s="442"/>
      <c r="BD25" s="439"/>
      <c r="BJ25" s="678"/>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0</v>
      </c>
      <c r="AZ26" s="444" t="s">
        <v>831</v>
      </c>
      <c r="BA26" s="800">
        <f>BD7</f>
        <v>0.85199999999999998</v>
      </c>
      <c r="BB26" s="442"/>
      <c r="BC26" s="442"/>
      <c r="BD26" s="439"/>
      <c r="BG26" s="677"/>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-889</v>
      </c>
      <c r="AZ27" s="444" t="s">
        <v>832</v>
      </c>
      <c r="BA27" s="801">
        <f>BA26-BA25</f>
        <v>0.15200000000000002</v>
      </c>
      <c r="BB27" s="442"/>
      <c r="BC27" s="442"/>
      <c r="BD27" s="439"/>
      <c r="BG27" s="677"/>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f>1235-1145</f>
        <v>90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125</v>
      </c>
      <c r="BB29" s="451">
        <f>BA28+BA29</f>
        <v>215</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32.680000000000007</v>
      </c>
      <c r="BD30" s="439"/>
    </row>
    <row r="31" spans="2:79" ht="18.75" customHeight="1" thickBot="1" x14ac:dyDescent="0.3">
      <c r="B31" s="232" t="s">
        <v>676</v>
      </c>
      <c r="C31" s="234"/>
      <c r="D31" s="236"/>
      <c r="E31" s="236"/>
      <c r="F31" s="236"/>
      <c r="G31" s="285">
        <f>SUM(D31:F31)</f>
        <v>0</v>
      </c>
      <c r="H31" s="304">
        <f>SUMIF($AT10:$AT16,"DR Share Capital",$AU10:$AU16)</f>
        <v>125</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-125</v>
      </c>
      <c r="AZ31" s="452" t="s">
        <v>834</v>
      </c>
      <c r="BA31" s="442"/>
      <c r="BB31" s="443"/>
      <c r="BC31" s="281">
        <f>BC30-BC24</f>
        <v>-232.32</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0</v>
      </c>
      <c r="AS33" s="276">
        <v>3</v>
      </c>
      <c r="AT33" s="267" t="s">
        <v>699</v>
      </c>
      <c r="AU33" s="374">
        <f>BC36</f>
        <v>0</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1145</v>
      </c>
      <c r="I35" s="325">
        <f>-SUMIF($AT10:$AT16,"CR Retained Earnings",AV10:AV16)</f>
        <v>0</v>
      </c>
      <c r="J35" s="304">
        <f>SUMIF($AT22:$AT24,"DR Retained Earnings",$AU22:$AU24)</f>
        <v>232.32</v>
      </c>
      <c r="K35" s="304">
        <f>SUMIF($AT22:$AT24,"CR Retained Earnings",$AU22:$AU24)</f>
        <v>0</v>
      </c>
      <c r="L35" s="295">
        <f>SUMIF($AT33:$AT35,"DR Retained Earnings",$AU33:$AU35)</f>
        <v>0</v>
      </c>
      <c r="M35" s="325">
        <f>-SUMIF($AT33:$AT35,"CR Retained Earnings",AX33:AX35)</f>
        <v>0</v>
      </c>
      <c r="N35" s="304">
        <f>SUMIF($AT$38:$AT$42,"DR Retained Earnings",$AU$38:$AU$42)</f>
        <v>228.9</v>
      </c>
      <c r="O35" s="305">
        <f>-SUMIF($AT$38:$AT$42,"CR Retained Earnings",$AV$38:$AV$42)</f>
        <v>0</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61.769999999999996</v>
      </c>
      <c r="AG35" s="305">
        <f>-SUMIF($AT$123:$AT$124,"CR Retained Earnings",$AV$123:$AV$124)</f>
        <v>0</v>
      </c>
      <c r="AH35" s="311">
        <f>G35-SUM(H35:AG35)</f>
        <v>-1667.99</v>
      </c>
      <c r="AT35" s="267" t="s">
        <v>704</v>
      </c>
      <c r="AV35" s="374">
        <f>BC35+BC36</f>
        <v>0</v>
      </c>
      <c r="AZ35" s="465" t="s">
        <v>701</v>
      </c>
      <c r="BA35" s="442"/>
      <c r="BB35" s="443"/>
      <c r="BC35" s="802"/>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34" t="s">
        <v>702</v>
      </c>
      <c r="BA36" s="454"/>
      <c r="BB36" s="456"/>
      <c r="BC36" s="795">
        <v>0</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DR Retained earnings</v>
      </c>
      <c r="AU38" s="267">
        <f>IF($BC$44&gt;0,$BC$44," ")</f>
        <v>228.9</v>
      </c>
      <c r="AV38" s="374" t="str">
        <f>IF($BC$44&lt;0,-$BC$44," ")</f>
        <v xml:space="preserve"> </v>
      </c>
      <c r="AZ38" s="633"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-1792.99</v>
      </c>
      <c r="AT39" s="267" t="str">
        <f>IF(BC44&gt;0,"CR SFP - Non-controlling interests","DR SFP - Non-controlling interests")</f>
        <v>CR SFP - Non-controlling interests</v>
      </c>
      <c r="AU39" s="374" t="str">
        <f>IF($BC$44&lt;0,-$BC$44," ")</f>
        <v xml:space="preserve"> </v>
      </c>
      <c r="AV39" s="267">
        <f>IF($BC$44&gt;0,$BC$44," ")</f>
        <v>228.9</v>
      </c>
      <c r="AZ39" s="465" t="str">
        <f>"Retained earnings "&amp;B8</f>
        <v>Retained earnings as at 31 October 2022</v>
      </c>
      <c r="BA39" s="442"/>
      <c r="BB39" s="443"/>
      <c r="BC39" s="450">
        <f>2213-BB16-BB17</f>
        <v>2088</v>
      </c>
      <c r="BD39" s="439"/>
      <c r="BE39" s="279" t="s">
        <v>2005</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-381</v>
      </c>
      <c r="J40" s="304">
        <f>SUMIF($AT22:$AT24,"DR SFP - non-controlling interestS",$AU$22:$AU$24)</f>
        <v>32.680000000000007</v>
      </c>
      <c r="K40" s="304">
        <f>-SUMIF($AT22:$AT24,"CR SFP - non-controlling interestS",$AU$22:$AU$24)</f>
        <v>0</v>
      </c>
      <c r="L40" s="298"/>
      <c r="M40" s="331"/>
      <c r="N40" s="389">
        <f>-SUMIF($AT$38:$AT$42,"DR SFP - Non-controlling interests",$AU$38:$AU$42)</f>
        <v>0</v>
      </c>
      <c r="O40" s="305">
        <f>-SUMIF($AT$38:$AT$42,"CR SFP - Non-controlling interests",$AV$38:$AV$42)</f>
        <v>-228.9</v>
      </c>
      <c r="P40" s="379">
        <f>-SUMIF($AT$48:$AT$49,"DR SFP - Non-controlling interests",$AU$48:$AU$49)</f>
        <v>0</v>
      </c>
      <c r="Q40" s="305">
        <f>-SUMIF($AT$48:$AT$49,"CR SFP - Non-controlling interests",$AV$48:$AV$49)</f>
        <v>-54</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3.3299999999999996</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0</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627.89</v>
      </c>
      <c r="AZ40" s="465" t="s">
        <v>751</v>
      </c>
      <c r="BA40" s="442"/>
      <c r="BB40" s="442"/>
      <c r="BC40" s="450">
        <v>180</v>
      </c>
      <c r="BD40" s="632"/>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CR Revaluation Surplus</v>
      </c>
      <c r="AU41" s="267">
        <f>IF($BC$47&gt;0,$BC$47,0)</f>
        <v>0</v>
      </c>
      <c r="AV41" s="267">
        <f>IF($BC$47&lt;0,-$BC$47,0)</f>
        <v>0</v>
      </c>
      <c r="AZ41" s="465" t="s">
        <v>818</v>
      </c>
      <c r="BA41" s="442"/>
      <c r="BB41" s="442"/>
      <c r="BC41" s="450"/>
      <c r="BD41" s="632"/>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DR SFP - Non-controlling interests</v>
      </c>
      <c r="AU42" s="267">
        <f>IF($BC$47&lt;0,-$BC$47,0)</f>
        <v>0</v>
      </c>
      <c r="AV42" s="267">
        <f>IF($BC$47&gt;0,$BC$47,0)</f>
        <v>0</v>
      </c>
      <c r="AZ42" s="465" t="s">
        <v>706</v>
      </c>
      <c r="BA42" s="442"/>
      <c r="BB42" s="443"/>
      <c r="BC42" s="458">
        <f>BB18</f>
        <v>1145</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-1165.0999999999999</v>
      </c>
      <c r="AZ43" s="465" t="s">
        <v>707</v>
      </c>
      <c r="BA43" s="442"/>
      <c r="BB43" s="443"/>
      <c r="BC43" s="443">
        <f>BC39-BC42-BC40+BC41</f>
        <v>763</v>
      </c>
      <c r="BD43" s="632"/>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(*0.3)</v>
      </c>
      <c r="BA44" s="442"/>
      <c r="BB44" s="442"/>
      <c r="BC44" s="281">
        <f>IF(SUM(BC39:BC41)=0,0,BC43*BC11)</f>
        <v>228.9</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(*0.3)</v>
      </c>
      <c r="BA47" s="442"/>
      <c r="BB47" s="442"/>
      <c r="BC47" s="280">
        <f>BC46*BC11</f>
        <v>0</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803">
        <f>BC52</f>
        <v>54</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803">
        <f>BC52</f>
        <v>54</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802">
        <f>+BC40</f>
        <v>180</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(*0.3)</v>
      </c>
      <c r="BA52" s="442"/>
      <c r="BB52" s="442"/>
      <c r="BC52" s="804">
        <f>BC51*BC11</f>
        <v>54</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-1165.0999999999999</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11"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16"/>
      <c r="D64" s="227"/>
      <c r="E64" s="227"/>
      <c r="F64" s="227"/>
      <c r="G64" s="282"/>
      <c r="H64" s="809">
        <v>1</v>
      </c>
      <c r="I64" s="814"/>
      <c r="J64" s="809">
        <v>2</v>
      </c>
      <c r="K64" s="810"/>
      <c r="L64" s="814">
        <v>3</v>
      </c>
      <c r="M64" s="814"/>
      <c r="N64" s="809">
        <v>4</v>
      </c>
      <c r="O64" s="810"/>
      <c r="P64" s="814">
        <v>5</v>
      </c>
      <c r="Q64" s="810"/>
      <c r="R64" s="809">
        <v>6</v>
      </c>
      <c r="S64" s="810"/>
      <c r="T64" s="809">
        <v>7</v>
      </c>
      <c r="U64" s="810"/>
      <c r="V64" s="809">
        <v>8</v>
      </c>
      <c r="W64" s="810"/>
      <c r="X64" s="820">
        <v>9</v>
      </c>
      <c r="Y64" s="820"/>
      <c r="Z64" s="814">
        <v>10</v>
      </c>
      <c r="AA64" s="814"/>
      <c r="AB64" s="809">
        <v>11</v>
      </c>
      <c r="AC64" s="810"/>
      <c r="AD64" s="814">
        <v>12</v>
      </c>
      <c r="AE64" s="810"/>
      <c r="AF64" s="809">
        <v>13</v>
      </c>
      <c r="AG64" s="810"/>
      <c r="AH64" s="310"/>
      <c r="AT64" s="267" t="s">
        <v>777</v>
      </c>
      <c r="AU64" s="275">
        <f>BC66</f>
        <v>0</v>
      </c>
      <c r="AV64" s="275"/>
      <c r="AZ64" s="444"/>
      <c r="BA64" s="442"/>
      <c r="BB64" s="442"/>
      <c r="BC64" s="442"/>
      <c r="BD64" s="439"/>
    </row>
    <row r="65" spans="2:67" ht="16.5" thickBot="1" x14ac:dyDescent="0.3">
      <c r="B65" s="230" t="s">
        <v>717</v>
      </c>
      <c r="C65" s="817"/>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60</v>
      </c>
      <c r="W67" s="305">
        <f>SUMIF($AT$69:$AT$76,"CR SPL - Revenue",$AV$69:$AV$76)</f>
        <v>0</v>
      </c>
      <c r="X67" s="384"/>
      <c r="Y67" s="379"/>
      <c r="Z67" s="321"/>
      <c r="AA67" s="321"/>
      <c r="AB67" s="384"/>
      <c r="AC67" s="379"/>
      <c r="AD67" s="321"/>
      <c r="AE67" s="321"/>
      <c r="AF67" s="304"/>
      <c r="AG67" s="305"/>
      <c r="AH67" s="311">
        <f>G67-SUM(H67:AG67)</f>
        <v>-60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60</v>
      </c>
      <c r="AZ69" s="633"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11.1</v>
      </c>
      <c r="W70" s="305">
        <f>-SUMIF($AT$69:$AT$76,"CR SPL - Cost of sales",$AV$69:$AV$76)</f>
        <v>-60</v>
      </c>
      <c r="X70" s="384"/>
      <c r="Y70" s="379"/>
      <c r="Z70" s="321"/>
      <c r="AA70" s="321"/>
      <c r="AB70" s="384"/>
      <c r="AC70" s="379"/>
      <c r="AD70" s="304">
        <f>SUMIF($AT$109:$AT$116,"DR SPL - cost of sales",$AU$109:$AU$116)</f>
        <v>0</v>
      </c>
      <c r="AE70" s="305">
        <f>-SUMIF($AT$109:$AT$116,"CR SPL - cost of sales",$AV$109:$AV$116)</f>
        <v>0</v>
      </c>
      <c r="AF70" s="304"/>
      <c r="AG70" s="305"/>
      <c r="AH70" s="311">
        <f>G70+SUM(H70:AG70)</f>
        <v>-48.9</v>
      </c>
      <c r="AT70" s="267" t="s">
        <v>787</v>
      </c>
      <c r="AV70" s="274">
        <f>BC71</f>
        <v>60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11.1</v>
      </c>
      <c r="AZ71" s="444" t="s">
        <v>781</v>
      </c>
      <c r="BA71" s="442"/>
      <c r="BB71" s="442"/>
      <c r="BC71" s="450">
        <v>60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11.1</v>
      </c>
      <c r="AZ72" s="444" t="s">
        <v>782</v>
      </c>
      <c r="BA72" s="438"/>
      <c r="BB72" s="438"/>
      <c r="BC72" s="450">
        <f>BC71*100/125</f>
        <v>48</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-11.100000000000001</v>
      </c>
      <c r="AZ73" s="444" t="s">
        <v>783</v>
      </c>
      <c r="BA73" s="442"/>
      <c r="BB73" s="442"/>
      <c r="BC73" s="363">
        <f>BC71-BC72</f>
        <v>12</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3.3299999999999996</v>
      </c>
      <c r="AZ75" s="444" t="s">
        <v>784</v>
      </c>
      <c r="BA75" s="438"/>
      <c r="BB75" s="438"/>
      <c r="BC75" s="52">
        <v>0.9</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3.3299999999999996</v>
      </c>
      <c r="AZ76" s="444" t="s">
        <v>785</v>
      </c>
      <c r="BA76" s="438"/>
      <c r="BB76" s="438"/>
      <c r="BC76" s="366">
        <f>BC73-BC75</f>
        <v>11.1</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3.3299999999999996</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65"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-11.100000000000001</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-11.100000000000001</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-11.100000000000001</v>
      </c>
      <c r="AS100" s="276">
        <v>11</v>
      </c>
      <c r="AT100" s="247" t="s">
        <v>823</v>
      </c>
      <c r="AU100" s="274">
        <f>BC102</f>
        <v>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0</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0</v>
      </c>
      <c r="AZ102" s="444" t="s">
        <v>154</v>
      </c>
      <c r="BA102" s="442"/>
      <c r="BB102" s="442"/>
      <c r="BC102" s="802">
        <v>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0</v>
      </c>
      <c r="AZ103" s="444" t="s">
        <v>837</v>
      </c>
      <c r="BA103" s="442"/>
      <c r="BB103" s="442"/>
      <c r="BC103" s="805">
        <f>IF(BC102&lt;&gt;0,BC21-BC35-BC36,0)</f>
        <v>0</v>
      </c>
      <c r="BD103" s="439"/>
      <c r="BF103" s="401" t="s">
        <v>1942</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DR SPL - loss on disposal</v>
      </c>
      <c r="AU104" s="274">
        <f>IF(BC107&lt;0,-BC107,0)</f>
        <v>0</v>
      </c>
      <c r="AV104" s="274">
        <f>IF(BC107&gt;0,BC107,0)</f>
        <v>0</v>
      </c>
      <c r="AZ104" s="444" t="s">
        <v>865</v>
      </c>
      <c r="BA104" s="442"/>
      <c r="BB104" s="442"/>
      <c r="BC104" s="802">
        <v>0</v>
      </c>
      <c r="BD104" s="439"/>
      <c r="BF104" s="401" t="s">
        <v>1943</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806">
        <f>BC104*BC11</f>
        <v>0</v>
      </c>
      <c r="BD105" s="462" t="s">
        <v>864</v>
      </c>
      <c r="BF105" s="401" t="s">
        <v>1944</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807">
        <f>BC104-BC105</f>
        <v>0</v>
      </c>
      <c r="BD106" s="439"/>
      <c r="BF106" s="401" t="s">
        <v>1800</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804">
        <f>BC102-BC103-BC106</f>
        <v>0</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-11.100000000000001</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-55.110000000000007</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54</v>
      </c>
      <c r="Q118" s="305">
        <f>-SUMIF($AT$48:$AT$49,"DR SPL - Non-controlling interests",$AV$48:$AV$49)</f>
        <v>0</v>
      </c>
      <c r="R118" s="304">
        <f>SUMIF($AT$54:$AT$76,"DR SPL - Non-controlling interests",$AU$54:$AU$76)</f>
        <v>0</v>
      </c>
      <c r="S118" s="305">
        <f>-SUMIF($AT$54:$AT$76,"DR SPL - Non-controlling interests",$AV$54:$AV$76)</f>
        <v>-3.3299999999999996</v>
      </c>
      <c r="T118" s="304">
        <f>SUMIF($AT$54:$AT$76,"DR SPL - Non-controlling interests",$AU$54:$AU$76)</f>
        <v>0</v>
      </c>
      <c r="U118" s="305">
        <f>-SUMIF($AT$54:$AT$76,"DR SPL - Non-controlling interests",$AV$54:$AV$76)</f>
        <v>-3.3299999999999996</v>
      </c>
      <c r="V118" s="304">
        <f>SUMIF($AT$69:$AT$76,"DR SPL - Non-controlling interests",$AU$69:$AU$76)</f>
        <v>0</v>
      </c>
      <c r="W118" s="305">
        <f>-SUMIF($AT$69:$AT$76,"DR SPL - Non-controlling interests",$AV$69:$AV$76)</f>
        <v>-3.3299999999999996</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44.010000000000005</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-11.100000000000001</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64">
        <f>BC11</f>
        <v>0.3</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-11.100000000000001</v>
      </c>
      <c r="AS121" s="664">
        <f>BC11</f>
        <v>0.3</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-11.100000000000001</v>
      </c>
      <c r="AS123" s="276">
        <v>13</v>
      </c>
      <c r="AT123" s="267" t="str">
        <f>IF(AU123&lt;&gt;0,"DR Retained earnings","CR Retained earnings")</f>
        <v>DR Retained earnings</v>
      </c>
      <c r="AU123" s="275">
        <f>IF($BC$136&gt;0,$BC$136,0)</f>
        <v>61.769999999999996</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61.769999999999996</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54</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265</v>
      </c>
      <c r="L130" s="541"/>
      <c r="M130" s="541">
        <f>SUM(L12:M59,L67:M127)</f>
        <v>0</v>
      </c>
      <c r="N130" s="541"/>
      <c r="O130" s="541">
        <f>SUM(N12:O59,N67:O127)</f>
        <v>0</v>
      </c>
      <c r="P130" s="541"/>
      <c r="Q130" s="541">
        <f>SUM(P12:Q59,P67:Q127)</f>
        <v>0</v>
      </c>
      <c r="R130" s="541"/>
      <c r="S130" s="541">
        <f>SUM(R12:S59,R67:S127)</f>
        <v>-3.3299999999999996</v>
      </c>
      <c r="T130" s="541"/>
      <c r="U130" s="541">
        <f>SUM(T12:U59,T67:U127)</f>
        <v>-3.3299999999999996</v>
      </c>
      <c r="V130" s="541"/>
      <c r="W130" s="541">
        <f>SUM(V12:W59,V67:W127)</f>
        <v>5.773159728050814E-15</v>
      </c>
      <c r="X130" s="541"/>
      <c r="Y130" s="541">
        <f>SUM(X12:Y59,X67:Y127)</f>
        <v>0</v>
      </c>
      <c r="Z130" s="541"/>
      <c r="AA130" s="541">
        <f>SUM(Z12:AA59,Z67:AA127)</f>
        <v>0</v>
      </c>
      <c r="AB130" s="541"/>
      <c r="AC130" s="541">
        <f>SUM(AB12:AC59,AB67:AC127)</f>
        <v>0</v>
      </c>
      <c r="AD130" s="541"/>
      <c r="AE130" s="541">
        <f>SUM(AD12:AE59,AD67:AE127)</f>
        <v>0</v>
      </c>
      <c r="AF130" s="541"/>
      <c r="AG130" s="541">
        <f>SUM(AF12:AG59,AF67:AG127)</f>
        <v>61.769999999999996</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11.1</v>
      </c>
      <c r="BD132" s="439"/>
    </row>
    <row r="133" spans="9:56" x14ac:dyDescent="0.25">
      <c r="AZ133" s="444" t="s">
        <v>789</v>
      </c>
      <c r="BA133" s="442"/>
      <c r="BB133" s="442"/>
      <c r="BC133" s="451">
        <f>-AV76</f>
        <v>-3.3299999999999996</v>
      </c>
      <c r="BD133" s="439"/>
    </row>
    <row r="134" spans="9:56" x14ac:dyDescent="0.25">
      <c r="AZ134" s="444" t="s">
        <v>869</v>
      </c>
      <c r="BA134" s="442"/>
      <c r="BB134" s="442"/>
      <c r="BC134" s="451">
        <f>-BC107</f>
        <v>0</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61.769999999999996</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2151.1000000000004</v>
      </c>
      <c r="AG137" s="540">
        <f>SUM(AG67:AG127,AG12:AG59,AC12:AC59,AC67:AC127,AA67:AA127,AA12:AA59,AE12:AE59,AE67:AE127,Y67:Y127,Y12:Y59,W12:W59,W67:W127,U67:U127,U12:U59,S12:S59,S67:S127,Q67:Q127,Q12:Q59,O12:O59,O67:O127,M67:M127,M12:M59,K12:K59,K67:K127,I67:I127,I12:I59)</f>
        <v>-1830.99</v>
      </c>
      <c r="AZ137" s="453"/>
      <c r="BA137" s="454"/>
      <c r="BB137" s="454"/>
      <c r="BC137" s="454"/>
      <c r="BD137" s="447"/>
    </row>
    <row r="138" spans="9:56" ht="30" x14ac:dyDescent="0.25">
      <c r="AE138" s="540" t="s">
        <v>1087</v>
      </c>
      <c r="AF138" s="540">
        <f>AU6</f>
        <v>2151.1</v>
      </c>
      <c r="AG138" s="540">
        <f>-AV6</f>
        <v>-2151.1</v>
      </c>
    </row>
    <row r="139" spans="9:56" x14ac:dyDescent="0.25">
      <c r="AE139" s="540"/>
      <c r="AF139" s="540">
        <f>AF137-AF138</f>
        <v>0</v>
      </c>
      <c r="AG139" s="540">
        <f>AG137-AG138</f>
        <v>320.1099999999999</v>
      </c>
      <c r="AI139" s="545"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1751</v>
      </c>
    </row>
    <row r="3" spans="1:25" x14ac:dyDescent="0.2">
      <c r="B3" s="465" t="s">
        <v>983</v>
      </c>
      <c r="C3" s="442"/>
      <c r="D3" s="442"/>
      <c r="E3" s="442"/>
      <c r="F3" s="442"/>
      <c r="G3" s="466">
        <v>6000</v>
      </c>
      <c r="K3" s="508" t="s">
        <v>1006</v>
      </c>
      <c r="M3" s="515">
        <v>3900</v>
      </c>
      <c r="S3" s="508" t="s">
        <v>1749</v>
      </c>
      <c r="W3" s="515">
        <v>890</v>
      </c>
      <c r="Y3" s="509" t="s">
        <v>1753</v>
      </c>
    </row>
    <row r="4" spans="1:25" x14ac:dyDescent="0.2">
      <c r="B4" s="465" t="s">
        <v>984</v>
      </c>
      <c r="C4" s="442"/>
      <c r="D4" s="442"/>
      <c r="E4" s="442"/>
      <c r="F4" s="442"/>
      <c r="G4" s="466">
        <f>+M6</f>
        <v>3503.9644212843377</v>
      </c>
      <c r="K4" s="508" t="s">
        <v>240</v>
      </c>
      <c r="M4" s="542">
        <v>5.5E-2</v>
      </c>
      <c r="S4" s="508" t="s">
        <v>1750</v>
      </c>
      <c r="W4" s="515">
        <v>978</v>
      </c>
    </row>
    <row r="5" spans="1:25" x14ac:dyDescent="0.2">
      <c r="B5" s="465" t="s">
        <v>985</v>
      </c>
      <c r="C5" s="442"/>
      <c r="D5" s="528" t="s">
        <v>1021</v>
      </c>
      <c r="E5" s="528" t="s">
        <v>1006</v>
      </c>
      <c r="F5" s="528" t="s">
        <v>1022</v>
      </c>
      <c r="G5" s="467"/>
      <c r="K5" s="508" t="s">
        <v>489</v>
      </c>
      <c r="M5" s="515">
        <v>2</v>
      </c>
      <c r="S5" s="508" t="s">
        <v>1751</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1795</v>
      </c>
    </row>
    <row r="10" spans="1:25" ht="16.5" thickBot="1" x14ac:dyDescent="0.25">
      <c r="B10" s="453"/>
      <c r="C10" s="505"/>
      <c r="D10" s="505"/>
      <c r="E10" s="454"/>
      <c r="F10" s="454"/>
      <c r="G10" s="531">
        <f>SUM(G3:G9)</f>
        <v>11041.964421284338</v>
      </c>
    </row>
    <row r="11" spans="1:25" x14ac:dyDescent="0.2">
      <c r="K11" s="508" t="s">
        <v>1798</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1799</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1796</v>
      </c>
      <c r="C19" s="510"/>
      <c r="D19" s="510"/>
      <c r="E19" s="510"/>
      <c r="F19" s="511">
        <f>G8</f>
        <v>560</v>
      </c>
      <c r="K19" s="508" t="s">
        <v>1008</v>
      </c>
      <c r="N19" s="508">
        <v>14</v>
      </c>
    </row>
    <row r="20" spans="1:14" x14ac:dyDescent="0.2">
      <c r="A20" s="510"/>
      <c r="B20" s="506" t="s">
        <v>1752</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36"/>
      <c r="K22" s="508" t="s">
        <v>1880</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1881</v>
      </c>
      <c r="N24" s="508">
        <v>65</v>
      </c>
    </row>
    <row r="25" spans="1:14" x14ac:dyDescent="0.2">
      <c r="A25" s="510"/>
      <c r="B25" s="506"/>
      <c r="C25" s="510"/>
      <c r="D25" s="510"/>
      <c r="E25" s="510"/>
      <c r="F25" s="510"/>
      <c r="K25" s="508" t="s">
        <v>1882</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21" t="s">
        <v>1570</v>
      </c>
      <c r="C32" s="821"/>
      <c r="D32" s="821"/>
      <c r="E32" s="821"/>
      <c r="F32" s="821"/>
      <c r="G32" s="821"/>
      <c r="H32" s="821"/>
      <c r="I32" s="821"/>
      <c r="J32" s="821"/>
      <c r="K32" s="821"/>
    </row>
    <row r="33" spans="1:15" x14ac:dyDescent="0.2">
      <c r="A33" s="510"/>
      <c r="B33" s="821"/>
      <c r="C33" s="821"/>
      <c r="D33" s="821"/>
      <c r="E33" s="821"/>
      <c r="F33" s="821"/>
      <c r="G33" s="821"/>
      <c r="H33" s="821"/>
      <c r="I33" s="821"/>
      <c r="J33" s="821"/>
      <c r="K33" s="821"/>
    </row>
    <row r="34" spans="1:15" ht="15.6" customHeight="1" x14ac:dyDescent="0.2">
      <c r="A34" s="510"/>
      <c r="B34" s="821"/>
      <c r="C34" s="821"/>
      <c r="D34" s="821"/>
      <c r="E34" s="821"/>
      <c r="F34" s="821"/>
      <c r="G34" s="821"/>
      <c r="H34" s="821"/>
      <c r="I34" s="821"/>
      <c r="J34" s="821"/>
      <c r="K34" s="821"/>
    </row>
    <row r="35" spans="1:15" x14ac:dyDescent="0.2">
      <c r="A35" s="510"/>
      <c r="B35" s="821"/>
      <c r="C35" s="821"/>
      <c r="D35" s="821"/>
      <c r="E35" s="821"/>
      <c r="F35" s="821"/>
      <c r="G35" s="821"/>
      <c r="H35" s="821"/>
      <c r="I35" s="821"/>
      <c r="J35" s="821"/>
      <c r="K35" s="821"/>
      <c r="O35" s="509" t="s">
        <v>1000</v>
      </c>
    </row>
    <row r="36" spans="1:15" x14ac:dyDescent="0.2">
      <c r="A36" s="510"/>
      <c r="B36" s="821"/>
      <c r="C36" s="821"/>
      <c r="D36" s="821"/>
      <c r="E36" s="821"/>
      <c r="F36" s="821"/>
      <c r="G36" s="821"/>
      <c r="H36" s="821"/>
      <c r="I36" s="821"/>
      <c r="J36" s="821"/>
      <c r="K36" s="821"/>
    </row>
    <row r="37" spans="1:15" x14ac:dyDescent="0.2">
      <c r="A37" s="510"/>
      <c r="B37" s="821"/>
      <c r="C37" s="821"/>
      <c r="D37" s="821"/>
      <c r="E37" s="821"/>
      <c r="F37" s="821"/>
      <c r="G37" s="821"/>
      <c r="H37" s="821"/>
      <c r="I37" s="821"/>
      <c r="J37" s="821"/>
      <c r="K37" s="821"/>
      <c r="O37" s="509" t="s">
        <v>1020</v>
      </c>
    </row>
    <row r="38" spans="1:15" ht="15.75" x14ac:dyDescent="0.25">
      <c r="A38" s="510"/>
      <c r="B38" s="513" t="s">
        <v>1010</v>
      </c>
      <c r="C38" s="510"/>
      <c r="D38" s="510"/>
      <c r="E38" s="510"/>
      <c r="F38" s="535" t="s">
        <v>114</v>
      </c>
    </row>
    <row r="39" spans="1:15" x14ac:dyDescent="0.2">
      <c r="A39" s="510"/>
      <c r="B39" s="663" t="s">
        <v>1883</v>
      </c>
      <c r="C39" s="510"/>
      <c r="D39" s="510"/>
      <c r="E39" s="510"/>
      <c r="F39" s="510"/>
      <c r="O39" s="509" t="s">
        <v>1028</v>
      </c>
    </row>
    <row r="40" spans="1:15" ht="15.75" x14ac:dyDescent="0.2">
      <c r="B40" s="507" t="s">
        <v>36</v>
      </c>
    </row>
    <row r="41" spans="1:15" x14ac:dyDescent="0.2">
      <c r="A41" s="510"/>
      <c r="B41" s="506" t="s">
        <v>1011</v>
      </c>
      <c r="C41" s="510"/>
      <c r="D41" s="510"/>
      <c r="E41" s="732"/>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1797</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11"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12"/>
      <c r="D7" s="227"/>
      <c r="E7" s="809">
        <v>1</v>
      </c>
      <c r="F7" s="814"/>
      <c r="G7" s="809">
        <v>2</v>
      </c>
      <c r="H7" s="810"/>
      <c r="I7" s="809">
        <v>3</v>
      </c>
      <c r="J7" s="814"/>
      <c r="K7" s="809">
        <v>4</v>
      </c>
      <c r="L7" s="810"/>
      <c r="M7" s="814">
        <v>5</v>
      </c>
      <c r="N7" s="810"/>
      <c r="O7" s="809">
        <v>6</v>
      </c>
      <c r="P7" s="810"/>
      <c r="Q7" s="809">
        <v>6</v>
      </c>
      <c r="R7" s="810"/>
      <c r="S7" s="809">
        <v>7</v>
      </c>
      <c r="T7" s="810"/>
      <c r="U7" s="809">
        <v>8</v>
      </c>
      <c r="V7" s="810"/>
      <c r="W7" s="809">
        <v>9</v>
      </c>
      <c r="X7" s="810"/>
      <c r="Y7" s="809">
        <v>10</v>
      </c>
      <c r="Z7" s="810"/>
      <c r="AA7" s="310"/>
      <c r="AJ7" s="437" t="s">
        <v>678</v>
      </c>
      <c r="AK7" s="442"/>
      <c r="AL7" s="70"/>
      <c r="AM7" s="442"/>
      <c r="AN7" s="439"/>
    </row>
    <row r="8" spans="2:42" ht="16.5" thickBot="1" x14ac:dyDescent="0.3">
      <c r="B8" s="230" t="s">
        <v>870</v>
      </c>
      <c r="C8" s="813"/>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11"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16"/>
      <c r="D64" s="227"/>
      <c r="E64" s="809">
        <v>1</v>
      </c>
      <c r="F64" s="814"/>
      <c r="G64" s="809">
        <v>2</v>
      </c>
      <c r="H64" s="810"/>
      <c r="I64" s="809">
        <v>3</v>
      </c>
      <c r="J64" s="814"/>
      <c r="K64" s="809">
        <v>4</v>
      </c>
      <c r="L64" s="810"/>
      <c r="M64" s="814">
        <v>5</v>
      </c>
      <c r="N64" s="810"/>
      <c r="O64" s="809">
        <v>6</v>
      </c>
      <c r="P64" s="810"/>
      <c r="Q64" s="809">
        <v>7</v>
      </c>
      <c r="R64" s="810"/>
      <c r="S64" s="809">
        <v>8</v>
      </c>
      <c r="T64" s="810"/>
      <c r="U64" s="820">
        <v>9</v>
      </c>
      <c r="V64" s="820"/>
      <c r="W64" s="814">
        <v>10</v>
      </c>
      <c r="X64" s="810"/>
      <c r="Y64" s="809">
        <v>11</v>
      </c>
      <c r="Z64" s="810"/>
      <c r="AA64" s="310"/>
    </row>
    <row r="65" spans="2:27" ht="16.5" thickBot="1" x14ac:dyDescent="0.3">
      <c r="B65" s="230" t="s">
        <v>717</v>
      </c>
      <c r="C65" s="817"/>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1891</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6" sqref="A36"/>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1781</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1782</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1783</v>
      </c>
    </row>
    <row r="48" spans="1:3" x14ac:dyDescent="0.25">
      <c r="A48" t="s">
        <v>1784</v>
      </c>
    </row>
    <row r="50" spans="1:1" x14ac:dyDescent="0.25">
      <c r="A50" t="s">
        <v>1787</v>
      </c>
    </row>
    <row r="51" spans="1:1" x14ac:dyDescent="0.25">
      <c r="A51" t="s">
        <v>1786</v>
      </c>
    </row>
    <row r="53" spans="1:1" x14ac:dyDescent="0.25">
      <c r="A53" t="s">
        <v>1785</v>
      </c>
    </row>
    <row r="54" spans="1:1" x14ac:dyDescent="0.25">
      <c r="A54" t="s">
        <v>1788</v>
      </c>
    </row>
    <row r="56" spans="1:1" x14ac:dyDescent="0.25">
      <c r="A56" t="s">
        <v>1789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26" t="s">
        <v>226</v>
      </c>
      <c r="C1" s="827"/>
      <c r="D1" s="827"/>
      <c r="E1" s="827"/>
      <c r="F1" s="828"/>
    </row>
    <row r="2" spans="2:10" x14ac:dyDescent="0.25">
      <c r="B2" s="829"/>
      <c r="C2" s="830"/>
      <c r="D2" s="830"/>
      <c r="E2" s="830"/>
      <c r="F2" s="831"/>
    </row>
    <row r="3" spans="2:10" x14ac:dyDescent="0.25">
      <c r="B3" s="829"/>
      <c r="C3" s="830"/>
      <c r="D3" s="830"/>
      <c r="E3" s="830"/>
      <c r="F3" s="831"/>
    </row>
    <row r="4" spans="2:10" x14ac:dyDescent="0.25">
      <c r="B4" s="829"/>
      <c r="C4" s="830"/>
      <c r="D4" s="830"/>
      <c r="E4" s="830"/>
      <c r="F4" s="831"/>
    </row>
    <row r="5" spans="2:10" x14ac:dyDescent="0.25">
      <c r="B5" s="829"/>
      <c r="C5" s="830"/>
      <c r="D5" s="830"/>
      <c r="E5" s="830"/>
      <c r="F5" s="831"/>
    </row>
    <row r="6" spans="2:10" x14ac:dyDescent="0.25">
      <c r="B6" s="829"/>
      <c r="C6" s="830"/>
      <c r="D6" s="830"/>
      <c r="E6" s="830"/>
      <c r="F6" s="831"/>
    </row>
    <row r="7" spans="2:10" x14ac:dyDescent="0.25">
      <c r="B7" s="829"/>
      <c r="C7" s="830"/>
      <c r="D7" s="830"/>
      <c r="E7" s="830"/>
      <c r="F7" s="831"/>
    </row>
    <row r="8" spans="2:10" x14ac:dyDescent="0.25">
      <c r="B8" s="829"/>
      <c r="C8" s="830"/>
      <c r="D8" s="830"/>
      <c r="E8" s="830"/>
      <c r="F8" s="831"/>
    </row>
    <row r="9" spans="2:10" x14ac:dyDescent="0.25">
      <c r="B9" s="829"/>
      <c r="C9" s="830"/>
      <c r="D9" s="830"/>
      <c r="E9" s="830"/>
      <c r="F9" s="831"/>
    </row>
    <row r="10" spans="2:10" x14ac:dyDescent="0.25">
      <c r="B10" s="829"/>
      <c r="C10" s="830"/>
      <c r="D10" s="830"/>
      <c r="E10" s="830"/>
      <c r="F10" s="831"/>
    </row>
    <row r="11" spans="2:10" ht="15.75" thickBot="1" x14ac:dyDescent="0.3">
      <c r="B11" s="832"/>
      <c r="C11" s="833"/>
      <c r="D11" s="833"/>
      <c r="E11" s="833"/>
      <c r="F11" s="834"/>
    </row>
    <row r="12" spans="2:10" ht="15.75" thickBot="1" x14ac:dyDescent="0.3"/>
    <row r="13" spans="2:10" x14ac:dyDescent="0.25">
      <c r="B13" s="1"/>
      <c r="F13" s="75" t="s">
        <v>192</v>
      </c>
      <c r="G13" s="64"/>
    </row>
    <row r="14" spans="2:10" x14ac:dyDescent="0.25">
      <c r="B14" s="420" t="s">
        <v>1420</v>
      </c>
      <c r="F14" s="65"/>
      <c r="G14" s="68"/>
    </row>
    <row r="15" spans="2:10" x14ac:dyDescent="0.25">
      <c r="B15" s="835" t="s">
        <v>1423</v>
      </c>
      <c r="C15" s="835"/>
      <c r="D15" s="835"/>
      <c r="F15" s="65" t="s">
        <v>185</v>
      </c>
      <c r="G15" s="126" t="s">
        <v>187</v>
      </c>
      <c r="I15" t="s">
        <v>285</v>
      </c>
      <c r="J15" s="42"/>
    </row>
    <row r="16" spans="2:10" x14ac:dyDescent="0.25">
      <c r="B16" s="835"/>
      <c r="C16" s="835"/>
      <c r="D16" s="835"/>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36" t="s">
        <v>1929</v>
      </c>
      <c r="C19" s="836"/>
      <c r="D19" s="836"/>
      <c r="F19" s="65" t="s">
        <v>190</v>
      </c>
      <c r="G19" s="181" t="e">
        <f>IF(G15="months",G16/12,G16)</f>
        <v>#DIV/0!</v>
      </c>
      <c r="I19" s="41"/>
    </row>
    <row r="20" spans="2:16" x14ac:dyDescent="0.25">
      <c r="B20" s="836"/>
      <c r="C20" s="836"/>
      <c r="D20" s="836"/>
      <c r="F20" s="65" t="s">
        <v>193</v>
      </c>
      <c r="G20" s="78"/>
      <c r="I20" s="12"/>
    </row>
    <row r="21" spans="2:16" x14ac:dyDescent="0.25">
      <c r="B21" s="836"/>
      <c r="C21" s="836"/>
      <c r="D21" s="836"/>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22" t="s">
        <v>222</v>
      </c>
      <c r="K32" s="823"/>
      <c r="L32" s="823"/>
      <c r="M32" s="823"/>
      <c r="N32" s="63"/>
      <c r="O32" s="63"/>
      <c r="P32" s="64"/>
    </row>
    <row r="33" spans="2:16" x14ac:dyDescent="0.25">
      <c r="B33" s="113" t="s">
        <v>195</v>
      </c>
      <c r="C33" s="114"/>
      <c r="D33" s="115"/>
      <c r="F33" s="113" t="s">
        <v>219</v>
      </c>
      <c r="G33" s="114"/>
      <c r="H33" s="115"/>
      <c r="J33" s="824"/>
      <c r="K33" s="825"/>
      <c r="L33" s="825"/>
      <c r="M33" s="825"/>
      <c r="N33" s="66"/>
      <c r="O33" s="66"/>
      <c r="P33" s="68"/>
    </row>
    <row r="34" spans="2:16" x14ac:dyDescent="0.25">
      <c r="B34" s="496" t="s">
        <v>1421</v>
      </c>
      <c r="C34" s="66"/>
      <c r="D34" s="68"/>
      <c r="F34" s="829" t="s">
        <v>1928</v>
      </c>
      <c r="G34" s="830"/>
      <c r="H34" s="831"/>
      <c r="J34" s="824"/>
      <c r="K34" s="825"/>
      <c r="L34" s="825"/>
      <c r="M34" s="825"/>
      <c r="N34" s="85"/>
      <c r="O34" s="66"/>
      <c r="P34" s="68"/>
    </row>
    <row r="35" spans="2:16" x14ac:dyDescent="0.25">
      <c r="B35" s="65" t="s">
        <v>199</v>
      </c>
      <c r="C35" s="96"/>
      <c r="D35" s="68"/>
      <c r="F35" s="829"/>
      <c r="G35" s="830"/>
      <c r="H35" s="831"/>
      <c r="J35" s="65" t="s">
        <v>220</v>
      </c>
      <c r="K35" s="66"/>
      <c r="L35" s="66"/>
      <c r="M35" s="66"/>
      <c r="N35" s="70"/>
      <c r="O35" s="66"/>
      <c r="P35" s="68"/>
    </row>
    <row r="36" spans="2:16" x14ac:dyDescent="0.25">
      <c r="B36" s="65" t="s">
        <v>196</v>
      </c>
      <c r="C36" s="105" t="e">
        <f>-G24</f>
        <v>#DIV/0!</v>
      </c>
      <c r="D36" s="68"/>
      <c r="F36" s="829"/>
      <c r="G36" s="830"/>
      <c r="H36" s="831"/>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27"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1759</v>
      </c>
      <c r="I58" s="420" t="s">
        <v>1761</v>
      </c>
    </row>
    <row r="59" spans="2:16" x14ac:dyDescent="0.25">
      <c r="B59" s="420" t="s">
        <v>1760</v>
      </c>
    </row>
    <row r="60" spans="2:16" x14ac:dyDescent="0.25">
      <c r="B60" s="420" t="s">
        <v>1762</v>
      </c>
    </row>
    <row r="61" spans="2:16" x14ac:dyDescent="0.25">
      <c r="B61" s="420" t="s">
        <v>1859</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1974</v>
      </c>
      <c r="C65" s="95">
        <v>20</v>
      </c>
      <c r="D65" s="44">
        <v>44592</v>
      </c>
      <c r="E65" s="44"/>
      <c r="F65" s="45"/>
      <c r="G65" s="46">
        <v>7.0000000000000007E-2</v>
      </c>
      <c r="H65" s="47">
        <f t="shared" ref="H65:H71" si="0">YEARFRAC(D65,$E$63)*12</f>
        <v>8</v>
      </c>
      <c r="I65" s="98">
        <f>G65*(H65-F65)/12*C65</f>
        <v>0.93333333333333335</v>
      </c>
    </row>
    <row r="66" spans="2:11" x14ac:dyDescent="0.25">
      <c r="B66" s="48" t="s">
        <v>1975</v>
      </c>
      <c r="C66" s="96">
        <v>37</v>
      </c>
      <c r="D66" s="50">
        <v>44592</v>
      </c>
      <c r="E66" s="50"/>
      <c r="F66" s="51"/>
      <c r="G66" s="52">
        <v>7.0000000000000007E-2</v>
      </c>
      <c r="H66" s="53">
        <f t="shared" si="0"/>
        <v>8</v>
      </c>
      <c r="I66" s="54">
        <f>G66*(H66-F66)/12*C66</f>
        <v>1.7266666666666668</v>
      </c>
    </row>
    <row r="67" spans="2:11" x14ac:dyDescent="0.25">
      <c r="B67" s="48" t="s">
        <v>1976</v>
      </c>
      <c r="C67" s="96">
        <v>140</v>
      </c>
      <c r="D67" s="50">
        <v>44592</v>
      </c>
      <c r="E67" s="49"/>
      <c r="F67" s="51"/>
      <c r="G67" s="55">
        <v>7.0000000000000007E-2</v>
      </c>
      <c r="H67" s="53">
        <f t="shared" si="0"/>
        <v>8</v>
      </c>
      <c r="I67" s="54">
        <f t="shared" ref="I67:I71" si="1">G67*(H67-F67)/12*C67</f>
        <v>6.5333333333333332</v>
      </c>
    </row>
    <row r="68" spans="2:11" x14ac:dyDescent="0.25">
      <c r="B68" s="48" t="s">
        <v>1976</v>
      </c>
      <c r="C68" s="96">
        <v>140</v>
      </c>
      <c r="D68" s="50">
        <v>44620</v>
      </c>
      <c r="E68" s="49"/>
      <c r="F68" s="51"/>
      <c r="G68" s="55">
        <v>7.0000000000000007E-2</v>
      </c>
      <c r="H68" s="53">
        <f t="shared" si="0"/>
        <v>7</v>
      </c>
      <c r="I68" s="54">
        <f t="shared" si="1"/>
        <v>5.7166666666666677</v>
      </c>
    </row>
    <row r="69" spans="2:11" x14ac:dyDescent="0.25">
      <c r="B69" s="48" t="s">
        <v>1977</v>
      </c>
      <c r="C69" s="96">
        <v>140</v>
      </c>
      <c r="D69" s="50">
        <v>44651</v>
      </c>
      <c r="E69" s="49"/>
      <c r="F69" s="51"/>
      <c r="G69" s="55">
        <v>7.0000000000000007E-2</v>
      </c>
      <c r="H69" s="53">
        <f t="shared" si="0"/>
        <v>6</v>
      </c>
      <c r="I69" s="54">
        <f t="shared" si="1"/>
        <v>4.9000000000000004</v>
      </c>
    </row>
    <row r="70" spans="2:11" x14ac:dyDescent="0.25">
      <c r="B70" s="48" t="s">
        <v>1978</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1763</v>
      </c>
      <c r="J82" s="733">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37" t="s">
        <v>418</v>
      </c>
      <c r="C1" s="838"/>
      <c r="D1" t="s">
        <v>305</v>
      </c>
    </row>
    <row r="2" spans="2:10" x14ac:dyDescent="0.25">
      <c r="B2" s="839"/>
      <c r="C2" s="840"/>
    </row>
    <row r="3" spans="2:10" x14ac:dyDescent="0.25">
      <c r="B3" s="839"/>
      <c r="C3" s="840"/>
    </row>
    <row r="4" spans="2:10" x14ac:dyDescent="0.25">
      <c r="B4" s="839"/>
      <c r="C4" s="840"/>
    </row>
    <row r="5" spans="2:10" x14ac:dyDescent="0.25">
      <c r="B5" s="839"/>
      <c r="C5" s="840"/>
    </row>
    <row r="6" spans="2:10" x14ac:dyDescent="0.25">
      <c r="B6" s="839"/>
      <c r="C6" s="840"/>
    </row>
    <row r="7" spans="2:10" ht="15.75" thickBot="1" x14ac:dyDescent="0.3">
      <c r="B7" s="841"/>
      <c r="C7" s="842"/>
    </row>
    <row r="8" spans="2:10" ht="15.75" thickBot="1" x14ac:dyDescent="0.3">
      <c r="J8" s="1" t="s">
        <v>1930</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57"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65" t="s">
        <v>1858</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14">
        <v>1</v>
      </c>
      <c r="G2" s="814"/>
    </row>
    <row r="3" spans="1:15" ht="29.45" customHeight="1" thickBot="1" x14ac:dyDescent="0.3">
      <c r="A3" s="575" t="s">
        <v>717</v>
      </c>
      <c r="B3" s="694" t="s">
        <v>20</v>
      </c>
      <c r="C3" s="694" t="s">
        <v>1182</v>
      </c>
      <c r="D3" s="694" t="s">
        <v>1732</v>
      </c>
      <c r="E3" s="719" t="s">
        <v>1183</v>
      </c>
      <c r="F3" s="293" t="s">
        <v>718</v>
      </c>
      <c r="G3" s="283" t="s">
        <v>719</v>
      </c>
      <c r="K3" s="75" t="s">
        <v>1184</v>
      </c>
      <c r="L3" s="84"/>
      <c r="M3" s="84"/>
      <c r="N3" s="84"/>
      <c r="O3" s="120"/>
    </row>
    <row r="4" spans="1:15" ht="15.75" x14ac:dyDescent="0.25">
      <c r="A4" s="689"/>
      <c r="B4" s="695" t="s">
        <v>10</v>
      </c>
      <c r="C4" s="571" t="s">
        <v>10</v>
      </c>
      <c r="D4" s="696" t="s">
        <v>10</v>
      </c>
      <c r="E4" s="720" t="s">
        <v>10</v>
      </c>
      <c r="F4" s="293" t="s">
        <v>10</v>
      </c>
      <c r="G4" s="283" t="s">
        <v>10</v>
      </c>
      <c r="K4" s="65" t="s">
        <v>1185</v>
      </c>
      <c r="L4" s="66"/>
      <c r="M4" s="66"/>
      <c r="N4" s="66"/>
      <c r="O4" s="78"/>
    </row>
    <row r="5" spans="1:15" ht="24.95" customHeight="1" x14ac:dyDescent="0.25">
      <c r="A5" s="690" t="s">
        <v>58</v>
      </c>
      <c r="B5" s="759"/>
      <c r="C5" s="760"/>
      <c r="D5" s="697">
        <f>B5-C5</f>
        <v>0</v>
      </c>
      <c r="E5" s="721">
        <f>B5-C5</f>
        <v>0</v>
      </c>
      <c r="F5" s="295"/>
      <c r="G5" s="325"/>
      <c r="K5" s="65"/>
      <c r="L5" s="66"/>
      <c r="M5" s="66"/>
      <c r="N5" s="66"/>
      <c r="O5" s="79"/>
    </row>
    <row r="6" spans="1:15" ht="15.75" x14ac:dyDescent="0.25">
      <c r="A6" s="690"/>
      <c r="B6" s="698"/>
      <c r="C6" s="330"/>
      <c r="D6" s="699"/>
      <c r="E6" s="722"/>
      <c r="F6" s="295"/>
      <c r="G6" s="325"/>
      <c r="K6" s="65" t="s">
        <v>1187</v>
      </c>
      <c r="L6" s="66"/>
      <c r="M6" s="66"/>
      <c r="N6" s="66"/>
      <c r="O6" s="78"/>
    </row>
    <row r="7" spans="1:15" ht="15.75" x14ac:dyDescent="0.25">
      <c r="A7" s="690"/>
      <c r="B7" s="698"/>
      <c r="C7" s="330"/>
      <c r="D7" s="699"/>
      <c r="E7" s="722"/>
      <c r="F7" s="295"/>
      <c r="G7" s="325"/>
      <c r="K7" s="65" t="s">
        <v>865</v>
      </c>
      <c r="L7" s="66"/>
      <c r="M7" s="66"/>
      <c r="N7" s="66"/>
      <c r="O7" s="78"/>
    </row>
    <row r="8" spans="1:15" ht="18.95" customHeight="1" x14ac:dyDescent="0.25">
      <c r="A8" s="689" t="s">
        <v>67</v>
      </c>
      <c r="B8" s="761"/>
      <c r="C8" s="762"/>
      <c r="D8" s="700">
        <f>B8-C8</f>
        <v>0</v>
      </c>
      <c r="E8" s="721">
        <f>B8-C8</f>
        <v>0</v>
      </c>
      <c r="F8" s="295"/>
      <c r="G8" s="325"/>
      <c r="K8" s="65" t="s">
        <v>1186</v>
      </c>
      <c r="L8" s="66"/>
      <c r="M8" s="66"/>
      <c r="N8" s="66"/>
      <c r="O8" s="79">
        <f>O6-O7</f>
        <v>0</v>
      </c>
    </row>
    <row r="9" spans="1:15" ht="15.75" x14ac:dyDescent="0.25">
      <c r="A9" s="689"/>
      <c r="B9" s="701"/>
      <c r="C9" s="284"/>
      <c r="D9" s="702"/>
      <c r="E9" s="723"/>
      <c r="F9" s="295"/>
      <c r="G9" s="325"/>
      <c r="K9" s="65"/>
      <c r="L9" s="66"/>
      <c r="M9" s="66"/>
      <c r="N9" s="66"/>
      <c r="O9" s="79"/>
    </row>
    <row r="10" spans="1:15" ht="16.5" thickBot="1" x14ac:dyDescent="0.3">
      <c r="A10" s="689"/>
      <c r="B10" s="698"/>
      <c r="C10" s="330"/>
      <c r="D10" s="699"/>
      <c r="E10" s="722"/>
      <c r="F10" s="295"/>
      <c r="G10" s="325"/>
      <c r="K10" s="72" t="s">
        <v>1188</v>
      </c>
      <c r="L10" s="73"/>
      <c r="M10" s="73"/>
      <c r="N10" s="73"/>
      <c r="O10" s="99">
        <f>O4+O8</f>
        <v>0</v>
      </c>
    </row>
    <row r="11" spans="1:15" ht="15.75" x14ac:dyDescent="0.25">
      <c r="A11" s="689" t="s">
        <v>720</v>
      </c>
      <c r="B11" s="703">
        <f>B5-B8</f>
        <v>0</v>
      </c>
      <c r="C11" s="290">
        <f>C5-C8</f>
        <v>0</v>
      </c>
      <c r="D11" s="704">
        <f>D5-D8</f>
        <v>0</v>
      </c>
      <c r="E11" s="724">
        <f>E5-E8</f>
        <v>0</v>
      </c>
      <c r="F11" s="294"/>
      <c r="G11" s="284"/>
    </row>
    <row r="12" spans="1:15" ht="15.75" x14ac:dyDescent="0.25">
      <c r="A12" s="689" t="s">
        <v>95</v>
      </c>
      <c r="B12" s="761"/>
      <c r="C12" s="762"/>
      <c r="D12" s="700">
        <f>B12-C12</f>
        <v>0</v>
      </c>
      <c r="E12" s="721">
        <f>SUM(B12:C12)</f>
        <v>0</v>
      </c>
      <c r="F12" s="295"/>
      <c r="G12" s="325"/>
    </row>
    <row r="13" spans="1:15" ht="15.75" x14ac:dyDescent="0.25">
      <c r="A13" s="689"/>
      <c r="B13" s="701"/>
      <c r="C13" s="284"/>
      <c r="D13" s="702"/>
      <c r="E13" s="723"/>
      <c r="F13" s="295"/>
      <c r="G13" s="325"/>
    </row>
    <row r="14" spans="1:15" ht="15.75" x14ac:dyDescent="0.25">
      <c r="A14" s="689"/>
      <c r="B14" s="701"/>
      <c r="C14" s="284"/>
      <c r="D14" s="702"/>
      <c r="E14" s="723"/>
      <c r="F14" s="295"/>
      <c r="G14" s="325"/>
      <c r="K14" t="s">
        <v>1733</v>
      </c>
    </row>
    <row r="15" spans="1:15" ht="15.75" x14ac:dyDescent="0.25">
      <c r="A15" s="689" t="s">
        <v>721</v>
      </c>
      <c r="B15" s="763"/>
      <c r="C15" s="764"/>
      <c r="D15" s="706">
        <f>B15-C15</f>
        <v>0</v>
      </c>
      <c r="E15" s="721">
        <f>B15-C15</f>
        <v>0</v>
      </c>
      <c r="F15" s="295"/>
      <c r="G15" s="325"/>
    </row>
    <row r="16" spans="1:15" ht="15.75" x14ac:dyDescent="0.25">
      <c r="A16" s="689"/>
      <c r="B16" s="701"/>
      <c r="C16" s="284"/>
      <c r="D16" s="702"/>
      <c r="E16" s="723"/>
      <c r="F16" s="295"/>
      <c r="G16" s="325"/>
      <c r="K16" s="420" t="s">
        <v>1942</v>
      </c>
    </row>
    <row r="17" spans="1:11" ht="15.75" x14ac:dyDescent="0.25">
      <c r="A17" s="689"/>
      <c r="B17" s="701"/>
      <c r="C17" s="284"/>
      <c r="D17" s="702"/>
      <c r="E17" s="723"/>
      <c r="F17" s="295"/>
      <c r="G17" s="325"/>
      <c r="K17" s="420" t="s">
        <v>1943</v>
      </c>
    </row>
    <row r="18" spans="1:11" ht="15.75" x14ac:dyDescent="0.25">
      <c r="A18" s="689" t="s">
        <v>722</v>
      </c>
      <c r="B18" s="763"/>
      <c r="C18" s="764"/>
      <c r="D18" s="706">
        <f>B18-C18</f>
        <v>0</v>
      </c>
      <c r="E18" s="721">
        <f>B18-C18</f>
        <v>0</v>
      </c>
      <c r="F18" s="295"/>
      <c r="G18" s="325"/>
      <c r="K18" s="420" t="s">
        <v>1944</v>
      </c>
    </row>
    <row r="19" spans="1:11" ht="15.75" x14ac:dyDescent="0.25">
      <c r="A19" s="689"/>
      <c r="B19" s="701"/>
      <c r="C19" s="284"/>
      <c r="D19" s="699"/>
      <c r="E19" s="723"/>
      <c r="F19" s="295"/>
      <c r="G19" s="325"/>
    </row>
    <row r="20" spans="1:11" ht="15.75" x14ac:dyDescent="0.25">
      <c r="A20" s="689" t="str">
        <f>IF(C20&gt;0,"Gain on Disposal","Loss on disposal")</f>
        <v>Loss on disposal</v>
      </c>
      <c r="B20" s="705"/>
      <c r="C20" s="688">
        <f>O8</f>
        <v>0</v>
      </c>
      <c r="D20" s="706"/>
      <c r="E20" s="723"/>
      <c r="F20" s="295"/>
      <c r="G20" s="325"/>
      <c r="K20" s="420" t="s">
        <v>1945</v>
      </c>
    </row>
    <row r="21" spans="1:11" ht="15.75" x14ac:dyDescent="0.25">
      <c r="A21" s="689"/>
      <c r="B21" s="701"/>
      <c r="C21" s="284"/>
      <c r="D21" s="707"/>
      <c r="E21" s="723"/>
      <c r="F21" s="295"/>
      <c r="G21" s="325"/>
      <c r="K21" s="420" t="s">
        <v>1946</v>
      </c>
    </row>
    <row r="22" spans="1:11" ht="15.75" x14ac:dyDescent="0.25">
      <c r="A22" s="689"/>
      <c r="B22" s="701"/>
      <c r="C22" s="284"/>
      <c r="D22" s="702"/>
      <c r="E22" s="723"/>
      <c r="F22" s="295"/>
      <c r="G22" s="325"/>
      <c r="K22" s="420" t="s">
        <v>1931</v>
      </c>
    </row>
    <row r="23" spans="1:11" ht="15.75" x14ac:dyDescent="0.25">
      <c r="A23" s="689" t="s">
        <v>723</v>
      </c>
      <c r="B23" s="759"/>
      <c r="C23" s="760"/>
      <c r="D23" s="697">
        <f>B23-C23</f>
        <v>0</v>
      </c>
      <c r="E23" s="721">
        <f>B23-C23</f>
        <v>0</v>
      </c>
      <c r="F23" s="295"/>
      <c r="G23" s="325"/>
      <c r="K23" s="420" t="s">
        <v>1932</v>
      </c>
    </row>
    <row r="24" spans="1:11" ht="15.75" x14ac:dyDescent="0.25">
      <c r="A24" s="689"/>
      <c r="B24" s="701"/>
      <c r="C24" s="284"/>
      <c r="D24" s="702"/>
      <c r="E24" s="723"/>
      <c r="F24" s="295"/>
      <c r="G24" s="325"/>
      <c r="K24" s="420"/>
    </row>
    <row r="25" spans="1:11" ht="15.75" x14ac:dyDescent="0.25">
      <c r="A25" s="689"/>
      <c r="B25" s="701"/>
      <c r="C25" s="284"/>
      <c r="D25" s="702"/>
      <c r="E25" s="723"/>
      <c r="F25" s="295"/>
      <c r="G25" s="325"/>
      <c r="K25" s="420" t="s">
        <v>1933</v>
      </c>
    </row>
    <row r="26" spans="1:11" ht="15.75" x14ac:dyDescent="0.25">
      <c r="A26" s="689" t="s">
        <v>631</v>
      </c>
      <c r="B26" s="763"/>
      <c r="C26" s="764"/>
      <c r="D26" s="706">
        <f>B26-C26</f>
        <v>0</v>
      </c>
      <c r="E26" s="721">
        <f>B26-C26</f>
        <v>0</v>
      </c>
      <c r="F26" s="295"/>
      <c r="G26" s="325"/>
      <c r="K26" s="420" t="s">
        <v>1934</v>
      </c>
    </row>
    <row r="27" spans="1:11" ht="15.75" x14ac:dyDescent="0.25">
      <c r="A27" s="689"/>
      <c r="B27" s="701"/>
      <c r="C27" s="284"/>
      <c r="D27" s="702"/>
      <c r="E27" s="723"/>
      <c r="F27" s="295"/>
      <c r="G27" s="325"/>
      <c r="K27" s="420" t="s">
        <v>1935</v>
      </c>
    </row>
    <row r="28" spans="1:11" ht="15.75" x14ac:dyDescent="0.25">
      <c r="A28" s="689"/>
      <c r="B28" s="701"/>
      <c r="C28" s="284"/>
      <c r="D28" s="702"/>
      <c r="E28" s="723"/>
      <c r="F28" s="295"/>
      <c r="G28" s="325"/>
      <c r="K28" s="420" t="s">
        <v>1936</v>
      </c>
    </row>
    <row r="29" spans="1:11" ht="15.75" x14ac:dyDescent="0.25">
      <c r="A29" s="689" t="s">
        <v>647</v>
      </c>
      <c r="B29" s="759"/>
      <c r="C29" s="760"/>
      <c r="D29" s="697">
        <f>B29-C29</f>
        <v>0</v>
      </c>
      <c r="E29" s="721">
        <f>B29-C29</f>
        <v>0</v>
      </c>
      <c r="F29" s="295"/>
      <c r="G29" s="325"/>
      <c r="K29" s="420" t="s">
        <v>1937</v>
      </c>
    </row>
    <row r="30" spans="1:11" ht="15.75" x14ac:dyDescent="0.25">
      <c r="A30" s="689"/>
      <c r="B30" s="701"/>
      <c r="C30" s="284"/>
      <c r="D30" s="702"/>
      <c r="E30" s="723"/>
      <c r="F30" s="295"/>
      <c r="G30" s="325"/>
      <c r="K30" s="420"/>
    </row>
    <row r="31" spans="1:11" ht="15.75" x14ac:dyDescent="0.25">
      <c r="A31" s="689"/>
      <c r="B31" s="708"/>
      <c r="C31" s="354"/>
      <c r="D31" s="709"/>
      <c r="E31" s="725"/>
      <c r="F31" s="295"/>
      <c r="G31" s="325"/>
      <c r="K31" s="420" t="s">
        <v>1938</v>
      </c>
    </row>
    <row r="32" spans="1:11" ht="39.950000000000003" customHeight="1" x14ac:dyDescent="0.25">
      <c r="A32" s="690" t="s">
        <v>724</v>
      </c>
      <c r="B32" s="710">
        <f>B11+B12-B15-B18-B23-B26+B29</f>
        <v>0</v>
      </c>
      <c r="C32" s="291">
        <f>C11+C12-C15-C18-C23-C26+C29+C20</f>
        <v>0</v>
      </c>
      <c r="D32" s="711">
        <f>D11+D12-D15-D18-D23-D26+D29+D20</f>
        <v>0</v>
      </c>
      <c r="E32" s="726">
        <f>E11+E12-E15-E18-E23-E26+E29</f>
        <v>0</v>
      </c>
      <c r="F32" s="294"/>
      <c r="G32" s="284"/>
    </row>
    <row r="33" spans="1:11" ht="15.75" x14ac:dyDescent="0.25">
      <c r="A33" s="689" t="s">
        <v>1</v>
      </c>
      <c r="B33" s="757"/>
      <c r="C33" s="758"/>
      <c r="D33" s="712">
        <f>B33-C33</f>
        <v>0</v>
      </c>
      <c r="E33" s="727">
        <f>B33-C33</f>
        <v>0</v>
      </c>
      <c r="F33" s="360"/>
      <c r="G33" s="326"/>
      <c r="K33" s="420" t="s">
        <v>1939</v>
      </c>
    </row>
    <row r="34" spans="1:11" ht="15.75" x14ac:dyDescent="0.25">
      <c r="A34" s="691"/>
      <c r="B34" s="713"/>
      <c r="C34" s="288"/>
      <c r="D34" s="707"/>
      <c r="E34" s="728"/>
      <c r="F34" s="360"/>
      <c r="G34" s="326"/>
      <c r="K34" s="420" t="s">
        <v>1940</v>
      </c>
    </row>
    <row r="35" spans="1:11" ht="15.75" x14ac:dyDescent="0.25">
      <c r="A35" s="691"/>
      <c r="B35" s="701"/>
      <c r="C35" s="284"/>
      <c r="D35" s="702"/>
      <c r="E35" s="723"/>
      <c r="F35" s="360"/>
      <c r="G35" s="326"/>
    </row>
    <row r="36" spans="1:11" ht="61.5" customHeight="1" x14ac:dyDescent="0.25">
      <c r="A36" s="692" t="s">
        <v>727</v>
      </c>
      <c r="B36" s="714">
        <f>B32-B33</f>
        <v>0</v>
      </c>
      <c r="C36" s="356">
        <f>C32-C33</f>
        <v>0</v>
      </c>
      <c r="D36" s="715">
        <f>D32-D33</f>
        <v>0</v>
      </c>
      <c r="E36" s="729">
        <f>E32-E33</f>
        <v>0</v>
      </c>
      <c r="F36" s="361"/>
      <c r="G36" s="327"/>
      <c r="K36" s="622" t="s">
        <v>1941</v>
      </c>
    </row>
    <row r="37" spans="1:11" ht="39" customHeight="1" x14ac:dyDescent="0.25">
      <c r="A37" s="689" t="s">
        <v>728</v>
      </c>
      <c r="B37" s="716"/>
      <c r="C37" s="356"/>
      <c r="D37" s="715"/>
      <c r="E37" s="715">
        <f>-C36</f>
        <v>0</v>
      </c>
      <c r="F37" s="566"/>
      <c r="G37" s="564"/>
      <c r="K37" s="420" t="s">
        <v>1947</v>
      </c>
    </row>
    <row r="38" spans="1:11" ht="45.95" customHeight="1" thickBot="1" x14ac:dyDescent="0.3">
      <c r="A38" s="693" t="s">
        <v>730</v>
      </c>
      <c r="B38" s="717">
        <f>B36-B37</f>
        <v>0</v>
      </c>
      <c r="C38" s="576">
        <f>C36-C37</f>
        <v>0</v>
      </c>
      <c r="D38" s="718">
        <f>D36-D37</f>
        <v>0</v>
      </c>
      <c r="E38" s="718">
        <f>E36-E37</f>
        <v>0</v>
      </c>
      <c r="F38" s="567"/>
      <c r="G38" s="565"/>
      <c r="K38" s="495" t="s">
        <v>1949</v>
      </c>
    </row>
    <row r="39" spans="1:11" x14ac:dyDescent="0.25">
      <c r="A39" s="568"/>
      <c r="B39" s="569"/>
      <c r="C39" s="569"/>
      <c r="D39" s="569"/>
      <c r="E39" s="565"/>
      <c r="F39" s="349"/>
      <c r="G39" s="329"/>
      <c r="K39" s="420" t="s">
        <v>1948</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1965</v>
      </c>
    </row>
    <row r="17" spans="2:15" x14ac:dyDescent="0.25">
      <c r="B17" s="835" t="s">
        <v>1966</v>
      </c>
      <c r="C17" s="835"/>
      <c r="D17" s="835"/>
      <c r="F17" s="495"/>
      <c r="J17" s="420"/>
    </row>
    <row r="18" spans="2:15" x14ac:dyDescent="0.25">
      <c r="B18" s="835"/>
      <c r="C18" s="835"/>
      <c r="D18" s="835"/>
      <c r="F18" s="495"/>
      <c r="J18" s="420"/>
    </row>
    <row r="19" spans="2:15" x14ac:dyDescent="0.25">
      <c r="B19" s="835"/>
      <c r="C19" s="835"/>
      <c r="D19" s="835"/>
      <c r="F19" s="495"/>
      <c r="J19" s="420"/>
    </row>
    <row r="20" spans="2:15" x14ac:dyDescent="0.25">
      <c r="B20" s="835"/>
      <c r="C20" s="835"/>
      <c r="D20" s="835"/>
      <c r="F20" s="495"/>
      <c r="J20" s="420"/>
    </row>
    <row r="21" spans="2:15" x14ac:dyDescent="0.25">
      <c r="B21" s="835"/>
      <c r="C21" s="835"/>
      <c r="D21" s="835"/>
      <c r="F21" s="495"/>
      <c r="J21" s="420"/>
    </row>
    <row r="22" spans="2:15" x14ac:dyDescent="0.25">
      <c r="B22" s="835"/>
      <c r="C22" s="835"/>
      <c r="D22" s="835"/>
      <c r="F22" s="495"/>
      <c r="J22" s="420"/>
    </row>
    <row r="23" spans="2:15" x14ac:dyDescent="0.25">
      <c r="B23" s="835"/>
      <c r="C23" s="835"/>
      <c r="D23" s="835"/>
      <c r="F23" s="495"/>
      <c r="J23" s="420"/>
    </row>
    <row r="24" spans="2:15" x14ac:dyDescent="0.25">
      <c r="B24" s="835"/>
      <c r="C24" s="835"/>
      <c r="D24" s="835"/>
      <c r="F24" s="495"/>
      <c r="J24" s="420"/>
    </row>
    <row r="25" spans="2:15" x14ac:dyDescent="0.25">
      <c r="B25" s="835"/>
      <c r="C25" s="835"/>
      <c r="D25" s="835"/>
      <c r="F25" s="495"/>
      <c r="J25" s="420"/>
    </row>
    <row r="26" spans="2:15" x14ac:dyDescent="0.25">
      <c r="B26" s="835"/>
      <c r="C26" s="835"/>
      <c r="D26" s="835"/>
      <c r="F26" s="495"/>
    </row>
    <row r="27" spans="2:15" ht="61.5" customHeight="1" x14ac:dyDescent="0.25">
      <c r="B27" s="177" t="s">
        <v>427</v>
      </c>
      <c r="C27" s="37" t="s">
        <v>432</v>
      </c>
      <c r="D27" s="194"/>
      <c r="F27" s="420" t="s">
        <v>1449</v>
      </c>
      <c r="J27" s="769"/>
      <c r="K27" s="29"/>
      <c r="L27" s="29"/>
      <c r="M27" s="29"/>
      <c r="N27" s="29"/>
      <c r="O27" s="29"/>
    </row>
    <row r="28" spans="2:15" ht="57.95" customHeight="1" x14ac:dyDescent="0.25">
      <c r="B28" s="177" t="s">
        <v>428</v>
      </c>
      <c r="C28" s="37" t="s">
        <v>432</v>
      </c>
      <c r="D28" s="687"/>
      <c r="J28" s="29"/>
      <c r="K28" s="29"/>
      <c r="L28" s="29"/>
      <c r="M28" s="29"/>
      <c r="N28" s="29"/>
      <c r="O28" s="29"/>
    </row>
    <row r="29" spans="2:15" ht="30" x14ac:dyDescent="0.25">
      <c r="B29" s="177" t="s">
        <v>429</v>
      </c>
      <c r="C29" s="37" t="s">
        <v>432</v>
      </c>
      <c r="D29" s="194"/>
      <c r="E29" s="620" t="s">
        <v>435</v>
      </c>
      <c r="F29" s="420" t="s">
        <v>1450</v>
      </c>
    </row>
    <row r="30" spans="2:15" ht="30" x14ac:dyDescent="0.25">
      <c r="B30" s="177" t="s">
        <v>1727</v>
      </c>
      <c r="C30" s="37" t="s">
        <v>432</v>
      </c>
      <c r="D30" s="3"/>
      <c r="F30" s="420" t="s">
        <v>1666</v>
      </c>
    </row>
    <row r="31" spans="2:15" ht="60" x14ac:dyDescent="0.25">
      <c r="B31" s="177" t="s">
        <v>430</v>
      </c>
      <c r="C31" s="37" t="s">
        <v>432</v>
      </c>
      <c r="D31" s="687"/>
    </row>
    <row r="32" spans="2:15" ht="45" x14ac:dyDescent="0.25">
      <c r="B32" s="177" t="s">
        <v>431</v>
      </c>
      <c r="C32" s="37" t="s">
        <v>432</v>
      </c>
      <c r="D32" s="687"/>
    </row>
    <row r="34" spans="2:10" x14ac:dyDescent="0.25">
      <c r="B34" s="177" t="s">
        <v>434</v>
      </c>
      <c r="C34" t="str">
        <f>IF(AND(C27="MET",C28="MET",C29="MET",C30="MET",C31="MET",C32="MET"),"Expenditure must be capitalised","Expenditure must be recognised as an expense")</f>
        <v>Expenditure must be capitalised</v>
      </c>
    </row>
    <row r="36" spans="2:10" x14ac:dyDescent="0.25">
      <c r="B36" s="621" t="s">
        <v>1967</v>
      </c>
    </row>
    <row r="37" spans="2:10" x14ac:dyDescent="0.25">
      <c r="B37" s="420" t="s">
        <v>1728</v>
      </c>
      <c r="C37" s="16"/>
      <c r="D37" s="1"/>
      <c r="E37" s="1"/>
      <c r="F37" s="1"/>
      <c r="G37" s="16"/>
    </row>
    <row r="38" spans="2:10" x14ac:dyDescent="0.25">
      <c r="B38" s="420" t="s">
        <v>1969</v>
      </c>
      <c r="D38" s="1"/>
      <c r="F38" s="1"/>
    </row>
    <row r="39" spans="2:10" x14ac:dyDescent="0.25">
      <c r="B39" s="1" t="s">
        <v>437</v>
      </c>
      <c r="C39" s="16" t="s">
        <v>141</v>
      </c>
      <c r="D39" s="1"/>
      <c r="E39" s="1" t="s">
        <v>1964</v>
      </c>
      <c r="F39" s="1"/>
      <c r="G39" s="16" t="s">
        <v>141</v>
      </c>
    </row>
    <row r="40" spans="2:10" x14ac:dyDescent="0.25">
      <c r="B40" s="3"/>
      <c r="C40" s="3"/>
      <c r="E40" s="731"/>
      <c r="F40" s="3"/>
      <c r="G40" s="27"/>
    </row>
    <row r="41" spans="2:10" x14ac:dyDescent="0.25">
      <c r="B41" s="3"/>
      <c r="C41" s="3"/>
      <c r="E41" s="3"/>
      <c r="F41" s="3"/>
      <c r="G41" s="3"/>
      <c r="J41" s="420" t="s">
        <v>436</v>
      </c>
    </row>
    <row r="42" spans="2:10" x14ac:dyDescent="0.25">
      <c r="B42" s="3"/>
      <c r="C42" s="3"/>
      <c r="E42" s="3"/>
      <c r="F42" s="3"/>
      <c r="G42" s="3"/>
      <c r="J42" s="420" t="s">
        <v>1866</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1968</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67"/>
      <c r="H51" s="768"/>
    </row>
    <row r="52" spans="2:8" x14ac:dyDescent="0.25">
      <c r="B52" s="65" t="s">
        <v>203</v>
      </c>
      <c r="C52" s="100"/>
      <c r="G52" s="183"/>
      <c r="H52" s="183"/>
    </row>
    <row r="53" spans="2:8" x14ac:dyDescent="0.25">
      <c r="B53" s="65" t="s">
        <v>285</v>
      </c>
      <c r="C53" s="635"/>
      <c r="G53" s="183"/>
      <c r="H53" s="183"/>
    </row>
    <row r="54" spans="2:8" x14ac:dyDescent="0.25">
      <c r="B54" s="65" t="s">
        <v>286</v>
      </c>
      <c r="C54" s="635"/>
      <c r="E54" s="12"/>
      <c r="G54" s="183"/>
      <c r="H54" s="183"/>
    </row>
    <row r="55" spans="2:8" x14ac:dyDescent="0.25">
      <c r="B55" s="65" t="s">
        <v>189</v>
      </c>
      <c r="C55" s="636"/>
      <c r="G55" s="183"/>
      <c r="H55" s="183"/>
    </row>
    <row r="56" spans="2:8" x14ac:dyDescent="0.25">
      <c r="B56" s="65" t="s">
        <v>190</v>
      </c>
      <c r="C56" s="181" t="e">
        <f>IF(C50="months",C51/12,C51)</f>
        <v>#DIV/0!</v>
      </c>
      <c r="E56" s="420" t="s">
        <v>1892</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43" t="s">
        <v>222</v>
      </c>
      <c r="H66" s="844"/>
      <c r="I66" s="844"/>
      <c r="J66" s="844"/>
      <c r="K66" s="63"/>
      <c r="L66" s="64"/>
    </row>
    <row r="67" spans="2:12" x14ac:dyDescent="0.25">
      <c r="B67" s="65"/>
      <c r="C67" s="66"/>
      <c r="D67" s="68"/>
      <c r="G67" s="845"/>
      <c r="H67" s="846"/>
      <c r="I67" s="846"/>
      <c r="J67" s="846"/>
      <c r="K67" s="66"/>
      <c r="L67" s="68"/>
    </row>
    <row r="68" spans="2:12" x14ac:dyDescent="0.25">
      <c r="B68" s="65" t="s">
        <v>441</v>
      </c>
      <c r="C68" s="96"/>
      <c r="D68" s="68"/>
      <c r="G68" s="845"/>
      <c r="H68" s="846"/>
      <c r="I68" s="846"/>
      <c r="J68" s="846"/>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8" t="s">
        <v>1664</v>
      </c>
      <c r="G75" s="65"/>
      <c r="H75" s="66"/>
      <c r="I75" s="66"/>
      <c r="J75" s="66"/>
      <c r="K75" s="66"/>
      <c r="L75" s="68"/>
    </row>
    <row r="76" spans="2:12" x14ac:dyDescent="0.25">
      <c r="B76" s="578"/>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zoomScaleNormal="100" workbookViewId="0">
      <selection activeCell="D10" sqref="D10"/>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45107</v>
      </c>
    </row>
    <row r="2" spans="2:17" x14ac:dyDescent="0.25">
      <c r="B2" t="s">
        <v>1141</v>
      </c>
      <c r="D2" s="41">
        <f>EOMONTH(E1,-5)</f>
        <v>44957</v>
      </c>
      <c r="E2" s="562">
        <v>44940</v>
      </c>
      <c r="F2" s="420" t="s">
        <v>1142</v>
      </c>
      <c r="M2" t="s">
        <v>1143</v>
      </c>
      <c r="O2" s="3">
        <v>2800</v>
      </c>
      <c r="Q2" t="s">
        <v>1738</v>
      </c>
    </row>
    <row r="3" spans="2:17" x14ac:dyDescent="0.25">
      <c r="B3" t="s">
        <v>1144</v>
      </c>
      <c r="D3" s="41">
        <f>EOMONTH(E2,3)</f>
        <v>45046</v>
      </c>
      <c r="E3" s="42">
        <v>45030</v>
      </c>
      <c r="M3" t="s">
        <v>89</v>
      </c>
      <c r="O3" s="3"/>
      <c r="Q3" s="420" t="s">
        <v>1151</v>
      </c>
    </row>
    <row r="4" spans="2:17" x14ac:dyDescent="0.25">
      <c r="B4" t="s">
        <v>1145</v>
      </c>
      <c r="D4" s="41">
        <f>EOMONTH(E3,3)</f>
        <v>45138</v>
      </c>
      <c r="E4" s="42">
        <v>45121</v>
      </c>
      <c r="H4" s="41"/>
      <c r="O4" s="3"/>
      <c r="Q4" s="420" t="s">
        <v>1195</v>
      </c>
    </row>
    <row r="5" spans="2:17" x14ac:dyDescent="0.25">
      <c r="B5" t="s">
        <v>1146</v>
      </c>
      <c r="D5" s="41">
        <f>EOMONTH(D4,3)</f>
        <v>45230</v>
      </c>
      <c r="E5" s="42">
        <v>45213</v>
      </c>
      <c r="O5">
        <f>SUM(O2:O4)</f>
        <v>2800</v>
      </c>
      <c r="Q5" s="420"/>
    </row>
    <row r="6" spans="2:17" x14ac:dyDescent="0.25">
      <c r="D6" s="41"/>
      <c r="M6" t="s">
        <v>1148</v>
      </c>
      <c r="O6" s="3">
        <f>O5*0.19</f>
        <v>532</v>
      </c>
      <c r="Q6" s="420" t="s">
        <v>1196</v>
      </c>
    </row>
    <row r="7" spans="2:17" x14ac:dyDescent="0.25">
      <c r="B7" t="s">
        <v>1740</v>
      </c>
      <c r="D7" s="41"/>
    </row>
    <row r="8" spans="2:17" x14ac:dyDescent="0.25">
      <c r="B8" s="420" t="s">
        <v>1194</v>
      </c>
      <c r="G8" t="s">
        <v>1147</v>
      </c>
      <c r="J8" s="14">
        <v>170</v>
      </c>
    </row>
    <row r="9" spans="2:17" x14ac:dyDescent="0.25">
      <c r="B9" t="s">
        <v>1149</v>
      </c>
      <c r="D9" s="14">
        <v>195</v>
      </c>
      <c r="G9" t="s">
        <v>1150</v>
      </c>
      <c r="J9" s="14">
        <v>177</v>
      </c>
      <c r="M9" t="s">
        <v>1154</v>
      </c>
      <c r="O9" s="3"/>
    </row>
    <row r="10" spans="2:17" x14ac:dyDescent="0.25">
      <c r="B10" t="s">
        <v>1152</v>
      </c>
      <c r="D10" s="14">
        <v>32</v>
      </c>
      <c r="G10" t="s">
        <v>1153</v>
      </c>
      <c r="J10" s="577">
        <f>J9-J8</f>
        <v>7</v>
      </c>
    </row>
    <row r="12" spans="2:17" x14ac:dyDescent="0.25">
      <c r="B12" t="s">
        <v>1155</v>
      </c>
      <c r="D12" s="12">
        <f>D9</f>
        <v>195</v>
      </c>
    </row>
    <row r="13" spans="2:17" x14ac:dyDescent="0.25">
      <c r="B13" t="s">
        <v>407</v>
      </c>
      <c r="E13" s="12">
        <f>D10</f>
        <v>32</v>
      </c>
      <c r="G13" t="str">
        <f>IF(J10&lt;0,"DR SPL - Taxation","CR SPL - Taxation")</f>
        <v>CR SPL - Taxation</v>
      </c>
      <c r="J13" s="32">
        <f>IF($J$10&lt;0,-$J$10,0)</f>
        <v>0</v>
      </c>
      <c r="K13" s="32">
        <f>IF($J$10&gt;0,$J$10,0)</f>
        <v>7</v>
      </c>
      <c r="M13" t="s">
        <v>1156</v>
      </c>
      <c r="O13">
        <f>O9</f>
        <v>0</v>
      </c>
    </row>
    <row r="14" spans="2:17" x14ac:dyDescent="0.25">
      <c r="B14" t="s">
        <v>1157</v>
      </c>
      <c r="E14" s="12">
        <f>D9-D10</f>
        <v>163</v>
      </c>
      <c r="G14" t="str">
        <f>IF(J10&lt;0,"CR Current tax payable","DR Current tax payable")</f>
        <v>DR Current tax payable</v>
      </c>
      <c r="J14" s="32">
        <f>IF($J$10&gt;0,$J$10,0)</f>
        <v>7</v>
      </c>
      <c r="K14" s="32">
        <f>IF($J$10&lt;0,-$J$10,0)</f>
        <v>0</v>
      </c>
      <c r="M14" t="s">
        <v>1158</v>
      </c>
      <c r="P14">
        <f>O9</f>
        <v>0</v>
      </c>
    </row>
    <row r="16" spans="2:17" x14ac:dyDescent="0.25">
      <c r="G16" t="s">
        <v>1739</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23" t="s">
        <v>1741</v>
      </c>
      <c r="D23" s="420"/>
      <c r="E23" s="420"/>
      <c r="F23" s="420"/>
    </row>
    <row r="24" spans="2:8" x14ac:dyDescent="0.25">
      <c r="B24" s="420" t="s">
        <v>1742</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71"/>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55"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56">
        <v>41364</v>
      </c>
      <c r="B10" s="14">
        <v>40000000</v>
      </c>
      <c r="C10" s="14">
        <v>28000000</v>
      </c>
      <c r="D10" s="654">
        <f>IF(B4="DTA",-(B10-C10),B10-C10)</f>
        <v>12000000</v>
      </c>
      <c r="E10" s="653">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55"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54">
        <f>IF(B16="DTA",-(B25-C25),B25-C25)</f>
        <v>0</v>
      </c>
      <c r="E25" s="653">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55"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54">
        <f>IF(B32="DTA",-(B41-C41),B41-C41)</f>
        <v>0</v>
      </c>
      <c r="E41" s="653">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55"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54">
        <f>IF(B47="DTA",-(B56-C56),B56-C56)</f>
        <v>0</v>
      </c>
      <c r="E56" s="653">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35" t="s">
        <v>1841</v>
      </c>
      <c r="I61" s="835"/>
      <c r="J61" s="835"/>
      <c r="K61" s="835"/>
      <c r="L61" s="835"/>
      <c r="M61" s="835"/>
      <c r="N61" s="835"/>
      <c r="O61" s="835"/>
      <c r="P61" s="835"/>
      <c r="Q61" s="835"/>
      <c r="R61" s="835"/>
      <c r="S61" s="835"/>
      <c r="T61" s="835"/>
      <c r="U61" s="835"/>
      <c r="V61" s="835"/>
      <c r="W61" s="835"/>
    </row>
    <row r="62" spans="1:23" x14ac:dyDescent="0.25">
      <c r="H62" s="835"/>
      <c r="I62" s="835"/>
      <c r="J62" s="835"/>
      <c r="K62" s="835"/>
      <c r="L62" s="835"/>
      <c r="M62" s="835"/>
      <c r="N62" s="835"/>
      <c r="O62" s="835"/>
      <c r="P62" s="835"/>
      <c r="Q62" s="835"/>
      <c r="R62" s="835"/>
      <c r="S62" s="835"/>
      <c r="T62" s="835"/>
      <c r="U62" s="835"/>
      <c r="V62" s="835"/>
      <c r="W62" s="835"/>
    </row>
    <row r="63" spans="1:23" x14ac:dyDescent="0.25">
      <c r="H63" s="835"/>
      <c r="I63" s="835"/>
      <c r="J63" s="835"/>
      <c r="K63" s="835"/>
      <c r="L63" s="835"/>
      <c r="M63" s="835"/>
      <c r="N63" s="835"/>
      <c r="O63" s="835"/>
      <c r="P63" s="835"/>
      <c r="Q63" s="835"/>
      <c r="R63" s="835"/>
      <c r="S63" s="835"/>
      <c r="T63" s="835"/>
      <c r="U63" s="835"/>
      <c r="V63" s="835"/>
      <c r="W63" s="835"/>
    </row>
    <row r="64" spans="1:23" ht="15.75" thickBot="1" x14ac:dyDescent="0.3">
      <c r="H64" s="835"/>
      <c r="I64" s="835"/>
      <c r="J64" s="835"/>
      <c r="K64" s="835"/>
      <c r="L64" s="835"/>
      <c r="M64" s="835"/>
      <c r="N64" s="835"/>
      <c r="O64" s="835"/>
      <c r="P64" s="835"/>
      <c r="Q64" s="835"/>
      <c r="R64" s="835"/>
      <c r="S64" s="835"/>
      <c r="T64" s="835"/>
      <c r="U64" s="835"/>
      <c r="V64" s="835"/>
      <c r="W64" s="835"/>
    </row>
    <row r="65" spans="1:26" x14ac:dyDescent="0.25">
      <c r="A65" s="62"/>
      <c r="B65" s="63"/>
      <c r="C65" s="63"/>
      <c r="D65" s="63"/>
      <c r="E65" s="63"/>
      <c r="F65" s="64"/>
      <c r="H65" s="835" t="str">
        <f>"As there are £"&amp;SUMIF(D68:D77,"&gt;0")&amp;" of taxable temporary differences as at …, all deductible differences can be recognised"</f>
        <v>As there are £2400 of taxable temporary differences as at …, all deductible differences can be recognised</v>
      </c>
      <c r="I65" s="835"/>
      <c r="J65" s="835"/>
      <c r="K65" s="835"/>
      <c r="L65" s="835"/>
      <c r="M65" s="835"/>
      <c r="N65" s="835"/>
      <c r="O65" s="835"/>
      <c r="P65" s="835"/>
      <c r="Q65" s="835"/>
      <c r="R65" s="835"/>
      <c r="S65" s="835"/>
      <c r="T65" s="835"/>
      <c r="U65" s="835"/>
      <c r="V65" s="835"/>
      <c r="W65" s="835"/>
    </row>
    <row r="66" spans="1:26" x14ac:dyDescent="0.25">
      <c r="A66" s="65" t="s">
        <v>1645</v>
      </c>
      <c r="B66" s="52">
        <v>0.25</v>
      </c>
      <c r="C66" s="66"/>
      <c r="D66" s="66"/>
      <c r="E66" s="66"/>
      <c r="F66" s="68"/>
      <c r="H66" s="835"/>
      <c r="I66" s="835"/>
      <c r="J66" s="835"/>
      <c r="K66" s="835"/>
      <c r="L66" s="835"/>
      <c r="M66" s="835"/>
      <c r="N66" s="835"/>
      <c r="O66" s="835"/>
      <c r="P66" s="835"/>
      <c r="Q66" s="835"/>
      <c r="R66" s="835"/>
      <c r="S66" s="835"/>
      <c r="T66" s="835"/>
      <c r="U66" s="835"/>
      <c r="V66" s="835"/>
      <c r="W66" s="835"/>
    </row>
    <row r="67" spans="1:26" x14ac:dyDescent="0.25">
      <c r="A67" s="65"/>
      <c r="B67" s="152" t="s">
        <v>233</v>
      </c>
      <c r="C67" s="152" t="s">
        <v>1509</v>
      </c>
      <c r="D67" s="152" t="s">
        <v>1521</v>
      </c>
      <c r="E67" s="152" t="s">
        <v>1838</v>
      </c>
      <c r="F67" s="68"/>
      <c r="H67" s="835"/>
      <c r="I67" s="835"/>
      <c r="J67" s="835"/>
      <c r="K67" s="835"/>
      <c r="L67" s="835"/>
      <c r="M67" s="835"/>
      <c r="N67" s="835"/>
      <c r="O67" s="835"/>
      <c r="P67" s="835"/>
      <c r="Q67" s="835"/>
      <c r="R67" s="835"/>
      <c r="S67" s="835"/>
      <c r="T67" s="835"/>
      <c r="U67" s="835"/>
      <c r="V67" s="835"/>
      <c r="W67" s="835"/>
    </row>
    <row r="68" spans="1:26" x14ac:dyDescent="0.25">
      <c r="A68" s="65" t="s">
        <v>1526</v>
      </c>
      <c r="B68" s="70">
        <v>2400</v>
      </c>
      <c r="C68" s="70"/>
      <c r="D68" s="673">
        <f t="shared" ref="D68:D74" si="0">B68-C68</f>
        <v>2400</v>
      </c>
      <c r="E68" s="85">
        <f t="shared" ref="E68:E74" si="1">D68*$B$66</f>
        <v>600</v>
      </c>
      <c r="F68" s="68"/>
    </row>
    <row r="69" spans="1:26" x14ac:dyDescent="0.25">
      <c r="A69" s="65" t="s">
        <v>1517</v>
      </c>
      <c r="B69" s="70"/>
      <c r="C69" s="70"/>
      <c r="D69" s="673">
        <f t="shared" si="0"/>
        <v>0</v>
      </c>
      <c r="E69" s="85">
        <f t="shared" si="1"/>
        <v>0</v>
      </c>
      <c r="F69" s="68"/>
    </row>
    <row r="70" spans="1:26" x14ac:dyDescent="0.25">
      <c r="A70" s="65" t="s">
        <v>1518</v>
      </c>
      <c r="B70" s="70"/>
      <c r="C70" s="70"/>
      <c r="D70" s="673">
        <f t="shared" si="0"/>
        <v>0</v>
      </c>
      <c r="E70" s="85">
        <f t="shared" si="1"/>
        <v>0</v>
      </c>
      <c r="F70" s="68"/>
      <c r="G70" s="420"/>
    </row>
    <row r="71" spans="1:26" x14ac:dyDescent="0.25">
      <c r="A71" s="65" t="s">
        <v>1519</v>
      </c>
      <c r="B71" s="70"/>
      <c r="C71" s="70"/>
      <c r="D71" s="673">
        <f>B71-C71</f>
        <v>0</v>
      </c>
      <c r="E71" s="85">
        <f t="shared" si="1"/>
        <v>0</v>
      </c>
      <c r="F71" s="68"/>
      <c r="H71" s="420" t="s">
        <v>1840</v>
      </c>
    </row>
    <row r="72" spans="1:26" x14ac:dyDescent="0.25">
      <c r="A72" s="65" t="s">
        <v>1520</v>
      </c>
      <c r="B72" s="70"/>
      <c r="C72" s="70"/>
      <c r="D72" s="673">
        <f>B72-C72</f>
        <v>0</v>
      </c>
      <c r="E72" s="85">
        <f t="shared" si="1"/>
        <v>0</v>
      </c>
      <c r="F72" s="68"/>
      <c r="H72" s="420" t="s">
        <v>1671</v>
      </c>
    </row>
    <row r="73" spans="1:26" x14ac:dyDescent="0.25">
      <c r="A73" s="65" t="s">
        <v>1136</v>
      </c>
      <c r="B73" s="70"/>
      <c r="C73" s="70"/>
      <c r="D73" s="673">
        <f t="shared" si="0"/>
        <v>0</v>
      </c>
      <c r="E73" s="85">
        <f t="shared" si="1"/>
        <v>0</v>
      </c>
      <c r="F73" s="68"/>
      <c r="H73" s="420" t="s">
        <v>1839</v>
      </c>
    </row>
    <row r="74" spans="1:26" ht="14.45" customHeight="1" x14ac:dyDescent="0.25">
      <c r="A74" s="65" t="s">
        <v>1154</v>
      </c>
      <c r="B74" s="70"/>
      <c r="C74" s="70"/>
      <c r="D74" s="673">
        <f t="shared" si="0"/>
        <v>0</v>
      </c>
      <c r="E74" s="85">
        <f t="shared" si="1"/>
        <v>0</v>
      </c>
      <c r="F74" s="68"/>
      <c r="H74" s="835"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35"/>
      <c r="J74" s="835"/>
      <c r="K74" s="835"/>
      <c r="L74" s="835"/>
      <c r="M74" s="835"/>
      <c r="N74" s="835"/>
      <c r="O74" s="835"/>
      <c r="P74" s="835"/>
      <c r="Q74" s="835"/>
      <c r="R74" s="835"/>
      <c r="S74" s="835"/>
      <c r="T74" s="835"/>
      <c r="U74" s="835"/>
      <c r="V74" s="835"/>
      <c r="W74" s="835"/>
    </row>
    <row r="75" spans="1:26" x14ac:dyDescent="0.25">
      <c r="A75" s="65"/>
      <c r="B75" s="66"/>
      <c r="C75" s="66"/>
      <c r="D75" s="673"/>
      <c r="E75" s="265">
        <f>SUM(E68:E74)</f>
        <v>600</v>
      </c>
      <c r="F75" s="68"/>
      <c r="H75" s="835"/>
      <c r="I75" s="835"/>
      <c r="J75" s="835"/>
      <c r="K75" s="835"/>
      <c r="L75" s="835"/>
      <c r="M75" s="835"/>
      <c r="N75" s="835"/>
      <c r="O75" s="835"/>
      <c r="P75" s="835"/>
      <c r="Q75" s="835"/>
      <c r="R75" s="835"/>
      <c r="S75" s="835"/>
      <c r="T75" s="835"/>
      <c r="U75" s="835"/>
      <c r="V75" s="835"/>
      <c r="W75" s="835"/>
    </row>
    <row r="76" spans="1:26" x14ac:dyDescent="0.25">
      <c r="A76" s="65"/>
      <c r="B76" s="66"/>
      <c r="C76" s="66"/>
      <c r="D76" s="66"/>
      <c r="E76" s="66"/>
      <c r="F76" s="68"/>
      <c r="H76" s="835"/>
      <c r="I76" s="835"/>
      <c r="J76" s="835"/>
      <c r="K76" s="835"/>
      <c r="L76" s="835"/>
      <c r="M76" s="835"/>
      <c r="N76" s="835"/>
      <c r="O76" s="835"/>
      <c r="P76" s="835"/>
      <c r="Q76" s="835"/>
      <c r="R76" s="835"/>
      <c r="S76" s="835"/>
      <c r="T76" s="835"/>
      <c r="U76" s="835"/>
      <c r="V76" s="835"/>
      <c r="W76" s="835"/>
      <c r="Y76" s="420" t="s">
        <v>1669</v>
      </c>
    </row>
    <row r="77" spans="1:26" x14ac:dyDescent="0.25">
      <c r="A77" s="65" t="s">
        <v>1734</v>
      </c>
      <c r="B77" s="70"/>
      <c r="C77" s="70">
        <v>0</v>
      </c>
      <c r="D77" s="673">
        <f>B77-C77</f>
        <v>0</v>
      </c>
      <c r="E77" s="674">
        <f>D77*$B$66</f>
        <v>0</v>
      </c>
      <c r="F77" s="68"/>
      <c r="H77" s="836" t="s">
        <v>1842</v>
      </c>
      <c r="I77" s="836"/>
      <c r="J77" s="836"/>
      <c r="K77" s="836"/>
      <c r="L77" s="836"/>
      <c r="M77" s="836"/>
      <c r="N77" s="836"/>
      <c r="O77" s="836"/>
      <c r="P77" s="836"/>
      <c r="Q77" s="836"/>
      <c r="R77" s="836"/>
      <c r="S77" s="836"/>
      <c r="T77" s="836"/>
      <c r="U77" s="836"/>
      <c r="V77" s="836"/>
      <c r="W77" s="836"/>
      <c r="Z77" s="495" t="s">
        <v>1523</v>
      </c>
    </row>
    <row r="78" spans="1:26" x14ac:dyDescent="0.25">
      <c r="A78" s="65"/>
      <c r="B78" s="66"/>
      <c r="C78" s="66"/>
      <c r="D78" s="66"/>
      <c r="E78" s="66"/>
      <c r="F78" s="68"/>
      <c r="H78" s="836"/>
      <c r="I78" s="836"/>
      <c r="J78" s="836"/>
      <c r="K78" s="836"/>
      <c r="L78" s="836"/>
      <c r="M78" s="836"/>
      <c r="N78" s="836"/>
      <c r="O78" s="836"/>
      <c r="P78" s="836"/>
      <c r="Q78" s="836"/>
      <c r="R78" s="836"/>
      <c r="S78" s="836"/>
      <c r="T78" s="836"/>
      <c r="U78" s="836"/>
      <c r="V78" s="836"/>
      <c r="W78" s="836"/>
      <c r="Z78" s="420" t="s">
        <v>1524</v>
      </c>
    </row>
    <row r="79" spans="1:26" x14ac:dyDescent="0.25">
      <c r="A79" s="65" t="s">
        <v>1646</v>
      </c>
      <c r="B79" s="66"/>
      <c r="C79" s="49"/>
      <c r="D79" s="66"/>
      <c r="E79" s="66"/>
      <c r="F79" s="68"/>
      <c r="H79" s="836"/>
      <c r="I79" s="836"/>
      <c r="J79" s="836"/>
      <c r="K79" s="836"/>
      <c r="L79" s="836"/>
      <c r="M79" s="836"/>
      <c r="N79" s="836"/>
      <c r="O79" s="836"/>
      <c r="P79" s="836"/>
      <c r="Q79" s="836"/>
      <c r="R79" s="836"/>
      <c r="S79" s="836"/>
      <c r="T79" s="836"/>
      <c r="U79" s="836"/>
      <c r="V79" s="836"/>
      <c r="W79" s="836"/>
      <c r="Z79" s="420" t="s">
        <v>1525</v>
      </c>
    </row>
    <row r="80" spans="1:26" x14ac:dyDescent="0.25">
      <c r="A80" s="65" t="s">
        <v>1735</v>
      </c>
      <c r="B80" s="66"/>
      <c r="C80" s="730">
        <f>E77-C79</f>
        <v>0</v>
      </c>
      <c r="D80" s="66"/>
      <c r="E80" s="66"/>
      <c r="F80" s="68"/>
      <c r="Z80" s="420"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0" t="s">
        <v>1736</v>
      </c>
    </row>
    <row r="86" spans="1:10" x14ac:dyDescent="0.25">
      <c r="A86" s="65"/>
      <c r="B86" s="66"/>
      <c r="C86" s="66"/>
      <c r="D86" s="66"/>
      <c r="E86" s="66"/>
      <c r="F86" s="68"/>
      <c r="J86" s="420"/>
    </row>
    <row r="87" spans="1:10" x14ac:dyDescent="0.25">
      <c r="A87" s="65"/>
      <c r="B87" s="66"/>
      <c r="C87" s="66"/>
      <c r="D87" s="66"/>
      <c r="E87" s="66"/>
      <c r="F87" s="68"/>
      <c r="H87" s="420"/>
    </row>
    <row r="88" spans="1:10" x14ac:dyDescent="0.25">
      <c r="A88" s="48" t="str">
        <f>IF(C85&lt;0,"DR DTL/DTA","CR DTL/DTA")</f>
        <v>CR DTL/DTA</v>
      </c>
      <c r="B88" s="66">
        <f>IF(C85&lt;0,-C85,0)</f>
        <v>0</v>
      </c>
      <c r="C88" s="17">
        <f>IF(C85&gt;0,C85,0)</f>
        <v>600</v>
      </c>
      <c r="D88" s="66"/>
      <c r="E88" s="66"/>
      <c r="F88" s="68"/>
      <c r="H88" s="420"/>
    </row>
    <row r="89" spans="1:10" x14ac:dyDescent="0.25">
      <c r="A89" s="48" t="str">
        <f>IF((E77-C79)&lt;0,"CR Revaluation surplus","DR Revaluation surplus")</f>
        <v>DR Revaluation surplus</v>
      </c>
      <c r="B89" s="17">
        <f>IF((E77-C79)&lt;0,0,E77-C79)</f>
        <v>0</v>
      </c>
      <c r="C89" s="66">
        <f>IF((E77-C79)&gt;0,0,-(E77-C79))</f>
        <v>0</v>
      </c>
      <c r="D89" s="66"/>
      <c r="E89" s="66"/>
      <c r="F89" s="68"/>
      <c r="H89" s="420"/>
    </row>
    <row r="90" spans="1:10" x14ac:dyDescent="0.25">
      <c r="A90" s="48" t="s">
        <v>1837</v>
      </c>
      <c r="B90" s="104">
        <f>IF(C85&gt;0,C88+C89-B89-B88,0)</f>
        <v>600</v>
      </c>
      <c r="C90" s="104">
        <f>IF(C85&lt;0,B88+B89-C88-C89,0)</f>
        <v>0</v>
      </c>
      <c r="D90" s="66"/>
      <c r="E90" s="66"/>
      <c r="F90" s="68"/>
      <c r="H90" s="420"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zoomScale="85" zoomScaleNormal="85" workbookViewId="0">
      <selection activeCell="N2" sqref="N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70" t="s">
        <v>1979</v>
      </c>
      <c r="C4" s="772">
        <v>240</v>
      </c>
      <c r="D4" s="772">
        <v>65</v>
      </c>
      <c r="E4" s="772">
        <v>6</v>
      </c>
      <c r="F4" s="772"/>
      <c r="G4" s="14"/>
      <c r="H4" s="14"/>
      <c r="I4" s="771">
        <v>21.571428571428573</v>
      </c>
      <c r="J4" s="12">
        <f>SUM(C4:I4)</f>
        <v>332.57142857142856</v>
      </c>
      <c r="K4" s="420" t="s">
        <v>457</v>
      </c>
      <c r="L4" s="3"/>
      <c r="M4" s="772">
        <v>67</v>
      </c>
      <c r="N4" s="14">
        <v>2047</v>
      </c>
    </row>
    <row r="5" spans="2:14" x14ac:dyDescent="0.25">
      <c r="B5" s="770" t="s">
        <v>1980</v>
      </c>
      <c r="C5" s="772">
        <v>150</v>
      </c>
      <c r="D5" s="772">
        <v>60</v>
      </c>
      <c r="E5" s="772">
        <v>5</v>
      </c>
      <c r="F5" s="772"/>
      <c r="G5" s="14"/>
      <c r="H5" s="14"/>
      <c r="I5" s="771">
        <v>21.571428571428573</v>
      </c>
      <c r="J5" s="12">
        <f>SUM(C5:I5)</f>
        <v>236.57142857142858</v>
      </c>
      <c r="K5" s="420"/>
      <c r="L5" s="3"/>
      <c r="M5" s="772">
        <v>48</v>
      </c>
      <c r="N5" s="3"/>
    </row>
    <row r="6" spans="2:14" x14ac:dyDescent="0.25">
      <c r="B6" s="770" t="s">
        <v>1981</v>
      </c>
      <c r="C6" s="772">
        <v>150</v>
      </c>
      <c r="D6" s="772">
        <v>60</v>
      </c>
      <c r="E6" s="772">
        <v>6</v>
      </c>
      <c r="F6" s="772"/>
      <c r="G6" s="14"/>
      <c r="H6" s="14"/>
      <c r="I6" s="771">
        <v>21.571428571428573</v>
      </c>
      <c r="J6" s="12">
        <f>SUM(C6:I6)</f>
        <v>237.57142857142858</v>
      </c>
      <c r="K6" s="420"/>
      <c r="L6" s="27"/>
      <c r="M6" s="772">
        <v>48</v>
      </c>
      <c r="N6" s="3"/>
    </row>
    <row r="7" spans="2:14" x14ac:dyDescent="0.25">
      <c r="B7" s="770" t="s">
        <v>1982</v>
      </c>
      <c r="C7" s="772">
        <v>150</v>
      </c>
      <c r="D7" s="772">
        <v>40</v>
      </c>
      <c r="E7" s="772">
        <v>2</v>
      </c>
      <c r="F7" s="772"/>
      <c r="G7" s="14"/>
      <c r="H7" s="14"/>
      <c r="I7" s="771">
        <v>21.571428571428573</v>
      </c>
      <c r="J7" s="12">
        <f t="shared" ref="J7:J8" si="0">SUM(C7:I7)</f>
        <v>213.57142857142858</v>
      </c>
      <c r="K7" s="420"/>
      <c r="L7" s="27"/>
      <c r="M7" s="772">
        <v>48</v>
      </c>
      <c r="N7" s="3"/>
    </row>
    <row r="8" spans="2:14" x14ac:dyDescent="0.25">
      <c r="B8" s="770" t="s">
        <v>1983</v>
      </c>
      <c r="C8" s="772">
        <v>120</v>
      </c>
      <c r="D8" s="772">
        <v>60</v>
      </c>
      <c r="E8" s="772">
        <v>4</v>
      </c>
      <c r="F8" s="772"/>
      <c r="G8" s="772">
        <v>25</v>
      </c>
      <c r="H8" s="14"/>
      <c r="I8" s="771">
        <v>21.571428571428573</v>
      </c>
      <c r="J8" s="12">
        <f t="shared" si="0"/>
        <v>230.57142857142858</v>
      </c>
      <c r="K8" s="420"/>
      <c r="L8" s="27"/>
      <c r="M8" s="772">
        <v>36</v>
      </c>
      <c r="N8" s="3"/>
    </row>
    <row r="9" spans="2:14" x14ac:dyDescent="0.25">
      <c r="B9" s="770" t="s">
        <v>1984</v>
      </c>
      <c r="C9" s="772">
        <v>120</v>
      </c>
      <c r="D9" s="772">
        <v>40</v>
      </c>
      <c r="E9" s="772">
        <v>2</v>
      </c>
      <c r="F9" s="772"/>
      <c r="G9" s="772">
        <v>15</v>
      </c>
      <c r="H9" s="14"/>
      <c r="I9" s="771">
        <v>21.571428571428573</v>
      </c>
      <c r="J9" s="12">
        <f>SUM(C9:I9)</f>
        <v>198.57142857142858</v>
      </c>
      <c r="K9" s="420"/>
      <c r="L9" s="3"/>
      <c r="M9" s="772">
        <v>36</v>
      </c>
      <c r="N9" s="3"/>
    </row>
    <row r="10" spans="2:14" x14ac:dyDescent="0.25">
      <c r="B10" s="770" t="s">
        <v>1985</v>
      </c>
      <c r="C10" s="772">
        <v>80</v>
      </c>
      <c r="D10" s="772">
        <v>0</v>
      </c>
      <c r="E10" s="772">
        <v>1</v>
      </c>
      <c r="F10" s="772"/>
      <c r="G10" s="14"/>
      <c r="H10" s="14"/>
      <c r="I10" s="771">
        <v>21.571428571428573</v>
      </c>
      <c r="J10" s="12">
        <f>SUM(C10:I10)</f>
        <v>102.57142857142857</v>
      </c>
      <c r="K10" s="420"/>
      <c r="L10" s="3"/>
      <c r="M10" s="772">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0" t="s">
        <v>1856</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5" t="s">
        <v>1855</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62"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0"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76" t="str">
        <f>"Compensation for loss of office of a director amounted to £"&amp;L11&amp;" which consisted of …"</f>
        <v>Compensation for loss of office of a director amounted to £0 which consisted of …</v>
      </c>
      <c r="C50" s="777"/>
      <c r="D50" s="777"/>
      <c r="E50" s="778"/>
    </row>
    <row r="51" spans="2:5" ht="13.5" customHeight="1" x14ac:dyDescent="0.25">
      <c r="B51" s="776"/>
      <c r="C51" s="777"/>
      <c r="D51" s="777"/>
      <c r="E51" s="778"/>
    </row>
    <row r="52" spans="2:5" s="183" customFormat="1" ht="15" customHeight="1" x14ac:dyDescent="0.25">
      <c r="B52" s="773" t="s">
        <v>903</v>
      </c>
      <c r="C52" s="774"/>
      <c r="D52" s="774"/>
      <c r="E52" s="775"/>
    </row>
    <row r="53" spans="2:5" x14ac:dyDescent="0.25">
      <c r="B53" s="48" t="s">
        <v>1857</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33" zoomScale="90" zoomScaleNormal="90" zoomScaleSheetLayoutView="50" workbookViewId="0">
      <selection activeCell="C59" sqref="C59"/>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1906</v>
      </c>
    </row>
    <row r="3" spans="1:9" ht="15" customHeight="1" x14ac:dyDescent="0.25">
      <c r="B3" s="865" t="s">
        <v>605</v>
      </c>
      <c r="C3" s="866"/>
      <c r="D3" s="866"/>
      <c r="E3" s="867"/>
      <c r="I3" s="420" t="s">
        <v>1907</v>
      </c>
    </row>
    <row r="4" spans="1:9" ht="24.75" customHeight="1" x14ac:dyDescent="0.25">
      <c r="B4" s="868" t="s">
        <v>1917</v>
      </c>
      <c r="C4" s="869"/>
      <c r="D4" s="869"/>
      <c r="E4" s="870"/>
      <c r="I4" s="495" t="s">
        <v>1404</v>
      </c>
    </row>
    <row r="5" spans="1:9" ht="22.5" customHeight="1" x14ac:dyDescent="0.25">
      <c r="B5" s="871" t="s">
        <v>401</v>
      </c>
      <c r="C5" s="872"/>
      <c r="D5" s="872"/>
      <c r="E5" s="873"/>
      <c r="I5" s="420" t="s">
        <v>1909</v>
      </c>
    </row>
    <row r="6" spans="1:9" ht="25.5" customHeight="1" x14ac:dyDescent="0.25">
      <c r="B6" s="868" t="s">
        <v>1915</v>
      </c>
      <c r="C6" s="869"/>
      <c r="D6" s="869"/>
      <c r="E6" s="870"/>
      <c r="I6" s="420" t="s">
        <v>1402</v>
      </c>
    </row>
    <row r="7" spans="1:9" x14ac:dyDescent="0.25">
      <c r="B7" s="850" t="s">
        <v>402</v>
      </c>
      <c r="C7" s="851"/>
      <c r="D7" s="851"/>
      <c r="E7" s="852"/>
      <c r="I7" s="420" t="s">
        <v>1403</v>
      </c>
    </row>
    <row r="8" spans="1:9" ht="35.25" customHeight="1" x14ac:dyDescent="0.25">
      <c r="B8" s="862" t="s">
        <v>1916</v>
      </c>
      <c r="C8" s="863"/>
      <c r="D8" s="863"/>
      <c r="E8" s="864"/>
    </row>
    <row r="9" spans="1:9" x14ac:dyDescent="0.25">
      <c r="B9" s="850" t="s">
        <v>403</v>
      </c>
      <c r="C9" s="851"/>
      <c r="D9" s="851"/>
      <c r="E9" s="852"/>
      <c r="F9" s="847" t="s">
        <v>1904</v>
      </c>
      <c r="G9" s="836"/>
      <c r="H9" s="836"/>
    </row>
    <row r="10" spans="1:9" ht="29.25" customHeight="1" x14ac:dyDescent="0.25">
      <c r="B10" s="862" t="s">
        <v>1913</v>
      </c>
      <c r="C10" s="863"/>
      <c r="D10" s="863"/>
      <c r="E10" s="864"/>
      <c r="F10" s="847"/>
      <c r="G10" s="836"/>
      <c r="H10" s="836"/>
    </row>
    <row r="11" spans="1:9" x14ac:dyDescent="0.25">
      <c r="B11" s="850" t="s">
        <v>404</v>
      </c>
      <c r="C11" s="851"/>
      <c r="D11" s="851"/>
      <c r="E11" s="852"/>
      <c r="F11" s="848" t="s">
        <v>1905</v>
      </c>
      <c r="G11" s="849"/>
      <c r="H11" s="849"/>
    </row>
    <row r="12" spans="1:9" ht="36" customHeight="1" thickBot="1" x14ac:dyDescent="0.3">
      <c r="B12" s="859" t="s">
        <v>1914</v>
      </c>
      <c r="C12" s="860"/>
      <c r="D12" s="860"/>
      <c r="E12" s="861"/>
      <c r="F12" s="848"/>
      <c r="G12" s="849"/>
      <c r="H12" s="849"/>
    </row>
    <row r="13" spans="1:9" x14ac:dyDescent="0.25">
      <c r="B13" s="751" t="s">
        <v>1912</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53" t="s">
        <v>1779</v>
      </c>
      <c r="C16" s="854"/>
      <c r="D16" s="854"/>
      <c r="E16" s="855"/>
    </row>
    <row r="17" spans="1:10" ht="15.75" thickBot="1" x14ac:dyDescent="0.3">
      <c r="B17" s="856"/>
      <c r="C17" s="857"/>
      <c r="D17" s="857"/>
      <c r="E17" s="858"/>
    </row>
    <row r="18" spans="1:10" ht="15.75" thickBot="1" x14ac:dyDescent="0.3">
      <c r="H18" s="420" t="s">
        <v>1908</v>
      </c>
    </row>
    <row r="19" spans="1:10" ht="15.75" thickBot="1" x14ac:dyDescent="0.3">
      <c r="A19" s="1">
        <v>3</v>
      </c>
      <c r="B19" s="157" t="s">
        <v>356</v>
      </c>
      <c r="C19" s="154"/>
      <c r="D19" s="155"/>
      <c r="H19" s="157" t="s">
        <v>410</v>
      </c>
      <c r="I19" s="173"/>
      <c r="J19" s="155"/>
    </row>
    <row r="20" spans="1:10" x14ac:dyDescent="0.25">
      <c r="B20" s="62"/>
      <c r="C20" s="63"/>
      <c r="D20" s="64" t="s">
        <v>141</v>
      </c>
      <c r="E20" s="420" t="s">
        <v>1925</v>
      </c>
      <c r="F20" s="8"/>
      <c r="G20" s="8"/>
      <c r="H20" s="172" t="s">
        <v>411</v>
      </c>
      <c r="I20" s="174"/>
      <c r="J20" s="64" t="s">
        <v>412</v>
      </c>
    </row>
    <row r="21" spans="1:10" x14ac:dyDescent="0.25">
      <c r="B21" s="65" t="s">
        <v>339</v>
      </c>
      <c r="C21" s="66"/>
      <c r="D21" s="78"/>
      <c r="E21" s="420" t="s">
        <v>945</v>
      </c>
      <c r="F21" s="8"/>
      <c r="G21" s="8"/>
      <c r="H21" s="752">
        <v>0.5</v>
      </c>
      <c r="I21" s="70">
        <f>9900*9-4.5*100</f>
        <v>88650</v>
      </c>
      <c r="J21" s="79">
        <f>H21*I21</f>
        <v>44325</v>
      </c>
    </row>
    <row r="22" spans="1:10" x14ac:dyDescent="0.25">
      <c r="B22" s="65" t="s">
        <v>340</v>
      </c>
      <c r="C22" s="66"/>
      <c r="D22" s="78"/>
      <c r="E22" s="420" t="s">
        <v>1726</v>
      </c>
      <c r="F22" s="8"/>
      <c r="G22" s="8"/>
      <c r="H22" s="752">
        <v>0.35</v>
      </c>
      <c r="I22" s="70">
        <f>9800*9-4.5*200</f>
        <v>87300</v>
      </c>
      <c r="J22" s="79">
        <f>H22*I22</f>
        <v>30554.999999999996</v>
      </c>
    </row>
    <row r="23" spans="1:10" ht="15.75" thickBot="1" x14ac:dyDescent="0.3">
      <c r="B23" s="65" t="s">
        <v>338</v>
      </c>
      <c r="C23" s="66"/>
      <c r="D23" s="79">
        <f>SUM(D21:D22)</f>
        <v>0</v>
      </c>
      <c r="E23" s="420" t="s">
        <v>946</v>
      </c>
      <c r="H23" s="753">
        <v>0.15</v>
      </c>
      <c r="I23" s="754">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67"/>
    </row>
    <row r="26" spans="1:10" ht="15.75" thickBot="1" x14ac:dyDescent="0.3">
      <c r="B26" s="66"/>
      <c r="C26" s="66"/>
    </row>
    <row r="27" spans="1:10" ht="15.75" thickBot="1" x14ac:dyDescent="0.3">
      <c r="A27" s="1">
        <v>4</v>
      </c>
      <c r="B27" s="157" t="s">
        <v>1884</v>
      </c>
      <c r="C27" s="154"/>
      <c r="D27" s="155"/>
    </row>
    <row r="28" spans="1:10" x14ac:dyDescent="0.25">
      <c r="B28" s="748" t="str">
        <f>"The transaction price of £"&amp;D23&amp;" is allocated in its entirety to the single performance obligation, being…"</f>
        <v>The transaction price of £0 is allocated in its entirety to the single performance obligation, being…</v>
      </c>
      <c r="C28" s="63"/>
      <c r="D28" s="64"/>
      <c r="H28" s="420" t="s">
        <v>1780</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56" t="s">
        <v>1927</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1919</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1918</v>
      </c>
      <c r="C52" s="14"/>
      <c r="F52" s="420" t="s">
        <v>1926</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1920</v>
      </c>
      <c r="C79" s="99">
        <f>C76/(1+C75)^C77</f>
        <v>0</v>
      </c>
      <c r="D79" s="755"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85"/>
      <c r="C86" s="17">
        <f>IF(F85&gt;=$C$76,0,F85)</f>
        <v>0</v>
      </c>
      <c r="D86" s="17">
        <f>C86*$C$75</f>
        <v>0</v>
      </c>
      <c r="E86" s="66">
        <f>$C$78</f>
        <v>0</v>
      </c>
      <c r="F86" s="71">
        <f>C86+D86-E86</f>
        <v>0</v>
      </c>
      <c r="G86" s="17"/>
    </row>
    <row r="87" spans="2:9" ht="15.75" thickBot="1" x14ac:dyDescent="0.3">
      <c r="B87" s="686"/>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19"/>
      <c r="D114" s="68"/>
    </row>
    <row r="115" spans="2:7" x14ac:dyDescent="0.25">
      <c r="B115" s="496" t="s">
        <v>1393</v>
      </c>
      <c r="C115" s="619"/>
      <c r="D115" s="68"/>
    </row>
    <row r="116" spans="2:7" x14ac:dyDescent="0.25">
      <c r="B116" s="496" t="s">
        <v>1394</v>
      </c>
      <c r="C116" s="619"/>
      <c r="D116" s="68"/>
    </row>
    <row r="117" spans="2:7" x14ac:dyDescent="0.25">
      <c r="B117" s="496" t="s">
        <v>1397</v>
      </c>
      <c r="C117" s="619"/>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50" t="s">
        <v>1910</v>
      </c>
      <c r="C138" s="749"/>
      <c r="D138" s="749"/>
    </row>
    <row r="139" spans="2:8" x14ac:dyDescent="0.25">
      <c r="B139" s="493" t="s">
        <v>1711</v>
      </c>
      <c r="C139" s="151"/>
      <c r="D139" s="151"/>
      <c r="H139" s="420" t="s">
        <v>1911</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1921</v>
      </c>
      <c r="C178">
        <v>100</v>
      </c>
    </row>
    <row r="179" spans="2:4" x14ac:dyDescent="0.25">
      <c r="B179" t="s">
        <v>323</v>
      </c>
      <c r="C179">
        <v>100</v>
      </c>
    </row>
    <row r="181" spans="2:4" x14ac:dyDescent="0.25">
      <c r="B181" t="s">
        <v>323</v>
      </c>
      <c r="C181">
        <v>8</v>
      </c>
    </row>
    <row r="182" spans="2:4" x14ac:dyDescent="0.25">
      <c r="B182" t="s">
        <v>1922</v>
      </c>
    </row>
    <row r="184" spans="2:4" x14ac:dyDescent="0.25">
      <c r="B184" t="s">
        <v>1923</v>
      </c>
      <c r="D184">
        <v>145</v>
      </c>
    </row>
    <row r="185" spans="2:4" x14ac:dyDescent="0.25">
      <c r="B185" t="s">
        <v>1924</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20" t="s">
        <v>1407</v>
      </c>
      <c r="E2" s="622" t="s">
        <v>1410</v>
      </c>
      <c r="F2" s="420"/>
      <c r="N2" s="835" t="s">
        <v>1813</v>
      </c>
      <c r="O2" s="874"/>
      <c r="P2" s="874"/>
      <c r="Q2" s="874"/>
      <c r="R2" s="874"/>
      <c r="S2" s="874"/>
      <c r="T2" s="874"/>
      <c r="U2" s="874"/>
      <c r="V2" s="874"/>
      <c r="W2" s="874"/>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21" t="s">
        <v>1408</v>
      </c>
      <c r="E6" s="420" t="s">
        <v>1801</v>
      </c>
      <c r="U6" s="420"/>
    </row>
    <row r="7" spans="1:23" x14ac:dyDescent="0.25">
      <c r="A7" s="621" t="s">
        <v>1562</v>
      </c>
      <c r="U7" s="420"/>
    </row>
    <row r="8" spans="1:23" x14ac:dyDescent="0.25">
      <c r="A8" s="177" t="s">
        <v>483</v>
      </c>
      <c r="B8" s="27">
        <v>3500</v>
      </c>
    </row>
    <row r="10" spans="1:23" x14ac:dyDescent="0.25">
      <c r="H10" t="s">
        <v>1802</v>
      </c>
      <c r="K10" t="s">
        <v>1806</v>
      </c>
      <c r="L10" s="11" t="s">
        <v>1803</v>
      </c>
      <c r="M10" s="11" t="s">
        <v>193</v>
      </c>
      <c r="N10" s="11" t="s">
        <v>1804</v>
      </c>
      <c r="O10" s="11" t="s">
        <v>1805</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1807</v>
      </c>
      <c r="K15" s="12"/>
      <c r="L15" s="12"/>
      <c r="M15" s="12"/>
      <c r="N15">
        <f>SUM(N12:N14)</f>
        <v>0</v>
      </c>
      <c r="O15">
        <f>SUM(O12:O14)</f>
        <v>0</v>
      </c>
    </row>
    <row r="16" spans="1:23" x14ac:dyDescent="0.25">
      <c r="E16" s="191">
        <f>SUM(E13:E15)</f>
        <v>0</v>
      </c>
    </row>
    <row r="17" spans="1:22" x14ac:dyDescent="0.25">
      <c r="D17" s="191"/>
      <c r="H17" t="s">
        <v>1808</v>
      </c>
      <c r="N17" s="3"/>
      <c r="O17" s="3"/>
    </row>
    <row r="18" spans="1:22" x14ac:dyDescent="0.25">
      <c r="A18" s="420" t="s">
        <v>980</v>
      </c>
      <c r="H18" t="s">
        <v>1809</v>
      </c>
      <c r="N18" s="3"/>
      <c r="O18" s="3"/>
    </row>
    <row r="19" spans="1:22" x14ac:dyDescent="0.25">
      <c r="A19" t="s">
        <v>488</v>
      </c>
      <c r="B19" s="11">
        <f>B8</f>
        <v>3500</v>
      </c>
      <c r="H19" t="s">
        <v>1810</v>
      </c>
      <c r="N19">
        <f>N17-N18</f>
        <v>0</v>
      </c>
      <c r="O19">
        <f>O17-O18</f>
        <v>0</v>
      </c>
    </row>
    <row r="20" spans="1:22" x14ac:dyDescent="0.25">
      <c r="A20" t="s">
        <v>485</v>
      </c>
      <c r="B20" s="190"/>
      <c r="H20" t="s">
        <v>1811</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35" t="s">
        <v>1414</v>
      </c>
      <c r="Q23" s="835"/>
      <c r="R23" s="835"/>
      <c r="S23" s="835"/>
      <c r="T23" s="835"/>
      <c r="U23" s="835"/>
      <c r="V23" s="835"/>
    </row>
    <row r="24" spans="1:22" x14ac:dyDescent="0.25">
      <c r="A24" t="s">
        <v>498</v>
      </c>
      <c r="B24" s="12">
        <f>B23*B20</f>
        <v>0</v>
      </c>
      <c r="P24" s="835"/>
      <c r="Q24" s="835"/>
      <c r="R24" s="835"/>
      <c r="S24" s="835"/>
      <c r="T24" s="835"/>
      <c r="U24" s="835"/>
      <c r="V24" s="835"/>
    </row>
    <row r="25" spans="1:22" x14ac:dyDescent="0.25">
      <c r="B25" s="12"/>
      <c r="P25" s="835"/>
      <c r="Q25" s="835"/>
      <c r="R25" s="835"/>
      <c r="S25" s="835"/>
      <c r="T25" s="835"/>
      <c r="U25" s="835"/>
      <c r="V25" s="835"/>
    </row>
    <row r="26" spans="1:22" x14ac:dyDescent="0.25">
      <c r="A26" s="420" t="s">
        <v>1409</v>
      </c>
      <c r="P26" s="835"/>
      <c r="Q26" s="835"/>
      <c r="R26" s="835"/>
      <c r="S26" s="835"/>
      <c r="T26" s="835"/>
      <c r="U26" s="835"/>
      <c r="V26" s="835"/>
    </row>
    <row r="27" spans="1:22" x14ac:dyDescent="0.25">
      <c r="A27" t="s">
        <v>492</v>
      </c>
      <c r="B27" s="12"/>
      <c r="P27" s="835"/>
      <c r="Q27" s="835"/>
      <c r="R27" s="835"/>
      <c r="S27" s="835"/>
      <c r="T27" s="835"/>
      <c r="U27" s="835"/>
      <c r="V27" s="835"/>
    </row>
    <row r="28" spans="1:22" x14ac:dyDescent="0.25">
      <c r="A28" t="s">
        <v>493</v>
      </c>
      <c r="B28" s="12">
        <f>B23</f>
        <v>3500</v>
      </c>
      <c r="P28" s="835"/>
      <c r="Q28" s="835"/>
      <c r="R28" s="835"/>
      <c r="S28" s="835"/>
      <c r="T28" s="835"/>
      <c r="U28" s="835"/>
      <c r="V28" s="835"/>
    </row>
    <row r="29" spans="1:22" x14ac:dyDescent="0.25">
      <c r="A29" t="s">
        <v>494</v>
      </c>
      <c r="C29" s="12">
        <f>B23</f>
        <v>3500</v>
      </c>
      <c r="P29" s="495" t="s">
        <v>1775</v>
      </c>
    </row>
    <row r="30" spans="1:22" x14ac:dyDescent="0.25">
      <c r="C30" s="12"/>
      <c r="P30" s="495" t="s">
        <v>1569</v>
      </c>
    </row>
    <row r="31" spans="1:22" x14ac:dyDescent="0.25">
      <c r="A31" s="420" t="s">
        <v>981</v>
      </c>
    </row>
    <row r="32" spans="1:22" x14ac:dyDescent="0.25">
      <c r="A32" t="s">
        <v>495</v>
      </c>
      <c r="P32" s="420" t="s">
        <v>1776</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24" t="s">
        <v>1411</v>
      </c>
      <c r="B38" s="63"/>
      <c r="C38" s="64"/>
    </row>
    <row r="39" spans="1:3" x14ac:dyDescent="0.25">
      <c r="A39" s="625" t="s">
        <v>1412</v>
      </c>
      <c r="B39" s="49"/>
      <c r="C39" s="68"/>
    </row>
    <row r="40" spans="1:3" x14ac:dyDescent="0.25">
      <c r="A40" s="625"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25" t="s">
        <v>1413</v>
      </c>
      <c r="B44" s="66">
        <f>B41</f>
        <v>0</v>
      </c>
      <c r="C44" s="68"/>
    </row>
    <row r="45" spans="1:3" ht="15.75" thickBot="1" x14ac:dyDescent="0.3">
      <c r="A45" s="626" t="s">
        <v>497</v>
      </c>
      <c r="B45" s="73"/>
      <c r="C45" s="82">
        <f>B41</f>
        <v>0</v>
      </c>
    </row>
    <row r="46" spans="1:3" x14ac:dyDescent="0.25">
      <c r="A46" s="420"/>
    </row>
    <row r="47" spans="1:3" x14ac:dyDescent="0.25">
      <c r="A47" s="420" t="s">
        <v>1772</v>
      </c>
    </row>
    <row r="48" spans="1:3" x14ac:dyDescent="0.25">
      <c r="A48" s="420" t="s">
        <v>1773</v>
      </c>
    </row>
    <row r="49" spans="1:3" ht="15.75" thickBot="1" x14ac:dyDescent="0.3">
      <c r="A49" s="420" t="s">
        <v>1774</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19"/>
      <c r="C72" s="68"/>
    </row>
    <row r="73" spans="1:3" x14ac:dyDescent="0.25">
      <c r="A73" s="496" t="s">
        <v>1415</v>
      </c>
      <c r="B73" s="619"/>
      <c r="C73" s="68"/>
    </row>
    <row r="74" spans="1:3" x14ac:dyDescent="0.25">
      <c r="A74" s="496" t="s">
        <v>1416</v>
      </c>
      <c r="B74" s="619"/>
      <c r="C74" s="68"/>
    </row>
    <row r="75" spans="1:3" x14ac:dyDescent="0.25">
      <c r="A75" s="496" t="s">
        <v>1812</v>
      </c>
      <c r="B75" s="619"/>
      <c r="C75" s="68"/>
    </row>
    <row r="76" spans="1:3" x14ac:dyDescent="0.25">
      <c r="A76" s="496" t="s">
        <v>1393</v>
      </c>
      <c r="B76" s="619"/>
      <c r="C76" s="68"/>
    </row>
    <row r="77" spans="1:3" x14ac:dyDescent="0.25">
      <c r="A77" s="496" t="s">
        <v>1417</v>
      </c>
      <c r="B77" s="619"/>
      <c r="C77" s="68"/>
    </row>
    <row r="78" spans="1:3" x14ac:dyDescent="0.25">
      <c r="A78" s="496" t="s">
        <v>1397</v>
      </c>
      <c r="B78" s="619"/>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08" t="s">
        <v>926</v>
      </c>
      <c r="C2" s="808"/>
      <c r="D2" s="808"/>
      <c r="E2" s="808"/>
      <c r="F2" s="808"/>
      <c r="G2" s="808"/>
      <c r="H2" s="808"/>
      <c r="I2" s="808"/>
      <c r="J2" s="808"/>
    </row>
    <row r="3" spans="2:11" x14ac:dyDescent="0.25">
      <c r="B3" s="808"/>
      <c r="C3" s="808"/>
      <c r="D3" s="808"/>
      <c r="E3" s="808"/>
      <c r="F3" s="808"/>
      <c r="G3" s="808"/>
      <c r="H3" s="808"/>
      <c r="I3" s="808"/>
      <c r="J3" s="808"/>
    </row>
    <row r="4" spans="2:11" x14ac:dyDescent="0.25">
      <c r="B4" s="808"/>
      <c r="C4" s="808"/>
      <c r="D4" s="808"/>
      <c r="E4" s="808"/>
      <c r="F4" s="808"/>
      <c r="G4" s="808"/>
      <c r="H4" s="808"/>
      <c r="I4" s="808"/>
      <c r="J4" s="808"/>
    </row>
    <row r="5" spans="2:11" x14ac:dyDescent="0.25">
      <c r="B5" s="808"/>
      <c r="C5" s="808"/>
      <c r="D5" s="808"/>
      <c r="E5" s="808"/>
      <c r="F5" s="808"/>
      <c r="G5" s="808"/>
      <c r="H5" s="808"/>
      <c r="I5" s="808"/>
      <c r="J5" s="808"/>
    </row>
    <row r="6" spans="2:11" x14ac:dyDescent="0.25">
      <c r="B6" s="808"/>
      <c r="C6" s="808"/>
      <c r="D6" s="808"/>
      <c r="E6" s="808"/>
      <c r="F6" s="808"/>
      <c r="G6" s="808"/>
      <c r="H6" s="808"/>
      <c r="I6" s="808"/>
      <c r="J6" s="808"/>
    </row>
    <row r="7" spans="2:11" x14ac:dyDescent="0.25">
      <c r="B7" s="808"/>
      <c r="C7" s="808"/>
      <c r="D7" s="808"/>
      <c r="E7" s="808"/>
      <c r="F7" s="808"/>
      <c r="G7" s="808"/>
      <c r="H7" s="808"/>
      <c r="I7" s="808"/>
      <c r="J7" s="808"/>
    </row>
    <row r="8" spans="2:11" x14ac:dyDescent="0.25">
      <c r="B8" s="808"/>
      <c r="C8" s="808"/>
      <c r="D8" s="808"/>
      <c r="E8" s="808"/>
      <c r="F8" s="808"/>
      <c r="G8" s="808"/>
      <c r="H8" s="808"/>
      <c r="I8" s="808"/>
      <c r="J8" s="808"/>
    </row>
    <row r="9" spans="2:11" x14ac:dyDescent="0.25">
      <c r="B9" s="808"/>
      <c r="C9" s="808"/>
      <c r="D9" s="808"/>
      <c r="E9" s="808"/>
      <c r="F9" s="808"/>
      <c r="G9" s="808"/>
      <c r="H9" s="808"/>
      <c r="I9" s="808"/>
      <c r="J9" s="808"/>
    </row>
    <row r="10" spans="2:11" x14ac:dyDescent="0.25">
      <c r="B10" s="808"/>
      <c r="C10" s="808"/>
      <c r="D10" s="808"/>
      <c r="E10" s="808"/>
      <c r="F10" s="808"/>
      <c r="G10" s="808"/>
      <c r="H10" s="808"/>
      <c r="I10" s="808"/>
      <c r="J10" s="808"/>
    </row>
    <row r="11" spans="2:11" x14ac:dyDescent="0.25">
      <c r="B11" s="808"/>
      <c r="C11" s="808"/>
      <c r="D11" s="808"/>
      <c r="E11" s="808"/>
      <c r="F11" s="808"/>
      <c r="G11" s="808"/>
      <c r="H11" s="808"/>
      <c r="I11" s="808"/>
      <c r="J11" s="808"/>
    </row>
    <row r="12" spans="2:11" x14ac:dyDescent="0.25">
      <c r="B12" s="808"/>
      <c r="C12" s="808"/>
      <c r="D12" s="808"/>
      <c r="E12" s="808"/>
      <c r="F12" s="808"/>
      <c r="G12" s="808"/>
      <c r="H12" s="808"/>
      <c r="I12" s="808"/>
      <c r="J12" s="808"/>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1777</v>
      </c>
      <c r="C33" s="734"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1778</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zoomScale="85" zoomScaleNormal="85" workbookViewId="0">
      <selection activeCell="B27" sqref="B27"/>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75" t="s">
        <v>577</v>
      </c>
      <c r="E2" s="876"/>
      <c r="K2" s="835" t="s">
        <v>620</v>
      </c>
      <c r="L2" s="835"/>
      <c r="M2" s="835"/>
      <c r="N2" s="835"/>
      <c r="O2" s="835"/>
      <c r="P2" s="835"/>
      <c r="Q2" s="835"/>
      <c r="R2" s="835"/>
      <c r="S2" s="835"/>
      <c r="T2" s="835"/>
    </row>
    <row r="3" spans="2:20" ht="72.95" customHeight="1" x14ac:dyDescent="0.25">
      <c r="B3" s="209" t="s">
        <v>555</v>
      </c>
      <c r="D3" s="62" t="s">
        <v>557</v>
      </c>
      <c r="E3" s="212" t="s">
        <v>559</v>
      </c>
      <c r="G3" t="s">
        <v>602</v>
      </c>
      <c r="K3" s="835"/>
      <c r="L3" s="835"/>
      <c r="M3" s="835"/>
      <c r="N3" s="835"/>
      <c r="O3" s="835"/>
      <c r="P3" s="835"/>
      <c r="Q3" s="835"/>
      <c r="R3" s="835"/>
      <c r="S3" s="835"/>
      <c r="T3" s="835"/>
    </row>
    <row r="4" spans="2:20" ht="32.450000000000003" customHeight="1" thickBot="1" x14ac:dyDescent="0.3">
      <c r="B4" s="210" t="s">
        <v>147</v>
      </c>
      <c r="C4" s="223" t="s">
        <v>604</v>
      </c>
      <c r="D4" s="72" t="s">
        <v>552</v>
      </c>
      <c r="E4" s="213" t="str" cm="1">
        <f t="array" ref="E4">_xlfn.IFS(E3="Intention to sell in the short term (held for trading)","FVTPL",E3="Intention to hold and then sell before maturity","FVTOCI",E3="Intention to hold to maturity","AC")</f>
        <v>AC</v>
      </c>
      <c r="G4" t="s">
        <v>603</v>
      </c>
      <c r="K4" s="835"/>
      <c r="L4" s="835"/>
      <c r="M4" s="835"/>
      <c r="N4" s="835"/>
      <c r="O4" s="835"/>
      <c r="P4" s="835"/>
      <c r="Q4" s="835"/>
      <c r="R4" s="835"/>
      <c r="S4" s="835"/>
      <c r="T4" s="835"/>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35"/>
      <c r="L5" s="835"/>
      <c r="M5" s="835"/>
      <c r="N5" s="835"/>
      <c r="O5" s="835"/>
      <c r="P5" s="835"/>
      <c r="Q5" s="835"/>
      <c r="R5" s="835"/>
      <c r="S5" s="835"/>
      <c r="T5" s="835"/>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1814</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794">
        <v>6168</v>
      </c>
      <c r="D14" s="579" t="s">
        <v>1215</v>
      </c>
      <c r="F14" s="11"/>
    </row>
    <row r="15" spans="2:20" x14ac:dyDescent="0.25">
      <c r="B15" t="s">
        <v>1453</v>
      </c>
      <c r="C15" s="794">
        <v>6168</v>
      </c>
      <c r="D15" s="579"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35" t="s">
        <v>619</v>
      </c>
      <c r="L20" s="835"/>
      <c r="M20" s="835"/>
      <c r="N20" s="835"/>
      <c r="O20" s="835"/>
      <c r="P20" s="835"/>
      <c r="Q20" s="835"/>
      <c r="R20" s="835"/>
      <c r="S20" s="835"/>
      <c r="T20" s="835"/>
    </row>
    <row r="21" spans="2:20" ht="15.75" thickBot="1" x14ac:dyDescent="0.3">
      <c r="B21" s="145" t="s">
        <v>12</v>
      </c>
      <c r="C21" s="146" t="s">
        <v>573</v>
      </c>
      <c r="D21" s="146" t="s">
        <v>349</v>
      </c>
      <c r="E21" s="146" t="s">
        <v>586</v>
      </c>
      <c r="F21" s="147" t="s">
        <v>841</v>
      </c>
      <c r="K21" s="835"/>
      <c r="L21" s="835"/>
      <c r="M21" s="835"/>
      <c r="N21" s="835"/>
      <c r="O21" s="835"/>
      <c r="P21" s="835"/>
      <c r="Q21" s="835"/>
      <c r="R21" s="835"/>
      <c r="S21" s="835"/>
      <c r="T21" s="835"/>
    </row>
    <row r="22" spans="2:20" x14ac:dyDescent="0.25">
      <c r="B22" s="136"/>
      <c r="C22" s="137" t="s">
        <v>141</v>
      </c>
      <c r="D22" s="137" t="s">
        <v>141</v>
      </c>
      <c r="E22" s="137" t="s">
        <v>141</v>
      </c>
      <c r="F22" s="138" t="s">
        <v>141</v>
      </c>
      <c r="K22" s="835"/>
      <c r="L22" s="835"/>
      <c r="M22" s="835"/>
      <c r="N22" s="835"/>
      <c r="O22" s="835"/>
      <c r="P22" s="835"/>
      <c r="Q22" s="835"/>
      <c r="R22" s="835"/>
      <c r="S22" s="835"/>
      <c r="T22" s="835"/>
    </row>
    <row r="23" spans="2:20" x14ac:dyDescent="0.25">
      <c r="B23" s="139">
        <v>44195</v>
      </c>
      <c r="C23" s="85">
        <f>C15+C16</f>
        <v>6168</v>
      </c>
      <c r="D23" s="85">
        <f>IF($C$19="arrears",C23*$C$18,(C23+E23)*$C$18)</f>
        <v>505.77600000000001</v>
      </c>
      <c r="E23" s="106">
        <f>IF($C$19="ADVANCE",0,-$C$14*$C$17)</f>
        <v>-308.40000000000003</v>
      </c>
      <c r="F23" s="71">
        <f>C23+D23+E23</f>
        <v>6365.3760000000002</v>
      </c>
      <c r="K23" s="835"/>
      <c r="L23" s="835"/>
      <c r="M23" s="835"/>
      <c r="N23" s="835"/>
      <c r="O23" s="835"/>
      <c r="P23" s="835"/>
      <c r="Q23" s="835"/>
      <c r="R23" s="835"/>
      <c r="S23" s="835"/>
      <c r="T23" s="835"/>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35"/>
      <c r="L24" s="835"/>
      <c r="M24" s="835"/>
      <c r="N24" s="835"/>
      <c r="O24" s="835"/>
      <c r="P24" s="835"/>
      <c r="Q24" s="835"/>
      <c r="R24" s="835"/>
      <c r="S24" s="835"/>
      <c r="T24" s="835"/>
    </row>
    <row r="25" spans="2:20" x14ac:dyDescent="0.25">
      <c r="B25" s="139">
        <f>B24+365</f>
        <v>44925</v>
      </c>
      <c r="C25" s="85">
        <f>F24</f>
        <v>6578.9368320000003</v>
      </c>
      <c r="D25" s="85">
        <f t="shared" si="0"/>
        <v>539.47282022400009</v>
      </c>
      <c r="E25" s="106">
        <f>(-$C$14*$C$17)</f>
        <v>-308.40000000000003</v>
      </c>
      <c r="F25" s="71">
        <f t="shared" si="1"/>
        <v>6810.009652224001</v>
      </c>
      <c r="K25" s="835"/>
      <c r="L25" s="835"/>
      <c r="M25" s="835"/>
      <c r="N25" s="835"/>
      <c r="O25" s="835"/>
      <c r="P25" s="835"/>
      <c r="Q25" s="835"/>
      <c r="R25" s="835"/>
      <c r="S25" s="835"/>
      <c r="T25" s="835"/>
    </row>
    <row r="26" spans="2:20" x14ac:dyDescent="0.25">
      <c r="B26" s="139">
        <f>B25+365</f>
        <v>45290</v>
      </c>
      <c r="C26" s="17">
        <f>F25</f>
        <v>6810.009652224001</v>
      </c>
      <c r="D26" s="85">
        <f t="shared" si="0"/>
        <v>558.42079148236814</v>
      </c>
      <c r="E26" s="106">
        <f>(-$C$14*$C$17)</f>
        <v>-308.40000000000003</v>
      </c>
      <c r="F26" s="140">
        <f t="shared" si="1"/>
        <v>7060.0304437063696</v>
      </c>
      <c r="K26" s="835"/>
      <c r="L26" s="835"/>
      <c r="M26" s="835"/>
      <c r="N26" s="835"/>
      <c r="O26" s="835"/>
      <c r="P26" s="835"/>
      <c r="Q26" s="835"/>
      <c r="R26" s="835"/>
      <c r="S26" s="835"/>
      <c r="T26" s="835"/>
    </row>
    <row r="27" spans="2:20" x14ac:dyDescent="0.25">
      <c r="B27" s="139">
        <f>B26+365</f>
        <v>45655</v>
      </c>
      <c r="C27" s="17">
        <f>F26</f>
        <v>7060.0304437063696</v>
      </c>
      <c r="D27" s="85">
        <f t="shared" si="0"/>
        <v>578.92249638392229</v>
      </c>
      <c r="E27" s="106">
        <f>(-$C$14*$C$17)</f>
        <v>-308.40000000000003</v>
      </c>
      <c r="F27" s="71">
        <f t="shared" si="1"/>
        <v>7330.5529400902924</v>
      </c>
      <c r="K27" s="835"/>
      <c r="L27" s="835"/>
      <c r="M27" s="835"/>
      <c r="N27" s="835"/>
      <c r="O27" s="835"/>
      <c r="P27" s="835"/>
      <c r="Q27" s="835"/>
      <c r="R27" s="835"/>
      <c r="S27" s="835"/>
      <c r="T27" s="835"/>
    </row>
    <row r="28" spans="2:20" x14ac:dyDescent="0.25">
      <c r="B28" s="139">
        <f>B27+365</f>
        <v>46020</v>
      </c>
      <c r="C28" s="17">
        <f>F27</f>
        <v>7330.5529400902924</v>
      </c>
      <c r="D28" s="85">
        <f t="shared" si="0"/>
        <v>601.10534108740399</v>
      </c>
      <c r="E28" s="106">
        <f>(-$C$14*$C$17)</f>
        <v>-308.40000000000003</v>
      </c>
      <c r="F28" s="71">
        <f t="shared" si="1"/>
        <v>7623.2582811776965</v>
      </c>
      <c r="K28" s="835"/>
      <c r="L28" s="835"/>
      <c r="M28" s="835"/>
      <c r="N28" s="835"/>
      <c r="O28" s="835"/>
      <c r="P28" s="835"/>
      <c r="Q28" s="835"/>
      <c r="R28" s="835"/>
      <c r="S28" s="835"/>
      <c r="T28" s="835"/>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57" t="s">
        <v>1746</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1743</v>
      </c>
    </row>
    <row r="51" spans="2:11" x14ac:dyDescent="0.25">
      <c r="B51" s="420" t="s">
        <v>923</v>
      </c>
      <c r="G51" s="420" t="s">
        <v>1754</v>
      </c>
    </row>
    <row r="52" spans="2:11" x14ac:dyDescent="0.25">
      <c r="B52" s="420" t="s">
        <v>912</v>
      </c>
      <c r="G52" s="420" t="s">
        <v>1755</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1815</v>
      </c>
      <c r="H61" s="32">
        <f>IF($I$58&lt;0,-$I$58,0)</f>
        <v>0</v>
      </c>
      <c r="I61" s="32">
        <f>IF($I$58&gt;0,$I$58,0)</f>
        <v>108000</v>
      </c>
      <c r="K61" s="420" t="s">
        <v>1816</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1817</v>
      </c>
    </row>
    <row r="83" spans="2:5" x14ac:dyDescent="0.25">
      <c r="B83" s="420" t="s">
        <v>852</v>
      </c>
    </row>
    <row r="84" spans="2:5" x14ac:dyDescent="0.25">
      <c r="B84" s="420" t="s">
        <v>923</v>
      </c>
    </row>
    <row r="85" spans="2:5" x14ac:dyDescent="0.25">
      <c r="B85" s="420" t="s">
        <v>1818</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f>2.85*400</f>
        <v>1140</v>
      </c>
      <c r="E90" t="str">
        <f ca="1">IFERROR(_xlfn.FORMULATEXT(D90)," ")</f>
        <v>=2.85*400</v>
      </c>
    </row>
    <row r="91" spans="2:5" hidden="1" x14ac:dyDescent="0.25">
      <c r="B91" t="s">
        <v>842</v>
      </c>
      <c r="D91" s="11">
        <f>D90-D89</f>
        <v>180</v>
      </c>
    </row>
    <row r="92" spans="2:5" x14ac:dyDescent="0.25">
      <c r="D92" s="11"/>
    </row>
    <row r="93" spans="2:5" x14ac:dyDescent="0.25">
      <c r="B93" t="s">
        <v>854</v>
      </c>
      <c r="D93" s="27">
        <f>2.63*400</f>
        <v>1052</v>
      </c>
    </row>
    <row r="94" spans="2:5" x14ac:dyDescent="0.25">
      <c r="B94" t="s">
        <v>195</v>
      </c>
      <c r="D94" s="20">
        <f>D93-D90</f>
        <v>-88</v>
      </c>
    </row>
    <row r="96" spans="2:5" x14ac:dyDescent="0.25">
      <c r="B96" s="3" t="s">
        <v>1821</v>
      </c>
      <c r="C96" s="32">
        <f>IF($D$94&lt;0,-$D$94,0)</f>
        <v>88</v>
      </c>
      <c r="D96" s="10">
        <f>IF($D$94&gt;0,$D$94,0)</f>
        <v>0</v>
      </c>
      <c r="E96" s="420"/>
    </row>
    <row r="97" spans="2:5" x14ac:dyDescent="0.25">
      <c r="B97" t="s">
        <v>884</v>
      </c>
      <c r="C97" s="10">
        <f>IF($D$94&gt;0,$D$94,0)</f>
        <v>0</v>
      </c>
      <c r="D97" s="32">
        <f>IF($D$94&lt;0,-$D$94,0)</f>
        <v>88</v>
      </c>
    </row>
    <row r="98" spans="2:5" x14ac:dyDescent="0.25">
      <c r="C98" s="10"/>
    </row>
    <row r="100" spans="2:5" x14ac:dyDescent="0.25">
      <c r="B100" s="3" t="s">
        <v>855</v>
      </c>
      <c r="C100" s="10">
        <f>D93-3000</f>
        <v>-1948</v>
      </c>
    </row>
    <row r="101" spans="2:5" x14ac:dyDescent="0.25">
      <c r="B101" t="s">
        <v>1820</v>
      </c>
      <c r="C101" s="10">
        <v>53</v>
      </c>
    </row>
    <row r="102" spans="2:5" x14ac:dyDescent="0.25">
      <c r="B102" t="s">
        <v>856</v>
      </c>
      <c r="D102" s="10">
        <f>D93</f>
        <v>1052</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58" zoomScale="70" zoomScaleNormal="70" workbookViewId="0">
      <selection activeCell="C80" sqref="C80"/>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75" t="s">
        <v>578</v>
      </c>
      <c r="C2" s="876"/>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77" t="s">
        <v>80</v>
      </c>
      <c r="C6" s="878"/>
      <c r="D6" s="879"/>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218">
        <v>4500000</v>
      </c>
      <c r="D14" s="12"/>
      <c r="F14" s="11"/>
    </row>
    <row r="15" spans="2:6" x14ac:dyDescent="0.25">
      <c r="B15" t="s">
        <v>1453</v>
      </c>
      <c r="C15" s="218">
        <f>0.85*C14</f>
        <v>3825000</v>
      </c>
      <c r="D15" s="12"/>
      <c r="F15" s="11"/>
    </row>
    <row r="16" spans="2:6" x14ac:dyDescent="0.25">
      <c r="B16" t="s">
        <v>572</v>
      </c>
      <c r="C16" s="218"/>
      <c r="D16" s="12"/>
      <c r="F16" s="11"/>
    </row>
    <row r="17" spans="2:6" x14ac:dyDescent="0.25">
      <c r="B17" t="s">
        <v>570</v>
      </c>
      <c r="C17" s="224">
        <v>0.05</v>
      </c>
      <c r="D17" s="420" t="s">
        <v>919</v>
      </c>
      <c r="F17" s="12"/>
    </row>
    <row r="18" spans="2:6" x14ac:dyDescent="0.25">
      <c r="B18" t="s">
        <v>349</v>
      </c>
      <c r="C18" s="224">
        <v>8.2699999999999996E-2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5">
        <f>C15-C16</f>
        <v>3825000</v>
      </c>
      <c r="D23" s="85">
        <f t="shared" ref="D23:D28" si="0">IF($C$19="arrears",C23*$C$18,(C23+E23)*$C$18)</f>
        <v>316327.5</v>
      </c>
      <c r="E23" s="106">
        <f>IF($C$19="ADVANCE",0,-$C$14*$C$17)</f>
        <v>-225000</v>
      </c>
      <c r="F23" s="71">
        <f t="shared" ref="F23:F28" si="1">C23+D23+E23</f>
        <v>3916327.5</v>
      </c>
    </row>
    <row r="24" spans="2:6" x14ac:dyDescent="0.25">
      <c r="B24" s="139">
        <f>B23+365</f>
        <v>44681</v>
      </c>
      <c r="C24" s="85">
        <f>F23</f>
        <v>3916327.5</v>
      </c>
      <c r="D24" s="85">
        <f t="shared" si="0"/>
        <v>323880.28424999997</v>
      </c>
      <c r="E24" s="106">
        <f>(-$C$14*$C$17)</f>
        <v>-225000</v>
      </c>
      <c r="F24" s="71">
        <f t="shared" si="1"/>
        <v>4015207.7842499996</v>
      </c>
    </row>
    <row r="25" spans="2:6" x14ac:dyDescent="0.25">
      <c r="B25" s="139">
        <f>B24+365</f>
        <v>45046</v>
      </c>
      <c r="C25" s="85">
        <f>F24</f>
        <v>4015207.7842499996</v>
      </c>
      <c r="D25" s="85">
        <f t="shared" si="0"/>
        <v>332057.68375747494</v>
      </c>
      <c r="E25" s="106">
        <f>(-$C$14*$C$17)</f>
        <v>-225000</v>
      </c>
      <c r="F25" s="71">
        <f t="shared" si="1"/>
        <v>4122265.4680074742</v>
      </c>
    </row>
    <row r="26" spans="2:6" x14ac:dyDescent="0.25">
      <c r="B26" s="139">
        <f>B25+365</f>
        <v>45411</v>
      </c>
      <c r="C26" s="17">
        <f>F25</f>
        <v>4122265.4680074742</v>
      </c>
      <c r="D26" s="85">
        <f t="shared" si="0"/>
        <v>340911.35420421808</v>
      </c>
      <c r="E26" s="106">
        <f>(-$C$14*$C$17)</f>
        <v>-225000</v>
      </c>
      <c r="F26" s="140">
        <f t="shared" si="1"/>
        <v>4238176.8222116921</v>
      </c>
    </row>
    <row r="27" spans="2:6" x14ac:dyDescent="0.25">
      <c r="B27" s="139">
        <f>B26+365</f>
        <v>45776</v>
      </c>
      <c r="C27" s="17">
        <f>F26</f>
        <v>4238176.8222116921</v>
      </c>
      <c r="D27" s="85">
        <f t="shared" si="0"/>
        <v>350497.22319690691</v>
      </c>
      <c r="E27" s="106">
        <f>(-$C$14*$C$17)</f>
        <v>-225000</v>
      </c>
      <c r="F27" s="71">
        <f t="shared" si="1"/>
        <v>4363674.0454085991</v>
      </c>
    </row>
    <row r="28" spans="2:6" x14ac:dyDescent="0.25">
      <c r="B28" s="139">
        <f>B27+365</f>
        <v>46141</v>
      </c>
      <c r="C28" s="17">
        <f>F27</f>
        <v>4363674.0454085991</v>
      </c>
      <c r="D28" s="85">
        <f t="shared" si="0"/>
        <v>360875.84355529113</v>
      </c>
      <c r="E28" s="106">
        <f>(-$C$14*$C$17)</f>
        <v>-225000</v>
      </c>
      <c r="F28" s="71">
        <f t="shared" si="1"/>
        <v>4499549.8889638903</v>
      </c>
    </row>
    <row r="29" spans="2:6" x14ac:dyDescent="0.25">
      <c r="B29" s="65"/>
      <c r="C29" s="66"/>
      <c r="D29" s="66"/>
      <c r="E29" s="66"/>
      <c r="F29" s="68"/>
    </row>
    <row r="30" spans="2:6" x14ac:dyDescent="0.25">
      <c r="B30" s="65"/>
      <c r="C30" s="66"/>
      <c r="D30" s="66"/>
      <c r="E30" s="66"/>
      <c r="F30" s="68"/>
    </row>
    <row r="31" spans="2:6" x14ac:dyDescent="0.25">
      <c r="B31" s="65" t="s">
        <v>574</v>
      </c>
      <c r="C31" s="17">
        <f>F24</f>
        <v>4015207.7842499996</v>
      </c>
      <c r="D31" s="66"/>
      <c r="E31" s="66"/>
      <c r="F31" s="68"/>
    </row>
    <row r="32" spans="2:6" x14ac:dyDescent="0.25">
      <c r="B32" s="65" t="s">
        <v>575</v>
      </c>
      <c r="C32" s="17">
        <f>F23-F24</f>
        <v>-98880.28424999956</v>
      </c>
      <c r="D32" s="49" t="s">
        <v>314</v>
      </c>
      <c r="E32" s="17"/>
      <c r="F32" s="68"/>
    </row>
    <row r="33" spans="2:12" ht="18.600000000000001" customHeight="1" thickBot="1" x14ac:dyDescent="0.3">
      <c r="B33" s="80" t="str">
        <f>"Lease payable at year end"</f>
        <v>Lease payable at year end</v>
      </c>
      <c r="C33" s="33">
        <f>C31+C32</f>
        <v>3916327.5</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57" t="s">
        <v>1528</v>
      </c>
      <c r="C36" s="658" t="str">
        <f>D23&amp;E23&amp;" = £"&amp;(D23+E23)</f>
        <v>316327.5-225000 = £91327.5</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2">
        <f>D23</f>
        <v>316327.5</v>
      </c>
      <c r="L39" s="11"/>
    </row>
    <row r="40" spans="2:12" x14ac:dyDescent="0.25">
      <c r="B40" t="s">
        <v>616</v>
      </c>
      <c r="C40" s="10">
        <f>D23</f>
        <v>316327.5</v>
      </c>
      <c r="K40" s="11"/>
      <c r="L40" s="11"/>
    </row>
    <row r="41" spans="2:12" x14ac:dyDescent="0.25">
      <c r="D41" s="10"/>
      <c r="F41" s="657" t="s">
        <v>1529</v>
      </c>
      <c r="K41" s="11"/>
      <c r="L41" s="11"/>
    </row>
    <row r="42" spans="2:12" x14ac:dyDescent="0.25">
      <c r="B42" s="3" t="s">
        <v>373</v>
      </c>
      <c r="C42" s="32">
        <f>-E23</f>
        <v>225000</v>
      </c>
      <c r="D42" s="10"/>
      <c r="K42" s="11"/>
      <c r="L42" s="11"/>
    </row>
    <row r="43" spans="2:12" x14ac:dyDescent="0.25">
      <c r="B43" t="s">
        <v>613</v>
      </c>
      <c r="D43" s="10">
        <f>-E23</f>
        <v>225000</v>
      </c>
      <c r="K43" s="11"/>
      <c r="L43" s="11"/>
    </row>
    <row r="44" spans="2:12" x14ac:dyDescent="0.25">
      <c r="D44" s="10"/>
      <c r="K44" s="11"/>
      <c r="L44" s="11"/>
    </row>
    <row r="45" spans="2:12" x14ac:dyDescent="0.25">
      <c r="B45" t="s">
        <v>845</v>
      </c>
      <c r="C45" s="12"/>
      <c r="F45" s="420"/>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c r="D77" s="420" t="s">
        <v>1456</v>
      </c>
    </row>
    <row r="78" spans="1:10" x14ac:dyDescent="0.25">
      <c r="B78" t="s">
        <v>608</v>
      </c>
      <c r="C78" s="14">
        <f>8000*0.47</f>
        <v>3760</v>
      </c>
      <c r="D78" s="420" t="s">
        <v>1455</v>
      </c>
    </row>
    <row r="79" spans="1:10" x14ac:dyDescent="0.25">
      <c r="B79" t="s">
        <v>610</v>
      </c>
      <c r="C79" s="189">
        <v>1</v>
      </c>
      <c r="D79" s="420" t="s">
        <v>1601</v>
      </c>
    </row>
    <row r="80" spans="1:10" x14ac:dyDescent="0.25">
      <c r="B80" t="str">
        <f ca="1">"Shares redeemed "&amp;IFERROR(_xlfn.FORMULATEXT(C80)," ")</f>
        <v xml:space="preserve">Shares redeemed  </v>
      </c>
      <c r="C80" s="14"/>
      <c r="D80" s="420" t="s">
        <v>617</v>
      </c>
    </row>
    <row r="81" spans="2:4" x14ac:dyDescent="0.25">
      <c r="B81" t="s">
        <v>366</v>
      </c>
      <c r="C81" s="3"/>
      <c r="D81" s="420" t="s">
        <v>618</v>
      </c>
    </row>
    <row r="82" spans="2:4" x14ac:dyDescent="0.25">
      <c r="C82" s="12"/>
    </row>
    <row r="84" spans="2:4" x14ac:dyDescent="0.25">
      <c r="B84" s="671" t="s">
        <v>1960</v>
      </c>
      <c r="C84" s="11"/>
      <c r="D84" s="11"/>
    </row>
    <row r="85" spans="2:4" x14ac:dyDescent="0.25">
      <c r="B85" s="671" t="s">
        <v>1961</v>
      </c>
      <c r="C85" s="11"/>
      <c r="D85" s="11"/>
    </row>
    <row r="86" spans="2:4" x14ac:dyDescent="0.25">
      <c r="B86" s="11" t="s">
        <v>611</v>
      </c>
      <c r="C86" s="11">
        <f>C78*(1-C79)</f>
        <v>0</v>
      </c>
      <c r="D86" s="11"/>
    </row>
    <row r="87" spans="2:4" x14ac:dyDescent="0.25">
      <c r="B87" s="766" t="s">
        <v>989</v>
      </c>
      <c r="C87" s="11"/>
      <c r="D87" s="11">
        <f>C86</f>
        <v>0</v>
      </c>
    </row>
    <row r="88" spans="2:4" x14ac:dyDescent="0.25">
      <c r="B88" s="671"/>
      <c r="C88" s="11"/>
      <c r="D88" s="11"/>
    </row>
    <row r="89" spans="2:4" x14ac:dyDescent="0.25">
      <c r="B89" s="11" t="s">
        <v>611</v>
      </c>
      <c r="C89" s="11">
        <f>C78*C79</f>
        <v>3760</v>
      </c>
    </row>
    <row r="90" spans="2:4" x14ac:dyDescent="0.25">
      <c r="B90" t="s">
        <v>612</v>
      </c>
      <c r="C90" s="11"/>
      <c r="D90" s="11">
        <f>C80*C81</f>
        <v>0</v>
      </c>
    </row>
    <row r="91" spans="2:4" x14ac:dyDescent="0.25">
      <c r="B91" t="s">
        <v>601</v>
      </c>
      <c r="C91" s="11"/>
      <c r="D91" s="11">
        <f>C89-D90</f>
        <v>3760</v>
      </c>
    </row>
    <row r="93" spans="2:4" x14ac:dyDescent="0.25">
      <c r="B93" s="420" t="s">
        <v>1959</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65"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1758</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1756</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1757</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47" t="s">
        <v>964</v>
      </c>
      <c r="B9" s="880"/>
      <c r="C9" s="880"/>
      <c r="D9" s="880"/>
      <c r="E9" s="880"/>
      <c r="F9" s="880"/>
      <c r="G9" s="880"/>
      <c r="H9" s="881"/>
    </row>
    <row r="10" spans="1:10" x14ac:dyDescent="0.25">
      <c r="A10" s="847"/>
      <c r="B10" s="880"/>
      <c r="C10" s="880"/>
      <c r="D10" s="880"/>
      <c r="E10" s="880"/>
      <c r="F10" s="880"/>
      <c r="G10" s="880"/>
      <c r="H10" s="881"/>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29" t="s">
        <v>973</v>
      </c>
      <c r="B16" s="830"/>
      <c r="C16" s="830"/>
      <c r="D16" s="830"/>
      <c r="E16" s="830"/>
      <c r="F16" s="830"/>
      <c r="G16" s="830"/>
      <c r="H16" s="831"/>
    </row>
    <row r="17" spans="1:8" ht="35.450000000000003" customHeight="1" thickBot="1" x14ac:dyDescent="0.3">
      <c r="A17" s="832"/>
      <c r="B17" s="833"/>
      <c r="C17" s="833"/>
      <c r="D17" s="833"/>
      <c r="E17" s="833"/>
      <c r="F17" s="833"/>
      <c r="G17" s="833"/>
      <c r="H17" s="834"/>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47" t="s">
        <v>970</v>
      </c>
      <c r="B23" s="880"/>
      <c r="C23" s="880"/>
      <c r="D23" s="880"/>
      <c r="E23" s="880"/>
      <c r="F23" s="880"/>
      <c r="G23" s="880"/>
      <c r="H23" s="881"/>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882" t="s">
        <v>972</v>
      </c>
      <c r="B26" s="883"/>
      <c r="C26" s="883"/>
      <c r="D26" s="883"/>
      <c r="E26" s="883"/>
      <c r="F26" s="883"/>
      <c r="G26" s="883"/>
      <c r="H26" s="884"/>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1771</v>
      </c>
    </row>
    <row r="4" spans="2:12" x14ac:dyDescent="0.25">
      <c r="B4" s="65" t="s">
        <v>279</v>
      </c>
      <c r="C4" s="71">
        <f>SUM(C2:C3)</f>
        <v>32217.200000000001</v>
      </c>
      <c r="G4" s="420" t="s">
        <v>1770</v>
      </c>
    </row>
    <row r="5" spans="2:12" x14ac:dyDescent="0.25">
      <c r="B5" s="65"/>
      <c r="C5" s="79"/>
      <c r="G5" s="420" t="s">
        <v>1769</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1764</v>
      </c>
      <c r="K9" s="63" t="s">
        <v>141</v>
      </c>
      <c r="L9" s="64"/>
    </row>
    <row r="10" spans="2:12" x14ac:dyDescent="0.25">
      <c r="B10" s="65" t="s">
        <v>1443</v>
      </c>
      <c r="C10" s="71">
        <f>(C7/C7)*C3</f>
        <v>2108.66</v>
      </c>
      <c r="D10" s="420" t="s">
        <v>1768</v>
      </c>
      <c r="G10" s="791" t="s">
        <v>1991</v>
      </c>
      <c r="H10" s="790">
        <v>14459</v>
      </c>
      <c r="I10" s="66" t="str">
        <f t="shared" ref="I10:I18" ca="1" si="0">IFERROR(_xlfn.FORMULATEXT(H10)," ")</f>
        <v xml:space="preserve"> </v>
      </c>
      <c r="J10" s="789" t="s">
        <v>2000</v>
      </c>
      <c r="K10" s="790">
        <v>0</v>
      </c>
      <c r="L10" s="68" t="str">
        <f t="shared" ref="L10:L20" ca="1" si="1">IFERROR(_xlfn.FORMULATEXT(K10)," ")</f>
        <v xml:space="preserve"> </v>
      </c>
    </row>
    <row r="11" spans="2:12" x14ac:dyDescent="0.25">
      <c r="B11" s="65" t="s">
        <v>1444</v>
      </c>
      <c r="C11" s="71">
        <f>C10+C2</f>
        <v>32217.200000000001</v>
      </c>
      <c r="G11" s="791" t="s">
        <v>1992</v>
      </c>
      <c r="H11" s="789">
        <v>411</v>
      </c>
      <c r="I11" s="66" t="str">
        <f t="shared" ca="1" si="0"/>
        <v xml:space="preserve"> </v>
      </c>
      <c r="J11" s="789" t="s">
        <v>1767</v>
      </c>
      <c r="K11" s="789">
        <v>1067</v>
      </c>
      <c r="L11" s="68" t="str">
        <f t="shared" ca="1" si="1"/>
        <v xml:space="preserve"> </v>
      </c>
    </row>
    <row r="12" spans="2:12" x14ac:dyDescent="0.25">
      <c r="B12" s="65" t="s">
        <v>1445</v>
      </c>
      <c r="C12" s="629">
        <f>C11/C6</f>
        <v>6.7470575916230366</v>
      </c>
      <c r="E12" s="12"/>
      <c r="G12" s="791" t="s">
        <v>1993</v>
      </c>
      <c r="H12" s="790">
        <v>1060</v>
      </c>
      <c r="I12" s="66" t="str">
        <f t="shared" ca="1" si="0"/>
        <v xml:space="preserve"> </v>
      </c>
      <c r="J12" s="789" t="s">
        <v>1766</v>
      </c>
      <c r="K12" s="789">
        <v>733</v>
      </c>
      <c r="L12" s="68" t="str">
        <f t="shared" ca="1" si="1"/>
        <v xml:space="preserve"> </v>
      </c>
    </row>
    <row r="13" spans="2:12" x14ac:dyDescent="0.25">
      <c r="B13" s="65"/>
      <c r="C13" s="71"/>
      <c r="G13" s="791" t="s">
        <v>1994</v>
      </c>
      <c r="H13" s="790">
        <v>16020</v>
      </c>
      <c r="I13" s="66" t="str">
        <f t="shared" ca="1" si="0"/>
        <v xml:space="preserve"> </v>
      </c>
      <c r="J13" s="789" t="s">
        <v>2001</v>
      </c>
      <c r="K13" s="789">
        <f>0.61*506</f>
        <v>308.65999999999997</v>
      </c>
      <c r="L13" s="68" t="str">
        <f t="shared" ca="1" si="1"/>
        <v>=0.61*506</v>
      </c>
    </row>
    <row r="14" spans="2:12" x14ac:dyDescent="0.25">
      <c r="B14" s="65"/>
      <c r="C14" s="126" t="s">
        <v>270</v>
      </c>
      <c r="G14" s="791" t="s">
        <v>1995</v>
      </c>
      <c r="H14" s="790">
        <v>11924</v>
      </c>
      <c r="I14" s="66" t="str">
        <f t="shared" ca="1" si="0"/>
        <v xml:space="preserve"> </v>
      </c>
      <c r="J14" s="789" t="s">
        <v>2003</v>
      </c>
      <c r="K14" s="790">
        <f>SUM(K10:K13)</f>
        <v>2108.66</v>
      </c>
      <c r="L14" s="68" t="str">
        <f t="shared" ca="1" si="1"/>
        <v>=SUM(K10:K13)</v>
      </c>
    </row>
    <row r="15" spans="2:12" x14ac:dyDescent="0.25">
      <c r="B15" s="65" t="s">
        <v>271</v>
      </c>
      <c r="C15" s="156">
        <f>C2/C6</f>
        <v>6.3054534031413612</v>
      </c>
      <c r="D15" s="420" t="s">
        <v>316</v>
      </c>
      <c r="G15" s="791" t="s">
        <v>1997</v>
      </c>
      <c r="H15" s="790">
        <f>0.83*1740</f>
        <v>1444.1999999999998</v>
      </c>
      <c r="I15" s="66" t="str">
        <f t="shared" ca="1" si="0"/>
        <v>=0.83*1740</v>
      </c>
      <c r="J15" s="789"/>
      <c r="K15" s="789"/>
      <c r="L15" s="68" t="str">
        <f t="shared" ca="1" si="1"/>
        <v xml:space="preserve"> </v>
      </c>
    </row>
    <row r="16" spans="2:12" x14ac:dyDescent="0.25">
      <c r="B16" s="65" t="s">
        <v>265</v>
      </c>
      <c r="C16" s="156">
        <f>IF(C7&lt;=C6,C3/C6,C3/C7)</f>
        <v>0.36211543455497375</v>
      </c>
      <c r="G16" s="791" t="s">
        <v>1998</v>
      </c>
      <c r="H16" s="789">
        <f>506*0.39</f>
        <v>197.34</v>
      </c>
      <c r="I16" s="66" t="str">
        <f ca="1">IFERROR(_xlfn.FORMULATEXT(H16)," ")</f>
        <v>=506*0.39</v>
      </c>
      <c r="J16" s="789"/>
      <c r="K16" s="789"/>
      <c r="L16" s="68" t="str">
        <f t="shared" ca="1" si="1"/>
        <v xml:space="preserve"> </v>
      </c>
    </row>
    <row r="17" spans="2:14" x14ac:dyDescent="0.25">
      <c r="B17" s="65" t="s">
        <v>280</v>
      </c>
      <c r="C17" s="630">
        <f>SUM(C15:C16)</f>
        <v>6.6675688376963347</v>
      </c>
      <c r="G17" s="791" t="s">
        <v>1999</v>
      </c>
      <c r="H17" s="789">
        <v>257</v>
      </c>
      <c r="I17" s="66" t="str">
        <f ca="1">IFERROR(_xlfn.FORMULATEXT(H17)," ")</f>
        <v xml:space="preserve"> </v>
      </c>
      <c r="J17" s="789"/>
      <c r="K17" s="790"/>
      <c r="L17" s="68" t="str">
        <f t="shared" ca="1" si="1"/>
        <v xml:space="preserve"> </v>
      </c>
    </row>
    <row r="18" spans="2:14" x14ac:dyDescent="0.25">
      <c r="B18" s="65"/>
      <c r="C18" s="68"/>
      <c r="G18" s="791" t="s">
        <v>2002</v>
      </c>
      <c r="H18" s="790">
        <v>266</v>
      </c>
      <c r="I18" s="66" t="str">
        <f t="shared" ca="1" si="0"/>
        <v xml:space="preserve"> </v>
      </c>
      <c r="J18" s="789"/>
      <c r="K18" s="790"/>
      <c r="L18" s="68" t="str">
        <f t="shared" ca="1" si="1"/>
        <v xml:space="preserve"> </v>
      </c>
    </row>
    <row r="19" spans="2:14" ht="15.75" thickBot="1" x14ac:dyDescent="0.3">
      <c r="B19" s="72" t="s">
        <v>272</v>
      </c>
      <c r="C19" s="125">
        <f>C8*C17</f>
        <v>13835.205338219894</v>
      </c>
      <c r="G19" s="791" t="s">
        <v>1996</v>
      </c>
      <c r="H19" s="790">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8" t="s">
        <v>1208</v>
      </c>
    </row>
    <row r="25" spans="2:14" x14ac:dyDescent="0.25">
      <c r="B25" s="420" t="s">
        <v>274</v>
      </c>
    </row>
    <row r="26" spans="2:14" x14ac:dyDescent="0.25">
      <c r="B26" s="420" t="s">
        <v>933</v>
      </c>
    </row>
    <row r="27" spans="2:14" x14ac:dyDescent="0.25">
      <c r="B27" s="578"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8"/>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31"/>
      <c r="H32" s="70"/>
      <c r="I32" s="111">
        <f t="shared" ref="I32:I37" si="3">H32*C32</f>
        <v>0</v>
      </c>
      <c r="J32" s="66">
        <f>IF(E32&lt;I32,D32,H32)</f>
        <v>0</v>
      </c>
      <c r="K32" s="17">
        <f t="shared" ref="K32:K37" si="4">J32*C32</f>
        <v>0</v>
      </c>
      <c r="L32" s="68"/>
      <c r="N32" s="420"/>
    </row>
    <row r="33" spans="2:14" x14ac:dyDescent="0.25">
      <c r="B33" s="48"/>
      <c r="C33" s="70">
        <v>75000</v>
      </c>
      <c r="D33" s="70">
        <f>E71</f>
        <v>811.62047619047621</v>
      </c>
      <c r="E33" s="111">
        <f t="shared" si="2"/>
        <v>60871535.714285716</v>
      </c>
      <c r="F33" s="49">
        <f>1.08</f>
        <v>1.08</v>
      </c>
      <c r="G33" s="631">
        <v>0.22</v>
      </c>
      <c r="H33" s="70">
        <f>F33-G33</f>
        <v>0.8600000000000001</v>
      </c>
      <c r="I33" s="111">
        <f t="shared" si="3"/>
        <v>64500.000000000007</v>
      </c>
      <c r="J33" s="66">
        <f>IF(E33&lt;I33,D33,H33)</f>
        <v>0.8600000000000001</v>
      </c>
      <c r="K33" s="17">
        <f t="shared" si="4"/>
        <v>64500.000000000007</v>
      </c>
      <c r="L33" s="68"/>
      <c r="N33" s="578"/>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23"/>
    </row>
    <row r="38" spans="2:14" ht="15.75" thickBot="1" x14ac:dyDescent="0.3">
      <c r="B38" s="65"/>
      <c r="C38" s="66"/>
      <c r="D38" s="66"/>
      <c r="E38" s="17">
        <f>SUM(E32:E37)</f>
        <v>60871535.714285716</v>
      </c>
      <c r="F38" s="66"/>
      <c r="G38" s="66"/>
      <c r="H38" s="66"/>
      <c r="I38" s="17"/>
      <c r="J38" s="66"/>
      <c r="K38" s="94">
        <f>SUM(K32:K37)</f>
        <v>64500.000000000007</v>
      </c>
      <c r="L38" s="68"/>
      <c r="N38" s="623"/>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1970</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806</v>
      </c>
      <c r="F59" s="420" t="s">
        <v>1211</v>
      </c>
    </row>
    <row r="60" spans="2:11" x14ac:dyDescent="0.25">
      <c r="B60" s="65"/>
      <c r="C60" s="66"/>
      <c r="D60" s="66"/>
      <c r="E60" s="68"/>
      <c r="F60" s="420" t="s">
        <v>1213</v>
      </c>
      <c r="K60" s="161"/>
    </row>
    <row r="61" spans="2:11" x14ac:dyDescent="0.25">
      <c r="B61" s="65" t="s">
        <v>317</v>
      </c>
      <c r="C61" s="66"/>
      <c r="D61" s="66"/>
      <c r="E61" s="78">
        <v>18000</v>
      </c>
      <c r="F61" s="420" t="s">
        <v>1206</v>
      </c>
    </row>
    <row r="62" spans="2:11" x14ac:dyDescent="0.25">
      <c r="B62" s="65" t="s">
        <v>327</v>
      </c>
      <c r="C62" s="66"/>
      <c r="D62" s="66"/>
      <c r="E62" s="78">
        <v>100000</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1986</v>
      </c>
      <c r="C65" s="70">
        <v>-97500</v>
      </c>
      <c r="D65" s="70">
        <f>+(4*10000)+(5*6000)</f>
        <v>70000</v>
      </c>
      <c r="E65" s="160">
        <f>IF(C65&lt;&gt;0,C65/D65,0)</f>
        <v>-1.3928571428571428</v>
      </c>
    </row>
    <row r="66" spans="2:10" x14ac:dyDescent="0.25">
      <c r="B66" s="48" t="s">
        <v>1987</v>
      </c>
      <c r="C66" s="70">
        <v>28000</v>
      </c>
      <c r="D66" s="70">
        <v>6000</v>
      </c>
      <c r="E66" s="160">
        <f>IF(C66&lt;&gt;0,C66/D66,0)</f>
        <v>4.666666666666667</v>
      </c>
      <c r="F66" s="12"/>
    </row>
    <row r="67" spans="2:10" x14ac:dyDescent="0.25">
      <c r="B67" s="48" t="s">
        <v>1988</v>
      </c>
      <c r="C67" s="70">
        <v>13400</v>
      </c>
      <c r="D67" s="70">
        <f>2*6000</f>
        <v>12000</v>
      </c>
      <c r="E67" s="160">
        <f>IF(C67&lt;&gt;0,C67/D67,0)</f>
        <v>1.1166666666666667</v>
      </c>
      <c r="F67" s="12"/>
    </row>
    <row r="68" spans="2:10" x14ac:dyDescent="0.25">
      <c r="B68" s="48" t="s">
        <v>1989</v>
      </c>
      <c r="C68" s="70">
        <v>123000</v>
      </c>
      <c r="D68" s="70">
        <v>100000</v>
      </c>
      <c r="E68" s="160">
        <f>IF(C68&lt;&gt;0,C68/D68,0)</f>
        <v>1.23</v>
      </c>
      <c r="F68" s="420" t="s">
        <v>1971</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0" t="s">
        <v>1209</v>
      </c>
    </row>
    <row r="90" spans="2:6" x14ac:dyDescent="0.25">
      <c r="B90" s="48"/>
      <c r="C90" s="49"/>
      <c r="D90" s="100"/>
      <c r="F90" s="420"/>
    </row>
    <row r="91" spans="2:6" x14ac:dyDescent="0.25">
      <c r="B91" s="48"/>
      <c r="C91" s="49"/>
      <c r="D91" s="100"/>
      <c r="F91" s="420" t="s">
        <v>1210</v>
      </c>
    </row>
    <row r="92" spans="2:6" ht="15.75" thickBot="1" x14ac:dyDescent="0.3">
      <c r="B92" s="56"/>
      <c r="C92" s="57"/>
      <c r="D92" s="668"/>
    </row>
    <row r="94" spans="2:6" x14ac:dyDescent="0.25">
      <c r="D94" s="24"/>
    </row>
    <row r="95" spans="2:6" x14ac:dyDescent="0.25">
      <c r="D95" s="24"/>
    </row>
    <row r="97" spans="2:9" ht="15.75" thickBot="1" x14ac:dyDescent="0.3"/>
    <row r="98" spans="2:9" x14ac:dyDescent="0.25">
      <c r="B98" s="75" t="s">
        <v>1636</v>
      </c>
      <c r="C98" s="63"/>
      <c r="D98" s="63"/>
      <c r="E98" s="63"/>
      <c r="F98" s="63"/>
      <c r="G98" s="64"/>
      <c r="I98" s="420" t="s">
        <v>1874</v>
      </c>
    </row>
    <row r="99" spans="2:9" x14ac:dyDescent="0.25">
      <c r="B99" s="48" t="s">
        <v>1045</v>
      </c>
      <c r="C99" s="66" t="s">
        <v>1628</v>
      </c>
      <c r="D99" s="66"/>
      <c r="E99" s="66"/>
      <c r="F99" s="49"/>
      <c r="G99" s="68"/>
      <c r="I99" s="420" t="s">
        <v>1875</v>
      </c>
    </row>
    <row r="100" spans="2:9" x14ac:dyDescent="0.25">
      <c r="B100" s="65"/>
      <c r="C100" s="66"/>
      <c r="D100" s="66"/>
      <c r="E100" s="66"/>
      <c r="F100" s="66"/>
      <c r="G100" s="68"/>
      <c r="I100" s="420"/>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57"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69"/>
      <c r="C111" s="66"/>
      <c r="D111" s="66"/>
      <c r="E111" s="66"/>
      <c r="F111" s="66"/>
      <c r="G111" s="68"/>
    </row>
    <row r="112" spans="2:9" x14ac:dyDescent="0.25">
      <c r="B112" s="670" t="s">
        <v>699</v>
      </c>
      <c r="C112" s="66"/>
      <c r="D112" s="66"/>
      <c r="E112" s="66">
        <f>F109</f>
        <v>0</v>
      </c>
      <c r="F112" s="66"/>
      <c r="G112" s="68"/>
      <c r="H112" s="420"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496" t="s">
        <v>1873</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70" t="s">
        <v>1642</v>
      </c>
      <c r="C125" s="66"/>
      <c r="D125" s="66"/>
      <c r="E125" s="85">
        <f>F123</f>
        <v>0</v>
      </c>
      <c r="F125" s="85"/>
      <c r="G125" s="68"/>
    </row>
    <row r="126" spans="2:7" x14ac:dyDescent="0.25">
      <c r="B126" s="670"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72"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28"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1819</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36" t="s">
        <v>313</v>
      </c>
      <c r="L55" s="836"/>
      <c r="M55" s="836"/>
    </row>
    <row r="56" spans="2:13" x14ac:dyDescent="0.25">
      <c r="B56" s="15" t="s">
        <v>159</v>
      </c>
      <c r="C56" s="34"/>
      <c r="K56" s="836"/>
      <c r="L56" s="836"/>
      <c r="M56" s="836"/>
    </row>
    <row r="57" spans="2:13" x14ac:dyDescent="0.25">
      <c r="B57" s="15" t="s">
        <v>152</v>
      </c>
      <c r="C57" s="14"/>
      <c r="K57" s="836"/>
      <c r="L57" s="836"/>
      <c r="M57" s="836"/>
    </row>
    <row r="58" spans="2:13" x14ac:dyDescent="0.25">
      <c r="B58" s="15" t="s">
        <v>153</v>
      </c>
      <c r="C58" s="14"/>
      <c r="K58" s="836"/>
      <c r="L58" s="836"/>
      <c r="M58" s="836"/>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61"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election activeCell="G6" sqref="G6"/>
    </sheetView>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1830</v>
      </c>
    </row>
    <row r="2" spans="1:20" x14ac:dyDescent="0.25">
      <c r="C2" s="1" t="s">
        <v>1101</v>
      </c>
      <c r="D2" s="1" t="s">
        <v>1766</v>
      </c>
      <c r="E2" s="1" t="s">
        <v>1765</v>
      </c>
      <c r="F2" s="1" t="s">
        <v>1826</v>
      </c>
      <c r="G2" s="1" t="s">
        <v>631</v>
      </c>
      <c r="H2" s="885" t="s">
        <v>1827</v>
      </c>
      <c r="I2" s="885"/>
      <c r="J2" s="1" t="s">
        <v>36</v>
      </c>
      <c r="K2" s="1" t="s">
        <v>1865</v>
      </c>
      <c r="L2" s="1" t="s">
        <v>397</v>
      </c>
      <c r="M2" s="1" t="s">
        <v>396</v>
      </c>
      <c r="N2" s="1" t="s">
        <v>515</v>
      </c>
      <c r="O2" s="1" t="s">
        <v>1867</v>
      </c>
      <c r="P2" s="1" t="s">
        <v>1879</v>
      </c>
      <c r="Q2" s="1" t="s">
        <v>1828</v>
      </c>
      <c r="R2" s="1" t="s">
        <v>169</v>
      </c>
      <c r="S2" s="1" t="s">
        <v>1864</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1825</v>
      </c>
      <c r="C5" s="14">
        <v>6881</v>
      </c>
      <c r="D5" s="14">
        <v>1091</v>
      </c>
      <c r="E5" s="14"/>
      <c r="F5" s="14"/>
      <c r="G5" s="14">
        <v>150</v>
      </c>
      <c r="H5" s="14">
        <v>-9</v>
      </c>
      <c r="I5" s="14"/>
      <c r="J5" s="14"/>
      <c r="K5" s="14"/>
      <c r="L5" s="14"/>
      <c r="M5" s="14"/>
      <c r="N5" s="14"/>
      <c r="O5" s="14"/>
      <c r="P5" s="14"/>
      <c r="Q5" s="14"/>
      <c r="R5" s="14"/>
      <c r="S5" s="14"/>
    </row>
    <row r="6" spans="1:20" x14ac:dyDescent="0.25">
      <c r="A6" s="1" t="s">
        <v>1829</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1831</v>
      </c>
      <c r="C15" s="11">
        <f>SUM(C5:C14)</f>
        <v>6881</v>
      </c>
      <c r="D15" s="11">
        <f t="shared" ref="D15:R15" si="0">SUM(D5:D14)</f>
        <v>1091</v>
      </c>
      <c r="E15" s="11">
        <f t="shared" si="0"/>
        <v>0</v>
      </c>
      <c r="F15" s="11">
        <f t="shared" si="0"/>
        <v>0</v>
      </c>
      <c r="G15" s="11">
        <f t="shared" si="0"/>
        <v>150</v>
      </c>
      <c r="H15" s="11">
        <f t="shared" si="0"/>
        <v>-9</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1876</v>
      </c>
      <c r="C18" s="12">
        <f>SUM(C6:C14)*0.19</f>
        <v>0</v>
      </c>
    </row>
    <row r="20" spans="1:4" x14ac:dyDescent="0.25">
      <c r="A20" s="176" t="s">
        <v>1155</v>
      </c>
      <c r="C20" s="12">
        <f>C18</f>
        <v>0</v>
      </c>
    </row>
    <row r="21" spans="1:4" x14ac:dyDescent="0.25">
      <c r="A21" s="176" t="s">
        <v>1877</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zoomScale="80" zoomScaleNormal="80" workbookViewId="0">
      <pane ySplit="5" topLeftCell="A6" activePane="bottomLeft" state="frozen"/>
      <selection activeCell="B28" sqref="B28"/>
      <selection pane="bottomLeft" activeCell="A6" sqref="A6"/>
    </sheetView>
  </sheetViews>
  <sheetFormatPr defaultColWidth="3.5703125" defaultRowHeight="15" x14ac:dyDescent="0.25"/>
  <cols>
    <col min="1" max="1" width="3.5703125" style="591"/>
    <col min="2" max="2" width="73.7109375" style="591" customWidth="1"/>
    <col min="3" max="3" width="93.140625" style="610" hidden="1" customWidth="1"/>
    <col min="4" max="5" width="17.28515625" style="612" customWidth="1"/>
    <col min="6" max="16" width="3.5703125" style="591"/>
    <col min="17" max="17" width="48.28515625" style="591" bestFit="1" customWidth="1"/>
    <col min="18" max="18" width="28.28515625" style="591" bestFit="1" customWidth="1"/>
    <col min="19" max="19" width="17.7109375" style="591" bestFit="1" customWidth="1"/>
    <col min="20" max="20" width="25.85546875" style="591" bestFit="1" customWidth="1"/>
    <col min="21" max="23" width="3.5703125" style="591"/>
    <col min="24" max="24" width="5.140625" style="591" customWidth="1"/>
    <col min="25" max="32" width="3.5703125" style="591"/>
    <col min="33" max="33" width="13.5703125" style="591" customWidth="1"/>
    <col min="34" max="45" width="3.5703125" style="591"/>
    <col min="46" max="46" width="15.140625" style="591" customWidth="1"/>
    <col min="47" max="16384" width="3.5703125" style="591"/>
  </cols>
  <sheetData>
    <row r="2" spans="2:46" ht="18.75" customHeight="1" x14ac:dyDescent="0.25">
      <c r="B2" s="593" t="s">
        <v>654</v>
      </c>
      <c r="C2" s="886" t="s">
        <v>655</v>
      </c>
      <c r="D2" s="597"/>
      <c r="E2" s="597"/>
    </row>
    <row r="3" spans="2:46" ht="18.75" customHeight="1" x14ac:dyDescent="0.25">
      <c r="B3" s="594" t="s">
        <v>1287</v>
      </c>
      <c r="C3" s="887"/>
      <c r="D3" s="597"/>
      <c r="E3" s="597"/>
    </row>
    <row r="4" spans="2:46" ht="18.75" customHeight="1" thickBot="1" x14ac:dyDescent="0.3">
      <c r="B4" s="595" t="s">
        <v>717</v>
      </c>
      <c r="C4" s="888"/>
      <c r="D4" s="597"/>
      <c r="E4" s="597"/>
    </row>
    <row r="5" spans="2:46" ht="18.75" customHeight="1" x14ac:dyDescent="0.25">
      <c r="B5" s="596"/>
      <c r="C5" s="598" t="s">
        <v>663</v>
      </c>
      <c r="D5" s="599" t="s">
        <v>10</v>
      </c>
      <c r="E5" s="599" t="s">
        <v>10</v>
      </c>
      <c r="Q5" s="614" t="s">
        <v>1171</v>
      </c>
    </row>
    <row r="6" spans="2:46" ht="18.75" customHeight="1" x14ac:dyDescent="0.25">
      <c r="B6" s="594" t="s">
        <v>1218</v>
      </c>
      <c r="C6" s="592"/>
      <c r="D6" s="600"/>
      <c r="E6" s="600"/>
      <c r="Q6"/>
      <c r="R6"/>
      <c r="S6" s="13" t="s">
        <v>1044</v>
      </c>
      <c r="T6" s="13" t="s">
        <v>1045</v>
      </c>
      <c r="U6"/>
      <c r="V6" s="615"/>
      <c r="W6" s="615"/>
      <c r="X6" s="615"/>
    </row>
    <row r="7" spans="2:46" ht="18.75" customHeight="1" x14ac:dyDescent="0.25">
      <c r="B7" s="596" t="str">
        <f>IF(D7&gt;0,"Cash receipts from customers","Cashpaidtocustomers")</f>
        <v>Cashpaidtocustomers</v>
      </c>
      <c r="C7" s="592"/>
      <c r="D7" s="601">
        <f>R22</f>
        <v>0</v>
      </c>
      <c r="E7" s="600"/>
      <c r="Q7" s="1" t="s">
        <v>92</v>
      </c>
      <c r="R7"/>
      <c r="S7" s="2" t="s">
        <v>10</v>
      </c>
      <c r="T7" s="2" t="s">
        <v>10</v>
      </c>
      <c r="U7"/>
      <c r="V7" s="615"/>
      <c r="W7" s="615"/>
      <c r="X7" s="615"/>
      <c r="Z7" s="741" t="s">
        <v>69</v>
      </c>
      <c r="AA7" s="742"/>
      <c r="AB7" s="742"/>
      <c r="AC7" s="742"/>
      <c r="AD7" s="742"/>
      <c r="AE7" s="742"/>
      <c r="AF7" s="742"/>
      <c r="AG7" s="740"/>
      <c r="AJ7" s="741" t="s">
        <v>1173</v>
      </c>
      <c r="AK7" s="742"/>
      <c r="AL7" s="742"/>
      <c r="AM7" s="742"/>
      <c r="AN7" s="742"/>
      <c r="AO7" s="743"/>
      <c r="AP7" s="743"/>
      <c r="AQ7" s="743"/>
      <c r="AR7" s="743"/>
      <c r="AS7" s="743"/>
      <c r="AT7" s="743"/>
    </row>
    <row r="8" spans="2:46" ht="18.75" customHeight="1" x14ac:dyDescent="0.25">
      <c r="B8" s="596" t="str">
        <f>IF(D8&lt;0,"Cash paid to suppliers and employees","Cash received from suppliers")</f>
        <v>Cash received from suppliers</v>
      </c>
      <c r="C8" s="592"/>
      <c r="D8" s="602">
        <f>-T22</f>
        <v>0</v>
      </c>
      <c r="E8" s="600"/>
      <c r="Q8" t="s">
        <v>1172</v>
      </c>
      <c r="R8"/>
      <c r="S8" s="3"/>
      <c r="T8" s="3"/>
      <c r="U8"/>
      <c r="V8" s="615"/>
      <c r="W8" s="615"/>
      <c r="X8" s="615"/>
      <c r="Z8" s="742" t="s">
        <v>67</v>
      </c>
      <c r="AA8" s="742"/>
      <c r="AB8" s="742"/>
      <c r="AC8" s="742"/>
      <c r="AD8" s="742"/>
      <c r="AE8" s="742"/>
      <c r="AF8" s="742"/>
      <c r="AG8" s="739"/>
      <c r="AH8" s="682"/>
      <c r="AI8" s="682"/>
      <c r="AJ8" s="742" t="s">
        <v>1897</v>
      </c>
      <c r="AK8" s="742"/>
      <c r="AL8" s="742"/>
      <c r="AM8" s="742"/>
      <c r="AN8" s="742"/>
      <c r="AO8" s="743"/>
      <c r="AP8" s="743"/>
      <c r="AQ8" s="743"/>
      <c r="AR8" s="743"/>
      <c r="AS8" s="743"/>
      <c r="AT8" s="618"/>
    </row>
    <row r="9" spans="2:46" ht="18.75" customHeight="1" x14ac:dyDescent="0.25">
      <c r="B9" s="596" t="s">
        <v>1164</v>
      </c>
      <c r="C9" s="592"/>
      <c r="D9" s="603">
        <f>D7+D8</f>
        <v>0</v>
      </c>
      <c r="E9" s="600"/>
      <c r="Q9" t="s">
        <v>85</v>
      </c>
      <c r="R9"/>
      <c r="S9" s="3"/>
      <c r="T9" s="3"/>
      <c r="U9"/>
      <c r="V9" s="615"/>
      <c r="W9" s="615"/>
      <c r="X9" s="615"/>
      <c r="Z9" s="742" t="s">
        <v>1895</v>
      </c>
      <c r="AA9" s="742"/>
      <c r="AB9" s="742"/>
      <c r="AC9" s="742"/>
      <c r="AD9" s="742"/>
      <c r="AE9" s="742"/>
      <c r="AF9" s="742"/>
      <c r="AG9" s="739"/>
      <c r="AH9" s="682"/>
      <c r="AI9" s="682"/>
      <c r="AJ9" s="742" t="s">
        <v>1766</v>
      </c>
      <c r="AK9" s="742"/>
      <c r="AL9" s="742"/>
      <c r="AM9" s="742"/>
      <c r="AN9" s="742"/>
      <c r="AO9" s="743"/>
      <c r="AP9" s="743"/>
      <c r="AQ9" s="743"/>
      <c r="AR9" s="743"/>
      <c r="AS9" s="743"/>
      <c r="AT9" s="618"/>
    </row>
    <row r="10" spans="2:46" ht="18.75" customHeight="1" thickBot="1" x14ac:dyDescent="0.3">
      <c r="B10" s="596" t="s">
        <v>629</v>
      </c>
      <c r="C10" s="592" t="s">
        <v>1288</v>
      </c>
      <c r="D10" s="601">
        <f>T33</f>
        <v>0</v>
      </c>
      <c r="E10" s="600"/>
      <c r="Q10"/>
      <c r="R10"/>
      <c r="S10" s="225">
        <f>SUM(S8:S9)</f>
        <v>0</v>
      </c>
      <c r="T10" s="225">
        <f>SUM(T8:T9)</f>
        <v>0</v>
      </c>
      <c r="U10"/>
      <c r="V10" s="615"/>
      <c r="W10" s="615"/>
      <c r="X10" s="615"/>
      <c r="Z10" s="742" t="s">
        <v>1896</v>
      </c>
      <c r="AA10" s="742"/>
      <c r="AB10" s="742"/>
      <c r="AC10" s="742"/>
      <c r="AD10" s="742"/>
      <c r="AE10" s="742"/>
      <c r="AF10" s="742"/>
      <c r="AG10" s="739"/>
      <c r="AH10" s="682"/>
      <c r="AI10" s="682"/>
      <c r="AJ10" s="742" t="s">
        <v>1900</v>
      </c>
      <c r="AK10" s="742"/>
      <c r="AL10" s="742"/>
      <c r="AM10" s="742"/>
      <c r="AN10" s="742"/>
      <c r="AO10" s="743"/>
      <c r="AP10" s="743"/>
      <c r="AQ10" s="743"/>
      <c r="AR10" s="743"/>
      <c r="AS10" s="743"/>
      <c r="AT10" s="618"/>
    </row>
    <row r="11" spans="2:46" ht="18.75" customHeight="1" thickTop="1" x14ac:dyDescent="0.25">
      <c r="B11" s="596" t="s">
        <v>634</v>
      </c>
      <c r="C11" s="592"/>
      <c r="D11" s="602">
        <f>T42</f>
        <v>0</v>
      </c>
      <c r="E11" s="600"/>
      <c r="Q11"/>
      <c r="R11"/>
      <c r="S11"/>
      <c r="T11"/>
      <c r="U11"/>
      <c r="V11" s="615"/>
      <c r="W11" s="615"/>
      <c r="X11" s="615"/>
      <c r="Z11" s="742"/>
      <c r="AA11" s="742"/>
      <c r="AB11" s="742"/>
      <c r="AC11" s="742"/>
      <c r="AD11" s="742"/>
      <c r="AE11" s="742"/>
      <c r="AF11" s="742"/>
      <c r="AG11" s="740">
        <f>AG8-AG9+AG10</f>
        <v>0</v>
      </c>
      <c r="AH11" s="682"/>
      <c r="AI11" s="682"/>
      <c r="AJ11" s="742" t="s">
        <v>1901</v>
      </c>
      <c r="AK11" s="743"/>
      <c r="AL11" s="743"/>
      <c r="AM11" s="743"/>
      <c r="AN11" s="743"/>
      <c r="AO11" s="743"/>
      <c r="AP11" s="743"/>
      <c r="AQ11" s="743"/>
      <c r="AR11" s="743"/>
      <c r="AS11" s="743"/>
      <c r="AT11" s="618"/>
    </row>
    <row r="12" spans="2:46" ht="18.75" customHeight="1" x14ac:dyDescent="0.25">
      <c r="B12" s="604" t="s">
        <v>1289</v>
      </c>
      <c r="C12" s="592" t="s">
        <v>1290</v>
      </c>
      <c r="D12" s="605"/>
      <c r="E12" s="606">
        <f>SUM(D9:D11)</f>
        <v>0</v>
      </c>
      <c r="Q12"/>
      <c r="R12"/>
      <c r="S12"/>
      <c r="T12"/>
      <c r="U12"/>
      <c r="V12" s="615"/>
      <c r="W12" s="615"/>
      <c r="X12" s="615"/>
      <c r="AH12" s="682"/>
      <c r="AI12" s="682"/>
      <c r="AJ12" s="742" t="s">
        <v>1898</v>
      </c>
      <c r="AK12" s="742"/>
      <c r="AL12" s="742"/>
      <c r="AM12" s="742"/>
      <c r="AN12" s="742"/>
      <c r="AO12" s="743"/>
      <c r="AP12" s="743"/>
      <c r="AQ12" s="743"/>
      <c r="AR12" s="743"/>
      <c r="AS12" s="743"/>
      <c r="AT12" s="618"/>
    </row>
    <row r="13" spans="2:46" ht="18.75" customHeight="1" x14ac:dyDescent="0.25">
      <c r="B13" s="596"/>
      <c r="C13" s="592"/>
      <c r="D13" s="600"/>
      <c r="E13" s="600"/>
      <c r="Q13" t="s">
        <v>624</v>
      </c>
      <c r="R13"/>
      <c r="S13"/>
      <c r="T13"/>
      <c r="U13"/>
      <c r="V13" s="615"/>
      <c r="W13" s="615"/>
      <c r="X13" s="615"/>
      <c r="Z13" s="682"/>
      <c r="AA13" s="682"/>
      <c r="AB13" s="682"/>
      <c r="AC13" s="682"/>
      <c r="AD13" s="682"/>
      <c r="AE13" s="682"/>
      <c r="AF13" s="682"/>
      <c r="AG13" s="682"/>
      <c r="AH13" s="682"/>
      <c r="AI13" s="682"/>
      <c r="AJ13" s="742" t="s">
        <v>1899</v>
      </c>
      <c r="AK13" s="742"/>
      <c r="AL13" s="742"/>
      <c r="AM13" s="742"/>
      <c r="AN13" s="742"/>
      <c r="AO13" s="743"/>
      <c r="AP13" s="743"/>
      <c r="AQ13" s="743"/>
      <c r="AR13" s="743"/>
      <c r="AS13" s="743"/>
      <c r="AT13" s="618"/>
    </row>
    <row r="14" spans="2:46" ht="18.75" customHeight="1" x14ac:dyDescent="0.25">
      <c r="B14" s="594" t="s">
        <v>1219</v>
      </c>
      <c r="C14" s="592" t="s">
        <v>667</v>
      </c>
      <c r="D14" s="600"/>
      <c r="E14" s="600"/>
      <c r="Q14"/>
      <c r="R14" t="s">
        <v>625</v>
      </c>
      <c r="S14"/>
      <c r="T14" t="s">
        <v>86</v>
      </c>
      <c r="U14"/>
      <c r="V14" s="615"/>
      <c r="W14" s="615"/>
      <c r="X14" s="615"/>
      <c r="AJ14" s="743"/>
      <c r="AK14" s="743"/>
      <c r="AL14" s="743"/>
      <c r="AM14" s="743"/>
      <c r="AN14" s="743"/>
      <c r="AO14" s="743"/>
      <c r="AP14" s="743"/>
      <c r="AQ14" s="743"/>
      <c r="AR14" s="743"/>
      <c r="AS14" s="743"/>
      <c r="AT14" s="743">
        <f>SUM(AT8:AT13)</f>
        <v>0</v>
      </c>
    </row>
    <row r="15" spans="2:46" ht="18.75" customHeight="1" x14ac:dyDescent="0.25">
      <c r="B15" s="596" t="s">
        <v>1291</v>
      </c>
      <c r="C15" s="592"/>
      <c r="D15" s="601"/>
      <c r="E15" s="600"/>
      <c r="Q15"/>
      <c r="R15" s="2" t="s">
        <v>10</v>
      </c>
      <c r="S15"/>
      <c r="T15" s="2" t="s">
        <v>10</v>
      </c>
      <c r="U15"/>
      <c r="V15" s="615"/>
      <c r="W15" s="615"/>
      <c r="X15" s="615"/>
    </row>
    <row r="16" spans="2:46" ht="18.75" customHeight="1" x14ac:dyDescent="0.25">
      <c r="B16" s="596" t="s">
        <v>1292</v>
      </c>
      <c r="C16" s="592"/>
      <c r="D16" s="601"/>
      <c r="E16" s="600"/>
      <c r="Q16" s="15" t="s">
        <v>626</v>
      </c>
      <c r="R16" s="14"/>
      <c r="S16" s="15" t="s">
        <v>626</v>
      </c>
      <c r="T16" s="14"/>
      <c r="U16"/>
      <c r="V16" s="616" t="s">
        <v>1272</v>
      </c>
      <c r="W16" s="615"/>
      <c r="X16" s="615"/>
    </row>
    <row r="17" spans="2:27" ht="18.75" customHeight="1" x14ac:dyDescent="0.25">
      <c r="B17" s="596" t="s">
        <v>1293</v>
      </c>
      <c r="C17" s="592" t="s">
        <v>1294</v>
      </c>
      <c r="D17" s="601"/>
      <c r="E17" s="600"/>
      <c r="Q17" s="15" t="s">
        <v>58</v>
      </c>
      <c r="R17" s="14"/>
      <c r="S17" s="15" t="s">
        <v>69</v>
      </c>
      <c r="T17" s="14"/>
      <c r="U17"/>
      <c r="V17" s="616" t="s">
        <v>1174</v>
      </c>
      <c r="W17" s="615"/>
      <c r="X17" s="615"/>
    </row>
    <row r="18" spans="2:27" ht="18.75" customHeight="1" x14ac:dyDescent="0.25">
      <c r="B18" s="596" t="s">
        <v>1295</v>
      </c>
      <c r="C18" s="592" t="s">
        <v>1294</v>
      </c>
      <c r="D18" s="601"/>
      <c r="E18" s="600"/>
      <c r="Q18" s="15" t="s">
        <v>1271</v>
      </c>
      <c r="R18" s="3"/>
      <c r="S18" s="15" t="s">
        <v>721</v>
      </c>
      <c r="T18" s="14"/>
      <c r="U18"/>
      <c r="V18" s="615"/>
      <c r="W18" s="615"/>
      <c r="X18" s="615"/>
    </row>
    <row r="19" spans="2:27" ht="18.75" customHeight="1" x14ac:dyDescent="0.25">
      <c r="B19" s="596" t="s">
        <v>1296</v>
      </c>
      <c r="C19" s="592" t="s">
        <v>1297</v>
      </c>
      <c r="D19" s="601"/>
      <c r="E19" s="600"/>
      <c r="Q19" s="176" t="s">
        <v>1270</v>
      </c>
      <c r="R19" s="3"/>
      <c r="S19" s="15" t="s">
        <v>1173</v>
      </c>
      <c r="T19" s="14"/>
      <c r="U19"/>
      <c r="V19" s="616" t="s">
        <v>1700</v>
      </c>
      <c r="W19" s="615"/>
      <c r="X19" s="615"/>
    </row>
    <row r="20" spans="2:27" ht="18.75" customHeight="1" x14ac:dyDescent="0.25">
      <c r="B20" s="596" t="s">
        <v>1298</v>
      </c>
      <c r="C20" s="592" t="s">
        <v>1297</v>
      </c>
      <c r="D20" s="601"/>
      <c r="E20" s="600"/>
      <c r="Q20"/>
      <c r="R20" s="11">
        <f>SUM(R16:R19)</f>
        <v>0</v>
      </c>
      <c r="S20" s="11"/>
      <c r="T20" s="11">
        <f>SUM(T16:T19)</f>
        <v>0</v>
      </c>
      <c r="U20"/>
      <c r="V20" s="615"/>
      <c r="W20" s="615"/>
      <c r="X20" s="615"/>
    </row>
    <row r="21" spans="2:27" ht="18.75" customHeight="1" x14ac:dyDescent="0.25">
      <c r="B21" s="596" t="s">
        <v>645</v>
      </c>
      <c r="C21" s="592" t="s">
        <v>1299</v>
      </c>
      <c r="D21" s="601"/>
      <c r="E21" s="600"/>
      <c r="Q21" s="15" t="s">
        <v>627</v>
      </c>
      <c r="R21" s="14"/>
      <c r="S21" s="15" t="s">
        <v>627</v>
      </c>
      <c r="T21" s="14"/>
      <c r="U21"/>
      <c r="V21" s="615"/>
      <c r="W21" s="615"/>
      <c r="X21" s="615"/>
      <c r="AA21" s="682"/>
    </row>
    <row r="22" spans="2:27" ht="18.75" customHeight="1" thickBot="1" x14ac:dyDescent="0.3">
      <c r="B22" s="596" t="s">
        <v>1163</v>
      </c>
      <c r="C22" s="592" t="s">
        <v>1299</v>
      </c>
      <c r="D22" s="602"/>
      <c r="E22" s="600"/>
      <c r="Q22" s="15" t="s">
        <v>628</v>
      </c>
      <c r="R22" s="94">
        <f>R20-R21</f>
        <v>0</v>
      </c>
      <c r="S22"/>
      <c r="T22" s="94">
        <f>T20-T21</f>
        <v>0</v>
      </c>
      <c r="U22"/>
      <c r="V22" s="615"/>
      <c r="W22" s="615"/>
      <c r="X22" s="615"/>
    </row>
    <row r="23" spans="2:27" ht="18.75" customHeight="1" thickTop="1" x14ac:dyDescent="0.25">
      <c r="B23" s="604" t="s">
        <v>1300</v>
      </c>
      <c r="C23" s="592" t="s">
        <v>1290</v>
      </c>
      <c r="D23" s="605"/>
      <c r="E23" s="606">
        <f>SUM(D15:D22)</f>
        <v>0</v>
      </c>
      <c r="Q23"/>
      <c r="R23"/>
      <c r="S23"/>
      <c r="T23"/>
      <c r="U23"/>
      <c r="V23" s="615"/>
      <c r="W23" s="615"/>
      <c r="X23" s="615"/>
    </row>
    <row r="24" spans="2:27" ht="18.75" customHeight="1" x14ac:dyDescent="0.25">
      <c r="B24" s="596"/>
      <c r="C24" s="592"/>
      <c r="D24" s="600"/>
      <c r="E24" s="600"/>
      <c r="Q24" s="1" t="s">
        <v>1165</v>
      </c>
      <c r="R24"/>
      <c r="S24"/>
      <c r="T24" s="220">
        <f>R22+T22</f>
        <v>0</v>
      </c>
      <c r="U24"/>
      <c r="V24" s="615"/>
      <c r="W24" s="615"/>
      <c r="X24" s="615"/>
    </row>
    <row r="25" spans="2:27" ht="18.75" customHeight="1" x14ac:dyDescent="0.25">
      <c r="B25" s="594" t="s">
        <v>1167</v>
      </c>
      <c r="C25" s="592"/>
      <c r="D25" s="600"/>
      <c r="E25" s="600"/>
      <c r="Q25"/>
      <c r="R25"/>
      <c r="S25"/>
      <c r="T25"/>
      <c r="U25"/>
      <c r="V25" s="615"/>
      <c r="W25" s="615"/>
      <c r="X25" s="615"/>
    </row>
    <row r="26" spans="2:27" ht="18.75" customHeight="1" x14ac:dyDescent="0.25">
      <c r="B26" s="596" t="s">
        <v>1168</v>
      </c>
      <c r="C26" s="592"/>
      <c r="D26" s="601"/>
      <c r="E26" s="600"/>
      <c r="Q26" s="1" t="s">
        <v>629</v>
      </c>
      <c r="R26"/>
      <c r="S26"/>
      <c r="T26"/>
      <c r="U26"/>
      <c r="V26" s="615"/>
      <c r="W26" s="615"/>
      <c r="X26" s="615"/>
    </row>
    <row r="27" spans="2:27" ht="18.75" customHeight="1" x14ac:dyDescent="0.25">
      <c r="B27" s="596" t="s">
        <v>1301</v>
      </c>
      <c r="C27" s="592"/>
      <c r="D27" s="601"/>
      <c r="E27" s="600"/>
      <c r="Q27" t="s">
        <v>630</v>
      </c>
      <c r="R27"/>
      <c r="S27"/>
      <c r="T27" s="14"/>
      <c r="U27"/>
      <c r="V27" s="615"/>
      <c r="W27" s="615"/>
      <c r="X27" s="615"/>
    </row>
    <row r="28" spans="2:27" ht="18.75" customHeight="1" x14ac:dyDescent="0.25">
      <c r="B28" s="596" t="s">
        <v>1302</v>
      </c>
      <c r="C28" s="592" t="s">
        <v>1303</v>
      </c>
      <c r="D28" s="640">
        <f>T91</f>
        <v>0</v>
      </c>
      <c r="E28" s="600"/>
      <c r="Q28" t="s">
        <v>631</v>
      </c>
      <c r="R28"/>
      <c r="S28"/>
      <c r="T28" s="14"/>
      <c r="U28"/>
      <c r="V28" s="615"/>
      <c r="W28" s="615"/>
      <c r="X28" s="615"/>
    </row>
    <row r="29" spans="2:27" ht="18.75" customHeight="1" x14ac:dyDescent="0.25">
      <c r="B29" s="596" t="s">
        <v>1304</v>
      </c>
      <c r="C29" s="592" t="s">
        <v>1305</v>
      </c>
      <c r="D29" s="640">
        <f>-T104</f>
        <v>0</v>
      </c>
      <c r="E29" s="600"/>
      <c r="Q29" t="s">
        <v>632</v>
      </c>
      <c r="R29"/>
      <c r="S29"/>
      <c r="T29" s="14"/>
      <c r="U29"/>
      <c r="V29" s="615"/>
      <c r="W29" s="615"/>
      <c r="X29" s="615"/>
    </row>
    <row r="30" spans="2:27" ht="18.75" customHeight="1" x14ac:dyDescent="0.25">
      <c r="B30" s="596" t="s">
        <v>1166</v>
      </c>
      <c r="C30" s="592"/>
      <c r="D30" s="601"/>
      <c r="E30" s="600"/>
      <c r="Q30" t="s">
        <v>644</v>
      </c>
      <c r="R30"/>
      <c r="S30"/>
      <c r="T30" s="14"/>
      <c r="U30"/>
      <c r="V30" s="615"/>
      <c r="W30" s="615"/>
      <c r="X30" s="615"/>
    </row>
    <row r="31" spans="2:27" ht="18.75" customHeight="1" x14ac:dyDescent="0.25">
      <c r="B31" s="596" t="s">
        <v>375</v>
      </c>
      <c r="C31" s="592" t="s">
        <v>1299</v>
      </c>
      <c r="D31" s="602"/>
      <c r="E31" s="600"/>
      <c r="Q31"/>
      <c r="R31"/>
      <c r="S31"/>
      <c r="T31" s="130">
        <f>T27+T28-T30+T29</f>
        <v>0</v>
      </c>
      <c r="U31"/>
      <c r="V31" s="615"/>
      <c r="W31" s="615"/>
      <c r="X31" s="615"/>
    </row>
    <row r="32" spans="2:27" ht="18.75" customHeight="1" x14ac:dyDescent="0.25">
      <c r="B32" s="604" t="s">
        <v>1306</v>
      </c>
      <c r="C32" s="592" t="s">
        <v>1290</v>
      </c>
      <c r="D32" s="605"/>
      <c r="E32" s="607">
        <f>SUM(D26:D31)</f>
        <v>0</v>
      </c>
      <c r="Q32" t="s">
        <v>633</v>
      </c>
      <c r="R32"/>
      <c r="S32"/>
      <c r="T32" s="14"/>
      <c r="U32"/>
      <c r="V32" s="615"/>
      <c r="W32" s="615"/>
      <c r="X32" s="615"/>
    </row>
    <row r="33" spans="2:24" ht="18.75" customHeight="1" thickBot="1" x14ac:dyDescent="0.3">
      <c r="B33" s="596"/>
      <c r="C33" s="592"/>
      <c r="D33" s="600"/>
      <c r="E33" s="605"/>
      <c r="Q33" t="s">
        <v>629</v>
      </c>
      <c r="R33"/>
      <c r="S33"/>
      <c r="T33" s="18">
        <f>T31-T32</f>
        <v>0</v>
      </c>
      <c r="U33"/>
      <c r="V33" s="615"/>
      <c r="W33" s="615"/>
      <c r="X33" s="615"/>
    </row>
    <row r="34" spans="2:24" ht="18.75" customHeight="1" thickTop="1" x14ac:dyDescent="0.25">
      <c r="B34" s="594" t="s">
        <v>1307</v>
      </c>
      <c r="C34" s="592" t="s">
        <v>1308</v>
      </c>
      <c r="D34" s="600"/>
      <c r="E34" s="606">
        <f>SUM(E12,E23,E32)</f>
        <v>0</v>
      </c>
      <c r="Q34"/>
      <c r="R34"/>
      <c r="S34"/>
      <c r="T34"/>
      <c r="U34"/>
      <c r="V34" s="615"/>
      <c r="W34" s="615"/>
      <c r="X34" s="615"/>
    </row>
    <row r="35" spans="2:24" ht="18.75" customHeight="1" x14ac:dyDescent="0.25">
      <c r="B35" s="608" t="s">
        <v>1309</v>
      </c>
      <c r="C35" s="592" t="s">
        <v>1310</v>
      </c>
      <c r="D35" s="600"/>
      <c r="E35" s="602">
        <f>T10</f>
        <v>0</v>
      </c>
      <c r="Q35" s="1" t="s">
        <v>634</v>
      </c>
      <c r="R35"/>
      <c r="S35"/>
      <c r="T35"/>
      <c r="U35"/>
      <c r="V35" s="615"/>
      <c r="W35" s="615"/>
      <c r="X35" s="615"/>
    </row>
    <row r="36" spans="2:24" ht="18.75" customHeight="1" thickBot="1" x14ac:dyDescent="0.3">
      <c r="B36" s="594" t="s">
        <v>1311</v>
      </c>
      <c r="C36" s="592" t="s">
        <v>1310</v>
      </c>
      <c r="D36" s="600"/>
      <c r="E36" s="609">
        <f>S10</f>
        <v>0</v>
      </c>
      <c r="Q36" t="s">
        <v>635</v>
      </c>
      <c r="R36"/>
      <c r="S36" s="14"/>
      <c r="T36" s="11"/>
      <c r="U36"/>
      <c r="V36" s="615"/>
      <c r="W36" s="615"/>
      <c r="X36" s="615"/>
    </row>
    <row r="37" spans="2:24" ht="18.75" customHeight="1" x14ac:dyDescent="0.25">
      <c r="D37" s="611"/>
      <c r="E37" s="611"/>
      <c r="Q37" t="s">
        <v>636</v>
      </c>
      <c r="R37"/>
      <c r="S37" s="14"/>
      <c r="T37" s="11">
        <f>S37+S36</f>
        <v>0</v>
      </c>
      <c r="U37"/>
      <c r="V37" s="615"/>
      <c r="W37" s="615"/>
      <c r="X37" s="615"/>
    </row>
    <row r="38" spans="2:24" ht="18.75" customHeight="1" x14ac:dyDescent="0.25">
      <c r="C38" s="592" t="s">
        <v>1312</v>
      </c>
      <c r="D38" s="889">
        <f>E36-(SUM(E34:E35))</f>
        <v>0</v>
      </c>
      <c r="E38" s="890"/>
      <c r="Q38" t="s">
        <v>1</v>
      </c>
      <c r="R38"/>
      <c r="S38" s="11"/>
      <c r="T38" s="14"/>
      <c r="U38"/>
      <c r="V38" s="615"/>
      <c r="W38" s="615"/>
      <c r="X38" s="615"/>
    </row>
    <row r="39" spans="2:24" ht="18.75" customHeight="1" x14ac:dyDescent="0.25">
      <c r="D39" s="611"/>
      <c r="E39" s="611"/>
      <c r="Q39"/>
      <c r="R39"/>
      <c r="S39" s="11"/>
      <c r="T39" s="11">
        <f>T37+T38</f>
        <v>0</v>
      </c>
      <c r="U39"/>
      <c r="V39" s="615"/>
      <c r="W39" s="615"/>
      <c r="X39" s="615"/>
    </row>
    <row r="40" spans="2:24" ht="18.75" customHeight="1" x14ac:dyDescent="0.25">
      <c r="D40" s="611"/>
      <c r="E40" s="611"/>
      <c r="Q40" t="s">
        <v>637</v>
      </c>
      <c r="R40"/>
      <c r="S40" s="14"/>
      <c r="T40" s="11"/>
      <c r="U40"/>
      <c r="V40" s="615"/>
      <c r="W40" s="615"/>
      <c r="X40" s="615"/>
    </row>
    <row r="41" spans="2:24" ht="18.75" customHeight="1" x14ac:dyDescent="0.25">
      <c r="D41" s="611"/>
      <c r="E41" s="611"/>
      <c r="Q41" t="s">
        <v>638</v>
      </c>
      <c r="R41"/>
      <c r="S41" s="14"/>
      <c r="T41" s="11">
        <f>S41+S40</f>
        <v>0</v>
      </c>
      <c r="U41"/>
      <c r="V41" s="615"/>
      <c r="W41" s="615"/>
      <c r="X41" s="615"/>
    </row>
    <row r="42" spans="2:24" ht="18.75" customHeight="1" thickBot="1" x14ac:dyDescent="0.3">
      <c r="D42" s="611"/>
      <c r="E42" s="611"/>
      <c r="Q42" t="s">
        <v>634</v>
      </c>
      <c r="R42"/>
      <c r="S42" s="11"/>
      <c r="T42" s="18">
        <f>T39-T41</f>
        <v>0</v>
      </c>
      <c r="U42"/>
      <c r="V42" s="615"/>
      <c r="W42" s="615"/>
      <c r="X42" s="615"/>
    </row>
    <row r="43" spans="2:24" ht="18.75" customHeight="1" thickTop="1" x14ac:dyDescent="0.25">
      <c r="D43" s="611"/>
      <c r="E43" s="611"/>
      <c r="Q43"/>
      <c r="R43"/>
      <c r="S43"/>
      <c r="T43"/>
      <c r="U43"/>
      <c r="V43" s="615"/>
      <c r="W43" s="615"/>
      <c r="X43" s="615"/>
    </row>
    <row r="44" spans="2:24" ht="18.75" customHeight="1" x14ac:dyDescent="0.25">
      <c r="D44" s="611"/>
      <c r="E44" s="611"/>
      <c r="Q44" s="1" t="s">
        <v>639</v>
      </c>
      <c r="R44"/>
      <c r="S44"/>
      <c r="T44"/>
      <c r="U44"/>
      <c r="V44" s="615"/>
      <c r="W44" s="615"/>
      <c r="X44" s="615"/>
    </row>
    <row r="45" spans="2:24" ht="18.75" customHeight="1" x14ac:dyDescent="0.25">
      <c r="D45" s="611"/>
      <c r="E45" s="611"/>
      <c r="Q45" t="s">
        <v>640</v>
      </c>
      <c r="R45"/>
      <c r="S45"/>
      <c r="T45" s="14"/>
      <c r="U45"/>
      <c r="V45" s="615"/>
      <c r="W45" s="615"/>
      <c r="X45" s="615"/>
    </row>
    <row r="46" spans="2:24" ht="18.75" customHeight="1" x14ac:dyDescent="0.25">
      <c r="D46" s="611"/>
      <c r="E46" s="611"/>
      <c r="Q46" t="s">
        <v>641</v>
      </c>
      <c r="R46"/>
      <c r="S46"/>
      <c r="T46" s="14"/>
      <c r="U46"/>
      <c r="V46" s="615"/>
      <c r="W46" s="615"/>
      <c r="X46" s="615"/>
    </row>
    <row r="47" spans="2:24" ht="18.75" customHeight="1" x14ac:dyDescent="0.25">
      <c r="D47" s="611"/>
      <c r="E47" s="611"/>
      <c r="Q47" t="s">
        <v>643</v>
      </c>
      <c r="R47"/>
      <c r="S47"/>
      <c r="T47" s="14"/>
      <c r="U47"/>
      <c r="V47" s="615"/>
      <c r="W47" s="615"/>
      <c r="X47" s="615"/>
    </row>
    <row r="48" spans="2:24" ht="18.75" customHeight="1" x14ac:dyDescent="0.25">
      <c r="D48" s="611"/>
      <c r="E48" s="611"/>
      <c r="Q48" t="s">
        <v>1273</v>
      </c>
      <c r="R48"/>
      <c r="S48"/>
      <c r="T48" s="14"/>
      <c r="U48"/>
      <c r="V48" s="615"/>
      <c r="W48" s="615"/>
      <c r="X48" s="615"/>
    </row>
    <row r="49" spans="4:24" ht="18.75" customHeight="1" x14ac:dyDescent="0.25">
      <c r="D49" s="611"/>
      <c r="E49" s="611"/>
      <c r="Q49" t="s">
        <v>1274</v>
      </c>
      <c r="R49"/>
      <c r="S49"/>
      <c r="T49" s="14"/>
      <c r="U49"/>
      <c r="V49" s="615"/>
      <c r="W49" s="615"/>
      <c r="X49" s="615"/>
    </row>
    <row r="50" spans="4:24" ht="18.75" customHeight="1" x14ac:dyDescent="0.25">
      <c r="D50" s="611"/>
      <c r="E50" s="611"/>
      <c r="Q50"/>
      <c r="R50"/>
      <c r="S50"/>
      <c r="T50" s="130">
        <f>T45-T47+T46-T48+T49</f>
        <v>0</v>
      </c>
      <c r="U50"/>
      <c r="V50" s="615"/>
      <c r="W50" s="615"/>
      <c r="X50" s="615"/>
    </row>
    <row r="51" spans="4:24" ht="18.75" customHeight="1" x14ac:dyDescent="0.25">
      <c r="D51" s="611"/>
      <c r="E51" s="611"/>
      <c r="Q51" t="s">
        <v>642</v>
      </c>
      <c r="R51"/>
      <c r="S51"/>
      <c r="T51" s="14"/>
      <c r="U51"/>
      <c r="V51" s="615"/>
      <c r="W51" s="615"/>
      <c r="X51" s="615"/>
    </row>
    <row r="52" spans="4:24" ht="18.75" customHeight="1" thickBot="1" x14ac:dyDescent="0.3">
      <c r="D52" s="611"/>
      <c r="E52" s="611"/>
      <c r="Q52" t="s">
        <v>639</v>
      </c>
      <c r="R52"/>
      <c r="S52"/>
      <c r="T52" s="18">
        <f>T51-T50</f>
        <v>0</v>
      </c>
      <c r="U52"/>
      <c r="V52" s="615"/>
      <c r="W52" s="615"/>
      <c r="X52" s="615"/>
    </row>
    <row r="53" spans="4:24" ht="18.75" customHeight="1" thickTop="1" x14ac:dyDescent="0.25">
      <c r="D53" s="611"/>
      <c r="E53" s="611"/>
      <c r="Q53"/>
      <c r="R53"/>
      <c r="S53"/>
      <c r="T53" s="66"/>
      <c r="U53"/>
      <c r="V53" s="615"/>
      <c r="W53" s="615"/>
      <c r="X53" s="615"/>
    </row>
    <row r="54" spans="4:24" x14ac:dyDescent="0.25">
      <c r="Q54" s="1" t="s">
        <v>1335</v>
      </c>
      <c r="R54" s="617"/>
      <c r="S54" s="617"/>
      <c r="T54" s="617"/>
      <c r="U54" s="617"/>
      <c r="V54" s="615"/>
      <c r="W54" s="615"/>
      <c r="X54" s="615"/>
    </row>
    <row r="55" spans="4:24" x14ac:dyDescent="0.25">
      <c r="Q55" t="s">
        <v>233</v>
      </c>
      <c r="R55" s="617"/>
      <c r="S55" s="617"/>
      <c r="T55" s="618"/>
      <c r="U55" s="617"/>
      <c r="V55" s="615"/>
      <c r="W55" s="615"/>
      <c r="X55" s="615"/>
    </row>
    <row r="56" spans="4:24" x14ac:dyDescent="0.25">
      <c r="Q56" t="s">
        <v>1336</v>
      </c>
      <c r="R56" s="617"/>
      <c r="S56" s="617"/>
      <c r="T56" s="618"/>
      <c r="U56" s="617"/>
      <c r="V56" s="615"/>
      <c r="W56" s="615"/>
      <c r="X56" s="615"/>
    </row>
    <row r="57" spans="4:24" ht="15.75" thickBot="1" x14ac:dyDescent="0.3">
      <c r="Q57" t="s">
        <v>1335</v>
      </c>
      <c r="R57" s="617"/>
      <c r="S57" s="617"/>
      <c r="T57" s="18">
        <f>T55-T56</f>
        <v>0</v>
      </c>
      <c r="U57" s="617"/>
      <c r="V57" s="615"/>
      <c r="W57" s="615"/>
      <c r="X57" s="615"/>
    </row>
    <row r="58" spans="4:24" ht="15.75" thickTop="1" x14ac:dyDescent="0.25">
      <c r="Q58" s="617"/>
      <c r="R58" s="617"/>
      <c r="S58" s="617"/>
      <c r="T58" s="617"/>
      <c r="U58" s="617"/>
      <c r="V58" s="615"/>
      <c r="W58" s="615"/>
      <c r="X58" s="615"/>
    </row>
    <row r="59" spans="4:24" x14ac:dyDescent="0.25">
      <c r="Q59" s="617"/>
      <c r="R59" s="617"/>
      <c r="S59" s="617"/>
      <c r="T59" s="617"/>
      <c r="U59" s="617"/>
      <c r="V59" s="615"/>
      <c r="W59" s="615"/>
      <c r="X59" s="615"/>
    </row>
    <row r="60" spans="4:24" x14ac:dyDescent="0.25">
      <c r="Q60" s="1" t="s">
        <v>645</v>
      </c>
      <c r="R60"/>
      <c r="S60"/>
      <c r="T60" s="66"/>
      <c r="U60"/>
      <c r="V60" s="615"/>
      <c r="W60" s="615"/>
      <c r="X60" s="615"/>
    </row>
    <row r="61" spans="4:24" x14ac:dyDescent="0.25">
      <c r="Q61" t="s">
        <v>646</v>
      </c>
      <c r="R61"/>
      <c r="S61"/>
      <c r="T61" s="3"/>
      <c r="U61"/>
      <c r="V61" s="615"/>
      <c r="W61" s="615"/>
      <c r="X61" s="615"/>
    </row>
    <row r="62" spans="4:24" x14ac:dyDescent="0.25">
      <c r="Q62" t="s">
        <v>647</v>
      </c>
      <c r="R62"/>
      <c r="S62"/>
      <c r="T62" s="14"/>
      <c r="U62"/>
      <c r="V62" s="615"/>
      <c r="W62" s="615"/>
      <c r="X62" s="615"/>
    </row>
    <row r="63" spans="4:24" x14ac:dyDescent="0.25">
      <c r="Q63" t="s">
        <v>1217</v>
      </c>
      <c r="R63"/>
      <c r="S63"/>
      <c r="T63" s="14"/>
      <c r="U63"/>
      <c r="V63" s="615"/>
      <c r="W63" s="615"/>
      <c r="X63" s="615"/>
    </row>
    <row r="64" spans="4:24" x14ac:dyDescent="0.25">
      <c r="Q64" t="s">
        <v>350</v>
      </c>
      <c r="R64"/>
      <c r="S64"/>
      <c r="T64" s="14"/>
      <c r="U64"/>
      <c r="V64" s="615"/>
      <c r="W64" s="615"/>
      <c r="X64" s="615"/>
    </row>
    <row r="65" spans="17:24" x14ac:dyDescent="0.25">
      <c r="Q65"/>
      <c r="R65"/>
      <c r="S65"/>
      <c r="T65" s="195">
        <f>T61+T62+T64-T63</f>
        <v>0</v>
      </c>
      <c r="U65"/>
      <c r="V65" s="615"/>
      <c r="W65" s="615"/>
      <c r="X65" s="615"/>
    </row>
    <row r="66" spans="17:24" x14ac:dyDescent="0.25">
      <c r="Q66" t="s">
        <v>648</v>
      </c>
      <c r="R66"/>
      <c r="S66"/>
      <c r="T66" s="3">
        <v>0</v>
      </c>
      <c r="U66"/>
      <c r="V66" s="615"/>
      <c r="W66" s="615"/>
      <c r="X66" s="615"/>
    </row>
    <row r="67" spans="17:24" ht="15.75" thickBot="1" x14ac:dyDescent="0.3">
      <c r="Q67" t="s">
        <v>645</v>
      </c>
      <c r="R67"/>
      <c r="S67"/>
      <c r="T67" s="18">
        <f>T65-T66</f>
        <v>0</v>
      </c>
      <c r="U67"/>
      <c r="V67" s="615"/>
      <c r="W67" s="615"/>
      <c r="X67" s="615"/>
    </row>
    <row r="68" spans="17:24" ht="15.75" thickTop="1" x14ac:dyDescent="0.25">
      <c r="Q68"/>
      <c r="R68"/>
      <c r="S68"/>
      <c r="T68" s="66"/>
      <c r="U68"/>
      <c r="V68" s="615"/>
      <c r="W68" s="615"/>
      <c r="X68" s="615"/>
    </row>
    <row r="69" spans="17:24" x14ac:dyDescent="0.25">
      <c r="Q69" s="1" t="s">
        <v>375</v>
      </c>
      <c r="R69"/>
      <c r="S69"/>
      <c r="T69" s="66"/>
      <c r="U69"/>
      <c r="V69" s="615"/>
      <c r="W69" s="615"/>
      <c r="X69" s="615"/>
    </row>
    <row r="70" spans="17:24" x14ac:dyDescent="0.25">
      <c r="Q70" t="s">
        <v>649</v>
      </c>
      <c r="R70"/>
      <c r="S70"/>
      <c r="T70" s="70"/>
      <c r="U70"/>
      <c r="V70" s="615"/>
      <c r="W70" s="615"/>
      <c r="X70" s="615"/>
    </row>
    <row r="71" spans="17:24" x14ac:dyDescent="0.25">
      <c r="Q71" t="s">
        <v>650</v>
      </c>
      <c r="R71"/>
      <c r="S71"/>
      <c r="T71" s="70"/>
      <c r="U71"/>
      <c r="V71" s="615"/>
      <c r="W71" s="615"/>
      <c r="X71" s="615"/>
    </row>
    <row r="72" spans="17:24" x14ac:dyDescent="0.25">
      <c r="Q72" t="s">
        <v>1327</v>
      </c>
      <c r="R72"/>
      <c r="S72"/>
      <c r="T72" s="70"/>
      <c r="U72"/>
      <c r="V72" s="615"/>
      <c r="W72" s="615"/>
      <c r="X72" s="615"/>
    </row>
    <row r="73" spans="17:24" x14ac:dyDescent="0.25">
      <c r="Q73" t="s">
        <v>651</v>
      </c>
      <c r="R73"/>
      <c r="S73"/>
      <c r="T73" s="70"/>
      <c r="U73" s="420" t="s">
        <v>653</v>
      </c>
      <c r="V73" s="615"/>
      <c r="W73" s="615"/>
      <c r="X73" s="615"/>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17"/>
      <c r="S81" s="617"/>
      <c r="T81" s="617"/>
      <c r="U81" s="617"/>
    </row>
    <row r="82" spans="17:21" x14ac:dyDescent="0.25">
      <c r="Q82" t="s">
        <v>1329</v>
      </c>
      <c r="R82" s="617"/>
      <c r="S82" s="617"/>
      <c r="T82" s="266"/>
      <c r="U82" s="617"/>
    </row>
    <row r="83" spans="17:21" x14ac:dyDescent="0.25">
      <c r="Q83" t="s">
        <v>22</v>
      </c>
      <c r="R83" s="617"/>
      <c r="S83" s="617"/>
      <c r="T83" s="3"/>
      <c r="U83" s="617"/>
    </row>
    <row r="84" spans="17:21" x14ac:dyDescent="0.25">
      <c r="Q84"/>
      <c r="R84" s="617"/>
      <c r="S84" s="617"/>
      <c r="T84" s="130">
        <f>SUM(T82:T83)</f>
        <v>0</v>
      </c>
      <c r="U84" s="617"/>
    </row>
    <row r="85" spans="17:21" x14ac:dyDescent="0.25">
      <c r="Q85" t="s">
        <v>1330</v>
      </c>
      <c r="R85" s="617"/>
      <c r="S85" s="617"/>
      <c r="T85" s="70"/>
      <c r="U85" s="617"/>
    </row>
    <row r="86" spans="17:21" ht="15.75" thickBot="1" x14ac:dyDescent="0.3">
      <c r="Q86" t="s">
        <v>1328</v>
      </c>
      <c r="R86" s="617"/>
      <c r="S86" s="617"/>
      <c r="T86" s="94">
        <f>T85-T84</f>
        <v>0</v>
      </c>
      <c r="U86" s="617"/>
    </row>
    <row r="87" spans="17:21" ht="15.75" thickTop="1" x14ac:dyDescent="0.25">
      <c r="Q87" s="617"/>
      <c r="R87" s="617"/>
      <c r="S87" s="617"/>
      <c r="T87" s="617"/>
      <c r="U87" s="617"/>
    </row>
    <row r="88" spans="17:21" x14ac:dyDescent="0.25">
      <c r="Q88" s="1" t="s">
        <v>1331</v>
      </c>
      <c r="R88" s="617"/>
      <c r="S88" s="617"/>
      <c r="T88" s="617"/>
      <c r="U88" s="617"/>
    </row>
    <row r="89" spans="17:21" x14ac:dyDescent="0.25">
      <c r="Q89" t="s">
        <v>1332</v>
      </c>
      <c r="R89" s="617"/>
      <c r="S89" s="617"/>
      <c r="T89" s="618"/>
      <c r="U89" s="617"/>
    </row>
    <row r="90" spans="17:21" x14ac:dyDescent="0.25">
      <c r="Q90" t="s">
        <v>1333</v>
      </c>
      <c r="R90" s="617"/>
      <c r="S90" s="617"/>
      <c r="T90" s="618"/>
      <c r="U90" s="617"/>
    </row>
    <row r="91" spans="17:21" ht="15.75" thickBot="1" x14ac:dyDescent="0.3">
      <c r="Q91" t="s">
        <v>1334</v>
      </c>
      <c r="R91" s="617"/>
      <c r="S91" s="617"/>
      <c r="T91" s="94">
        <f>T90-T89</f>
        <v>0</v>
      </c>
      <c r="U91" s="617"/>
    </row>
    <row r="92" spans="17:21" ht="15.75" thickTop="1" x14ac:dyDescent="0.25">
      <c r="Q92"/>
      <c r="R92" s="617"/>
      <c r="S92" s="617"/>
      <c r="T92" s="17"/>
      <c r="U92" s="617"/>
    </row>
    <row r="93" spans="17:21" x14ac:dyDescent="0.25">
      <c r="Q93" s="1" t="s">
        <v>1169</v>
      </c>
      <c r="R93" s="617"/>
      <c r="S93" s="617"/>
      <c r="T93" s="617"/>
      <c r="U93" s="617"/>
    </row>
    <row r="94" spans="17:21" x14ac:dyDescent="0.25">
      <c r="Q94" t="s">
        <v>1457</v>
      </c>
      <c r="R94" s="617"/>
      <c r="S94" s="617"/>
      <c r="T94" s="618"/>
      <c r="U94" s="617"/>
    </row>
    <row r="95" spans="17:21" x14ac:dyDescent="0.25">
      <c r="Q95" t="s">
        <v>1458</v>
      </c>
      <c r="R95" s="617"/>
      <c r="S95" s="617"/>
      <c r="T95" s="618"/>
      <c r="U95" s="617"/>
    </row>
    <row r="96" spans="17:21" x14ac:dyDescent="0.25">
      <c r="Q96" s="617"/>
      <c r="R96" s="617"/>
      <c r="S96" s="617"/>
      <c r="T96" s="637">
        <f>SUM(T94:T95)</f>
        <v>0</v>
      </c>
      <c r="U96" s="617"/>
    </row>
    <row r="97" spans="17:21" x14ac:dyDescent="0.25">
      <c r="Q97" t="s">
        <v>1459</v>
      </c>
      <c r="R97" s="617"/>
      <c r="S97" s="617"/>
      <c r="T97" s="618"/>
      <c r="U97" s="617"/>
    </row>
    <row r="98" spans="17:21" ht="15.75" thickBot="1" x14ac:dyDescent="0.3">
      <c r="Q98" t="s">
        <v>1169</v>
      </c>
      <c r="R98" s="617"/>
      <c r="S98" s="617"/>
      <c r="T98" s="638">
        <f>T97-T96</f>
        <v>0</v>
      </c>
      <c r="U98" s="617"/>
    </row>
    <row r="99" spans="17:21" ht="15.75" thickTop="1" x14ac:dyDescent="0.25">
      <c r="Q99" s="617"/>
      <c r="R99" s="617"/>
      <c r="S99" s="617"/>
      <c r="T99" s="617"/>
      <c r="U99" s="617"/>
    </row>
    <row r="100" spans="17:21" x14ac:dyDescent="0.25">
      <c r="Q100" s="617"/>
      <c r="R100" s="617"/>
      <c r="S100" s="617"/>
      <c r="T100" s="617"/>
      <c r="U100" s="617"/>
    </row>
    <row r="101" spans="17:21" x14ac:dyDescent="0.25">
      <c r="Q101" s="1" t="s">
        <v>1460</v>
      </c>
      <c r="R101" s="617"/>
      <c r="S101" s="617"/>
      <c r="T101" s="617"/>
      <c r="U101" s="617"/>
    </row>
    <row r="102" spans="17:21" x14ac:dyDescent="0.25">
      <c r="Q102" t="s">
        <v>1461</v>
      </c>
      <c r="R102" s="617"/>
      <c r="S102" s="617"/>
      <c r="T102" s="3"/>
      <c r="U102" s="617"/>
    </row>
    <row r="103" spans="17:21" x14ac:dyDescent="0.25">
      <c r="Q103" t="s">
        <v>1462</v>
      </c>
      <c r="R103" s="617"/>
      <c r="S103" s="617"/>
      <c r="T103" s="3"/>
      <c r="U103" s="617"/>
    </row>
    <row r="104" spans="17:21" ht="15.75" thickBot="1" x14ac:dyDescent="0.3">
      <c r="Q104" t="s">
        <v>1460</v>
      </c>
      <c r="R104" s="617"/>
      <c r="S104" s="617"/>
      <c r="T104" s="638">
        <f>T102-T103</f>
        <v>0</v>
      </c>
      <c r="U104" s="617"/>
    </row>
    <row r="105" spans="17:21" ht="15.75" thickTop="1" x14ac:dyDescent="0.25">
      <c r="Q105" s="617"/>
      <c r="R105" s="617"/>
      <c r="S105" s="617"/>
      <c r="T105" s="617"/>
      <c r="U105" s="617"/>
    </row>
    <row r="106" spans="17:21" x14ac:dyDescent="0.25">
      <c r="Q106" s="617"/>
      <c r="R106" s="617"/>
      <c r="S106" s="617"/>
      <c r="T106" s="617"/>
      <c r="U106" s="617"/>
    </row>
    <row r="107" spans="17:21" ht="15.75" x14ac:dyDescent="0.25">
      <c r="Q107" s="639" t="s">
        <v>1170</v>
      </c>
      <c r="R107" s="617"/>
      <c r="S107" s="617"/>
      <c r="T107" s="617"/>
      <c r="U107" s="617"/>
    </row>
    <row r="108" spans="17:21" x14ac:dyDescent="0.25">
      <c r="Q108" t="s">
        <v>1457</v>
      </c>
      <c r="R108" s="617"/>
      <c r="S108" s="617"/>
      <c r="T108" s="618"/>
      <c r="U108" s="617"/>
    </row>
    <row r="109" spans="17:21" x14ac:dyDescent="0.25">
      <c r="Q109" t="s">
        <v>1463</v>
      </c>
      <c r="R109" s="617"/>
      <c r="S109" s="617"/>
      <c r="T109" s="618"/>
      <c r="U109" s="617"/>
    </row>
    <row r="110" spans="17:21" x14ac:dyDescent="0.25">
      <c r="Q110"/>
      <c r="R110" s="617"/>
      <c r="S110" s="617"/>
      <c r="T110" s="637">
        <f>SUM(T108:T109)</f>
        <v>0</v>
      </c>
      <c r="U110" s="617"/>
    </row>
    <row r="111" spans="17:21" x14ac:dyDescent="0.25">
      <c r="Q111" t="s">
        <v>1459</v>
      </c>
      <c r="R111" s="617"/>
      <c r="S111" s="617"/>
      <c r="T111" s="618"/>
      <c r="U111" s="617"/>
    </row>
    <row r="112" spans="17:21" x14ac:dyDescent="0.25">
      <c r="Q112" t="s">
        <v>1464</v>
      </c>
      <c r="R112" s="617"/>
      <c r="S112" s="617"/>
      <c r="T112" s="617">
        <f>T110-T111</f>
        <v>0</v>
      </c>
      <c r="U112" s="617"/>
    </row>
    <row r="113" spans="17:21" x14ac:dyDescent="0.25">
      <c r="Q113" t="s">
        <v>1465</v>
      </c>
      <c r="R113" s="617"/>
      <c r="S113" s="617"/>
      <c r="T113" s="618"/>
      <c r="U113" s="617"/>
    </row>
    <row r="114" spans="17:21" ht="15.75" thickBot="1" x14ac:dyDescent="0.3">
      <c r="Q114" t="s">
        <v>1170</v>
      </c>
      <c r="R114" s="617"/>
      <c r="S114" s="617"/>
      <c r="T114" s="638">
        <f>T113+T112</f>
        <v>0</v>
      </c>
      <c r="U114" s="617"/>
    </row>
    <row r="115" spans="17:21" ht="15.75" thickTop="1" x14ac:dyDescent="0.25">
      <c r="Q115" s="617"/>
      <c r="R115" s="617"/>
      <c r="S115" s="617"/>
      <c r="T115" s="617"/>
      <c r="U115" s="617"/>
    </row>
    <row r="116" spans="17:21" x14ac:dyDescent="0.25">
      <c r="Q116" s="617"/>
      <c r="R116" s="617"/>
      <c r="S116" s="617"/>
      <c r="T116" s="617"/>
      <c r="U116" s="617"/>
    </row>
    <row r="117" spans="17:21" ht="15.75" x14ac:dyDescent="0.25">
      <c r="Q117" s="639" t="s">
        <v>1533</v>
      </c>
      <c r="R117" s="617"/>
      <c r="S117" s="617"/>
      <c r="T117" s="617"/>
      <c r="U117" s="617"/>
    </row>
    <row r="118" spans="17:21" x14ac:dyDescent="0.25">
      <c r="Q118" t="s">
        <v>1534</v>
      </c>
      <c r="R118" s="617"/>
      <c r="S118" s="617"/>
      <c r="T118" s="618"/>
      <c r="U118" s="617"/>
    </row>
    <row r="119" spans="17:21" x14ac:dyDescent="0.25">
      <c r="Q119" t="s">
        <v>1535</v>
      </c>
      <c r="R119" s="617"/>
      <c r="S119" s="617"/>
      <c r="T119" s="618"/>
      <c r="U119" s="617"/>
    </row>
    <row r="120" spans="17:21" x14ac:dyDescent="0.25">
      <c r="Q120"/>
      <c r="R120" s="617"/>
      <c r="S120" s="617"/>
      <c r="T120" s="659">
        <f>T118+T119</f>
        <v>0</v>
      </c>
      <c r="U120" s="617"/>
    </row>
    <row r="121" spans="17:21" x14ac:dyDescent="0.25">
      <c r="Q121" t="s">
        <v>1536</v>
      </c>
      <c r="R121" s="617"/>
      <c r="S121" s="617"/>
      <c r="T121" s="618"/>
      <c r="U121" s="617"/>
    </row>
    <row r="122" spans="17:21" ht="15.75" thickBot="1" x14ac:dyDescent="0.3">
      <c r="Q122" t="s">
        <v>1166</v>
      </c>
      <c r="R122" s="617"/>
      <c r="S122" s="617"/>
      <c r="T122" s="638">
        <f>T120-T121</f>
        <v>0</v>
      </c>
      <c r="U122" s="617"/>
    </row>
    <row r="123" spans="17:21" ht="15.75" thickTop="1" x14ac:dyDescent="0.25">
      <c r="Q123" s="617"/>
      <c r="R123" s="617"/>
      <c r="S123" s="617"/>
      <c r="T123" s="617"/>
      <c r="U123" s="617"/>
    </row>
    <row r="124" spans="17:21" x14ac:dyDescent="0.25">
      <c r="Q124" s="617"/>
      <c r="R124" s="617"/>
      <c r="S124" s="617"/>
      <c r="T124" s="617"/>
      <c r="U124" s="617"/>
    </row>
    <row r="125" spans="17:21" x14ac:dyDescent="0.25">
      <c r="Q125" s="617"/>
      <c r="R125" s="617"/>
      <c r="S125" s="617"/>
      <c r="T125" s="617"/>
      <c r="U125" s="617"/>
    </row>
    <row r="126" spans="17:21" x14ac:dyDescent="0.25">
      <c r="Q126" s="617"/>
      <c r="R126" s="617"/>
      <c r="S126" s="617"/>
      <c r="T126" s="617"/>
      <c r="U126" s="617"/>
    </row>
    <row r="127" spans="17:21" x14ac:dyDescent="0.25">
      <c r="Q127" s="617"/>
      <c r="R127" s="617"/>
      <c r="S127" s="617"/>
      <c r="T127" s="617"/>
      <c r="U127" s="617"/>
    </row>
    <row r="128" spans="17:21" x14ac:dyDescent="0.25">
      <c r="Q128" s="617"/>
      <c r="R128" s="617"/>
      <c r="S128" s="617"/>
      <c r="T128" s="617"/>
      <c r="U128" s="617"/>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1:R118"/>
  <sheetViews>
    <sheetView tabSelected="1" zoomScale="40" zoomScaleNormal="40" workbookViewId="0">
      <pane ySplit="5" topLeftCell="A6" activePane="bottomLeft" state="frozen"/>
      <selection pane="bottomLeft" activeCell="E56" sqref="B2:E56"/>
    </sheetView>
  </sheetViews>
  <sheetFormatPr defaultColWidth="3.5703125" defaultRowHeight="15" x14ac:dyDescent="0.25"/>
  <cols>
    <col min="1" max="1" width="3.5703125" style="591"/>
    <col min="2" max="2" width="73.7109375" style="591" customWidth="1"/>
    <col min="3" max="3" width="104" style="610" hidden="1" customWidth="1"/>
    <col min="4" max="5" width="17.28515625" style="612" customWidth="1"/>
    <col min="6" max="8" width="3.5703125" style="591"/>
    <col min="9" max="9" width="65.5703125" style="591" bestFit="1" customWidth="1"/>
    <col min="10" max="10" width="12.28515625" style="591" customWidth="1"/>
    <col min="11" max="11" width="24.28515625" style="591" bestFit="1" customWidth="1"/>
    <col min="12" max="12" width="25.85546875" style="591" customWidth="1"/>
    <col min="13" max="13" width="19.5703125" style="591" customWidth="1"/>
    <col min="14" max="14" width="3.5703125" style="591"/>
    <col min="15" max="15" width="6.28515625" style="591" bestFit="1" customWidth="1"/>
    <col min="16" max="16" width="6" style="591" bestFit="1" customWidth="1"/>
    <col min="17" max="17" width="3.5703125" style="591"/>
    <col min="18" max="18" width="6.28515625" style="591" bestFit="1" customWidth="1"/>
    <col min="19" max="16384" width="3.5703125" style="591"/>
  </cols>
  <sheetData>
    <row r="1" spans="2:18" x14ac:dyDescent="0.25">
      <c r="I1" s="273"/>
      <c r="J1" s="273"/>
      <c r="K1" s="745" t="s">
        <v>1044</v>
      </c>
      <c r="L1" s="745" t="s">
        <v>1045</v>
      </c>
    </row>
    <row r="2" spans="2:18" ht="18.75" customHeight="1" x14ac:dyDescent="0.25">
      <c r="B2" s="593" t="s">
        <v>654</v>
      </c>
      <c r="C2" s="886" t="s">
        <v>655</v>
      </c>
      <c r="D2" s="597"/>
      <c r="E2" s="597"/>
      <c r="I2" s="272" t="s">
        <v>92</v>
      </c>
      <c r="J2" s="273"/>
      <c r="K2" s="746" t="s">
        <v>10</v>
      </c>
      <c r="L2" s="746" t="s">
        <v>10</v>
      </c>
    </row>
    <row r="3" spans="2:18" ht="18.75" customHeight="1" x14ac:dyDescent="0.25">
      <c r="B3" s="594" t="s">
        <v>1287</v>
      </c>
      <c r="C3" s="887"/>
      <c r="D3" s="597"/>
      <c r="E3" s="597"/>
      <c r="I3" s="273" t="s">
        <v>1172</v>
      </c>
      <c r="J3" s="273"/>
      <c r="K3" s="893">
        <v>7742</v>
      </c>
      <c r="L3" s="893">
        <v>10028</v>
      </c>
    </row>
    <row r="4" spans="2:18" ht="18.75" customHeight="1" thickBot="1" x14ac:dyDescent="0.3">
      <c r="B4" s="595" t="s">
        <v>717</v>
      </c>
      <c r="C4" s="888"/>
      <c r="D4" s="597"/>
      <c r="E4" s="597"/>
      <c r="I4" s="273" t="s">
        <v>85</v>
      </c>
      <c r="J4" s="273"/>
      <c r="K4" s="893"/>
      <c r="L4" s="893"/>
    </row>
    <row r="5" spans="2:18" ht="18.75" customHeight="1" thickBot="1" x14ac:dyDescent="0.3">
      <c r="B5" s="596"/>
      <c r="C5" s="598" t="s">
        <v>663</v>
      </c>
      <c r="D5" s="599" t="s">
        <v>10</v>
      </c>
      <c r="E5" s="599" t="s">
        <v>10</v>
      </c>
      <c r="I5" s="273"/>
      <c r="J5" s="273"/>
      <c r="K5" s="894">
        <f>SUM(K3:K4)</f>
        <v>7742</v>
      </c>
      <c r="L5" s="894">
        <f>SUM(L3:L4)</f>
        <v>10028</v>
      </c>
    </row>
    <row r="6" spans="2:18" ht="18.75" customHeight="1" thickTop="1" x14ac:dyDescent="0.25">
      <c r="B6" s="594" t="s">
        <v>1218</v>
      </c>
      <c r="C6" s="592"/>
      <c r="D6" s="600"/>
      <c r="E6" s="600"/>
    </row>
    <row r="7" spans="2:18" ht="18.75" customHeight="1" x14ac:dyDescent="0.25">
      <c r="B7" s="596" t="s">
        <v>1313</v>
      </c>
      <c r="C7" s="592" t="s">
        <v>1314</v>
      </c>
      <c r="D7" s="914">
        <f>'Adjustments for cash flow'!C15</f>
        <v>6881</v>
      </c>
      <c r="E7" s="915"/>
      <c r="I7" s="272" t="s">
        <v>624</v>
      </c>
      <c r="J7" s="273"/>
      <c r="K7" s="273"/>
      <c r="L7" s="273"/>
      <c r="M7" s="273"/>
      <c r="N7" s="273"/>
    </row>
    <row r="8" spans="2:18" ht="18.75" customHeight="1" x14ac:dyDescent="0.25">
      <c r="B8" s="596" t="s">
        <v>1189</v>
      </c>
      <c r="C8" s="592"/>
      <c r="D8" s="916"/>
      <c r="E8" s="915"/>
      <c r="I8" s="273"/>
      <c r="J8" s="273" t="s">
        <v>56</v>
      </c>
      <c r="K8" s="273" t="s">
        <v>625</v>
      </c>
      <c r="L8" s="273" t="s">
        <v>86</v>
      </c>
      <c r="M8" s="273" t="s">
        <v>119</v>
      </c>
      <c r="N8" s="273"/>
    </row>
    <row r="9" spans="2:18" ht="18.75" customHeight="1" x14ac:dyDescent="0.25">
      <c r="B9" s="613" t="s">
        <v>1315</v>
      </c>
      <c r="C9" s="592" t="s">
        <v>1316</v>
      </c>
      <c r="D9" s="917">
        <f>'Adjustments for cash flow'!D15</f>
        <v>1091</v>
      </c>
      <c r="E9" s="915"/>
      <c r="I9" s="273"/>
      <c r="J9" s="746" t="s">
        <v>10</v>
      </c>
      <c r="K9" s="746" t="s">
        <v>10</v>
      </c>
      <c r="L9" s="746" t="s">
        <v>10</v>
      </c>
      <c r="M9" s="746" t="s">
        <v>10</v>
      </c>
      <c r="N9" s="273"/>
      <c r="R9" s="616" t="s">
        <v>1192</v>
      </c>
    </row>
    <row r="10" spans="2:18" ht="18.75" customHeight="1" x14ac:dyDescent="0.25">
      <c r="B10" s="613" t="s">
        <v>1317</v>
      </c>
      <c r="C10" s="592" t="s">
        <v>1316</v>
      </c>
      <c r="D10" s="917"/>
      <c r="E10" s="915"/>
      <c r="I10" s="273" t="s">
        <v>626</v>
      </c>
      <c r="J10" s="895">
        <v>23073</v>
      </c>
      <c r="K10" s="895">
        <v>6470</v>
      </c>
      <c r="L10" s="895">
        <f>3674-24</f>
        <v>3650</v>
      </c>
      <c r="M10" s="893"/>
      <c r="N10" s="273"/>
      <c r="R10" s="616" t="s">
        <v>1191</v>
      </c>
    </row>
    <row r="11" spans="2:18" ht="18.75" customHeight="1" x14ac:dyDescent="0.25">
      <c r="B11" s="613" t="s">
        <v>1318</v>
      </c>
      <c r="C11" s="592" t="s">
        <v>1316</v>
      </c>
      <c r="D11" s="917">
        <f>'Adjustments for cash flow'!H15</f>
        <v>-9</v>
      </c>
      <c r="E11" s="915"/>
      <c r="I11" s="273" t="s">
        <v>1190</v>
      </c>
      <c r="J11" s="895"/>
      <c r="K11" s="895"/>
      <c r="L11" s="895"/>
      <c r="M11" s="893"/>
      <c r="N11" s="273"/>
    </row>
    <row r="12" spans="2:18" ht="18.75" customHeight="1" x14ac:dyDescent="0.25">
      <c r="B12" s="613" t="s">
        <v>1319</v>
      </c>
      <c r="C12" s="592" t="s">
        <v>1316</v>
      </c>
      <c r="D12" s="917"/>
      <c r="E12" s="915"/>
      <c r="I12" s="273" t="s">
        <v>627</v>
      </c>
      <c r="J12" s="895">
        <v>25919</v>
      </c>
      <c r="K12" s="895">
        <v>7010</v>
      </c>
      <c r="L12" s="895">
        <f>3246-32</f>
        <v>3214</v>
      </c>
      <c r="M12" s="893"/>
      <c r="N12" s="273"/>
    </row>
    <row r="13" spans="2:18" ht="18.75" customHeight="1" thickBot="1" x14ac:dyDescent="0.3">
      <c r="B13" s="613" t="s">
        <v>1320</v>
      </c>
      <c r="C13" s="592" t="s">
        <v>1316</v>
      </c>
      <c r="D13" s="917">
        <f>'Adjustments for cash flow'!I15</f>
        <v>0</v>
      </c>
      <c r="E13" s="915"/>
      <c r="I13" s="273" t="s">
        <v>628</v>
      </c>
      <c r="J13" s="894">
        <f>J12-J10-J11</f>
        <v>2846</v>
      </c>
      <c r="K13" s="894">
        <f>K12-K10-K11</f>
        <v>540</v>
      </c>
      <c r="L13" s="894">
        <f>L12-L10-L11</f>
        <v>-436</v>
      </c>
      <c r="M13" s="894">
        <f>M12-M10-M11</f>
        <v>0</v>
      </c>
      <c r="N13" s="273"/>
    </row>
    <row r="14" spans="2:18" ht="18.75" customHeight="1" thickTop="1" x14ac:dyDescent="0.25">
      <c r="B14" s="613" t="s">
        <v>1321</v>
      </c>
      <c r="C14" s="592" t="s">
        <v>1316</v>
      </c>
      <c r="D14" s="917"/>
      <c r="E14" s="915"/>
      <c r="I14" s="272" t="s">
        <v>1165</v>
      </c>
      <c r="J14" s="792"/>
      <c r="K14" s="792"/>
      <c r="L14" s="793"/>
      <c r="M14" s="896">
        <f>-(J13+K13+L13+M13)</f>
        <v>-2950</v>
      </c>
      <c r="N14" s="273"/>
    </row>
    <row r="15" spans="2:18" ht="18.75" customHeight="1" x14ac:dyDescent="0.25">
      <c r="B15" s="613" t="s">
        <v>1322</v>
      </c>
      <c r="C15" s="592" t="s">
        <v>1316</v>
      </c>
      <c r="D15" s="917"/>
      <c r="E15" s="915"/>
      <c r="I15" s="273"/>
      <c r="J15" s="273"/>
      <c r="K15" s="273"/>
      <c r="L15" s="273"/>
      <c r="M15" s="273"/>
      <c r="N15" s="273"/>
    </row>
    <row r="16" spans="2:18" ht="18.75" customHeight="1" x14ac:dyDescent="0.25">
      <c r="B16" s="613" t="s">
        <v>1323</v>
      </c>
      <c r="C16" s="592" t="s">
        <v>1316</v>
      </c>
      <c r="D16" s="917"/>
      <c r="E16" s="915"/>
      <c r="I16" s="273"/>
      <c r="J16" s="273"/>
      <c r="K16" s="273"/>
      <c r="L16" s="273"/>
      <c r="M16" s="273"/>
      <c r="N16" s="273"/>
    </row>
    <row r="17" spans="2:14" ht="18.75" customHeight="1" x14ac:dyDescent="0.25">
      <c r="B17" s="613" t="s">
        <v>1324</v>
      </c>
      <c r="C17" s="592" t="s">
        <v>1316</v>
      </c>
      <c r="D17" s="917"/>
      <c r="E17" s="915"/>
      <c r="I17" s="273" t="s">
        <v>1326</v>
      </c>
      <c r="J17" s="273"/>
      <c r="K17" s="273"/>
      <c r="L17" s="273"/>
      <c r="M17" s="273"/>
      <c r="N17" s="273"/>
    </row>
    <row r="18" spans="2:14" ht="18.75" customHeight="1" x14ac:dyDescent="0.25">
      <c r="B18" s="613" t="s">
        <v>647</v>
      </c>
      <c r="C18" s="592" t="s">
        <v>1316</v>
      </c>
      <c r="D18" s="917">
        <v>-684</v>
      </c>
      <c r="E18" s="915"/>
    </row>
    <row r="19" spans="2:14" ht="18.75" customHeight="1" x14ac:dyDescent="0.25">
      <c r="B19" s="613" t="s">
        <v>631</v>
      </c>
      <c r="C19" s="592" t="s">
        <v>1316</v>
      </c>
      <c r="D19" s="918">
        <v>150</v>
      </c>
      <c r="E19" s="915"/>
      <c r="I19" s="272" t="s">
        <v>629</v>
      </c>
      <c r="J19" s="273"/>
      <c r="K19" s="273"/>
      <c r="L19"/>
    </row>
    <row r="20" spans="2:14" ht="18.75" customHeight="1" x14ac:dyDescent="0.25">
      <c r="B20" s="613"/>
      <c r="C20" s="592"/>
      <c r="D20" s="919">
        <f>SUM(D7:D19)</f>
        <v>7429</v>
      </c>
      <c r="E20" s="915"/>
      <c r="I20" s="273" t="s">
        <v>630</v>
      </c>
      <c r="J20" s="273"/>
      <c r="K20" s="897"/>
      <c r="L20" s="895">
        <v>24</v>
      </c>
      <c r="M20" s="591" t="str">
        <f ca="1">IFERROR(_xlfn.FORMULATEXT(L20)," ")</f>
        <v xml:space="preserve"> </v>
      </c>
    </row>
    <row r="21" spans="2:14" ht="18.75" customHeight="1" x14ac:dyDescent="0.25">
      <c r="B21" s="613" t="str">
        <f>IF(D21&lt;0,"Increase in inventories","Decrease in inventories")</f>
        <v>Increase in inventories</v>
      </c>
      <c r="C21" s="592" t="s">
        <v>1316</v>
      </c>
      <c r="D21" s="920">
        <f>-J13</f>
        <v>-2846</v>
      </c>
      <c r="E21" s="915"/>
      <c r="I21" s="273" t="s">
        <v>631</v>
      </c>
      <c r="J21" s="273"/>
      <c r="K21" s="897"/>
      <c r="L21" s="895">
        <v>150</v>
      </c>
      <c r="M21" s="591" t="str">
        <f t="shared" ref="M21:M82" ca="1" si="0">IFERROR(_xlfn.FORMULATEXT(L21)," ")</f>
        <v xml:space="preserve"> </v>
      </c>
    </row>
    <row r="22" spans="2:14" ht="18.75" customHeight="1" x14ac:dyDescent="0.25">
      <c r="B22" s="613" t="str">
        <f>IF(D22&lt;0,"Increase in trade and other receivables","Decrease in trade and other receivables")</f>
        <v>Increase in trade and other receivables</v>
      </c>
      <c r="C22" s="592" t="s">
        <v>1316</v>
      </c>
      <c r="D22" s="920">
        <f>-K13</f>
        <v>-540</v>
      </c>
      <c r="E22" s="915"/>
      <c r="I22" s="273" t="s">
        <v>632</v>
      </c>
      <c r="J22" s="273"/>
      <c r="K22" s="897"/>
      <c r="L22" s="895"/>
      <c r="M22" s="591" t="str">
        <f t="shared" ca="1" si="0"/>
        <v xml:space="preserve"> </v>
      </c>
    </row>
    <row r="23" spans="2:14" ht="18.75" customHeight="1" x14ac:dyDescent="0.25">
      <c r="B23" s="613" t="str">
        <f>IF(D23&gt;0,"Increase in trade and other payables","Decrease in trade and other payables")</f>
        <v>Decrease in trade and other payables</v>
      </c>
      <c r="C23" s="592" t="s">
        <v>1316</v>
      </c>
      <c r="D23" s="914">
        <f>L13</f>
        <v>-436</v>
      </c>
      <c r="E23" s="915"/>
      <c r="I23" s="273" t="s">
        <v>644</v>
      </c>
      <c r="J23" s="273"/>
      <c r="K23" s="897"/>
      <c r="L23" s="895"/>
      <c r="M23" s="591" t="str">
        <f t="shared" ca="1" si="0"/>
        <v xml:space="preserve"> </v>
      </c>
    </row>
    <row r="24" spans="2:14" ht="18.75" customHeight="1" x14ac:dyDescent="0.25">
      <c r="B24" s="613" t="str">
        <f>IF(D24&gt;0,"Increase in provisions","Decrease in provisions")</f>
        <v>Decrease in provisions</v>
      </c>
      <c r="C24" s="592" t="s">
        <v>1316</v>
      </c>
      <c r="D24" s="914">
        <f>M13</f>
        <v>0</v>
      </c>
      <c r="E24" s="915"/>
      <c r="I24" s="273"/>
      <c r="J24" s="273"/>
      <c r="K24" s="897"/>
      <c r="L24" s="898">
        <f>L20+L21-L23+L22</f>
        <v>174</v>
      </c>
    </row>
    <row r="25" spans="2:14" ht="18.75" customHeight="1" x14ac:dyDescent="0.25">
      <c r="B25" s="596" t="s">
        <v>1164</v>
      </c>
      <c r="C25" s="592"/>
      <c r="D25" s="921">
        <f>SUM(D20:D24)</f>
        <v>3607</v>
      </c>
      <c r="E25" s="915"/>
      <c r="I25" s="273" t="s">
        <v>633</v>
      </c>
      <c r="J25" s="273"/>
      <c r="K25" s="897"/>
      <c r="L25" s="895">
        <v>32</v>
      </c>
      <c r="M25" s="591" t="str">
        <f t="shared" ca="1" si="0"/>
        <v xml:space="preserve"> </v>
      </c>
    </row>
    <row r="26" spans="2:14" ht="18.75" customHeight="1" thickBot="1" x14ac:dyDescent="0.3">
      <c r="B26" s="596" t="s">
        <v>629</v>
      </c>
      <c r="C26" s="592" t="s">
        <v>1288</v>
      </c>
      <c r="D26" s="914">
        <f>-L26</f>
        <v>-142</v>
      </c>
      <c r="E26" s="915"/>
      <c r="I26" s="273" t="s">
        <v>629</v>
      </c>
      <c r="J26" s="273"/>
      <c r="K26" s="897"/>
      <c r="L26" s="899">
        <f>L24-L25</f>
        <v>142</v>
      </c>
    </row>
    <row r="27" spans="2:14" ht="18.75" customHeight="1" thickTop="1" x14ac:dyDescent="0.25">
      <c r="B27" s="596" t="s">
        <v>634</v>
      </c>
      <c r="C27" s="592"/>
      <c r="D27" s="922">
        <f>-L35</f>
        <v>-1715</v>
      </c>
      <c r="E27" s="915"/>
      <c r="I27" s="273"/>
      <c r="J27" s="273"/>
      <c r="K27" s="897"/>
      <c r="L27" s="897"/>
      <c r="M27" s="591" t="str">
        <f t="shared" ca="1" si="0"/>
        <v xml:space="preserve"> </v>
      </c>
    </row>
    <row r="28" spans="2:14" ht="18.75" customHeight="1" x14ac:dyDescent="0.25">
      <c r="B28" s="604" t="s">
        <v>1289</v>
      </c>
      <c r="C28" s="592" t="s">
        <v>1290</v>
      </c>
      <c r="D28" s="923"/>
      <c r="E28" s="924">
        <f>SUM(D25:D27)</f>
        <v>1750</v>
      </c>
      <c r="I28" s="272" t="s">
        <v>634</v>
      </c>
      <c r="J28" s="273"/>
      <c r="K28" s="897"/>
      <c r="L28" s="897"/>
      <c r="M28" s="591" t="str">
        <f t="shared" ca="1" si="0"/>
        <v xml:space="preserve"> </v>
      </c>
    </row>
    <row r="29" spans="2:14" ht="18.75" customHeight="1" x14ac:dyDescent="0.25">
      <c r="B29" s="596"/>
      <c r="C29" s="592"/>
      <c r="D29" s="915"/>
      <c r="E29" s="915"/>
      <c r="I29" s="273" t="s">
        <v>635</v>
      </c>
      <c r="J29" s="273"/>
      <c r="K29" s="895">
        <v>1685</v>
      </c>
      <c r="L29" s="900"/>
      <c r="M29" s="591" t="str">
        <f t="shared" ca="1" si="0"/>
        <v xml:space="preserve"> </v>
      </c>
    </row>
    <row r="30" spans="2:14" ht="18.75" customHeight="1" x14ac:dyDescent="0.25">
      <c r="B30" s="594" t="s">
        <v>1219</v>
      </c>
      <c r="C30" s="592" t="s">
        <v>667</v>
      </c>
      <c r="D30" s="915"/>
      <c r="E30" s="915"/>
      <c r="I30" s="273" t="s">
        <v>636</v>
      </c>
      <c r="J30" s="273"/>
      <c r="K30" s="895"/>
      <c r="L30" s="900">
        <f>K30+K29</f>
        <v>1685</v>
      </c>
    </row>
    <row r="31" spans="2:14" ht="18.75" customHeight="1" x14ac:dyDescent="0.25">
      <c r="B31" s="596" t="s">
        <v>1291</v>
      </c>
      <c r="C31" s="592"/>
      <c r="D31" s="914"/>
      <c r="E31" s="915"/>
      <c r="I31" s="273" t="s">
        <v>1</v>
      </c>
      <c r="J31" s="273"/>
      <c r="K31" s="900"/>
      <c r="L31" s="895">
        <v>1388</v>
      </c>
      <c r="M31" s="591" t="str">
        <f t="shared" ca="1" si="0"/>
        <v xml:space="preserve"> </v>
      </c>
    </row>
    <row r="32" spans="2:14" ht="18.75" customHeight="1" x14ac:dyDescent="0.25">
      <c r="B32" s="596" t="s">
        <v>1292</v>
      </c>
      <c r="C32" s="592"/>
      <c r="D32" s="914"/>
      <c r="E32" s="915"/>
      <c r="I32" s="273"/>
      <c r="J32" s="273"/>
      <c r="K32" s="900"/>
      <c r="L32" s="900">
        <f>L30+L31</f>
        <v>3073</v>
      </c>
    </row>
    <row r="33" spans="2:13" ht="18.75" customHeight="1" x14ac:dyDescent="0.25">
      <c r="B33" s="596" t="s">
        <v>1293</v>
      </c>
      <c r="C33" s="592" t="s">
        <v>1294</v>
      </c>
      <c r="D33" s="914">
        <f>-L45</f>
        <v>-1740</v>
      </c>
      <c r="E33" s="915"/>
      <c r="I33" s="273" t="s">
        <v>637</v>
      </c>
      <c r="J33" s="273"/>
      <c r="K33" s="895">
        <v>1358</v>
      </c>
      <c r="L33" s="900"/>
      <c r="M33" s="591" t="str">
        <f t="shared" ca="1" si="0"/>
        <v xml:space="preserve"> </v>
      </c>
    </row>
    <row r="34" spans="2:13" ht="18.75" customHeight="1" x14ac:dyDescent="0.25">
      <c r="B34" s="596" t="s">
        <v>1295</v>
      </c>
      <c r="C34" s="592" t="s">
        <v>1294</v>
      </c>
      <c r="D34" s="914">
        <f>L50</f>
        <v>31</v>
      </c>
      <c r="E34" s="915"/>
      <c r="I34" s="273" t="s">
        <v>638</v>
      </c>
      <c r="J34" s="273"/>
      <c r="K34" s="895"/>
      <c r="L34" s="900">
        <f>K34+K33</f>
        <v>1358</v>
      </c>
    </row>
    <row r="35" spans="2:13" ht="18.75" customHeight="1" thickBot="1" x14ac:dyDescent="0.3">
      <c r="B35" s="596" t="s">
        <v>1296</v>
      </c>
      <c r="C35" s="592" t="s">
        <v>1297</v>
      </c>
      <c r="D35" s="914">
        <f>-L92</f>
        <v>-21</v>
      </c>
      <c r="E35" s="915"/>
      <c r="I35" s="273" t="s">
        <v>634</v>
      </c>
      <c r="J35" s="273"/>
      <c r="K35" s="900"/>
      <c r="L35" s="899">
        <f>L32-L34</f>
        <v>1715</v>
      </c>
    </row>
    <row r="36" spans="2:13" ht="18.75" customHeight="1" thickTop="1" x14ac:dyDescent="0.25">
      <c r="B36" s="596" t="s">
        <v>1298</v>
      </c>
      <c r="C36" s="592" t="s">
        <v>1297</v>
      </c>
      <c r="D36" s="914"/>
      <c r="E36" s="915"/>
      <c r="I36" s="273"/>
      <c r="J36" s="273"/>
      <c r="K36" s="897"/>
      <c r="L36" s="897"/>
      <c r="M36" s="591" t="str">
        <f t="shared" ca="1" si="0"/>
        <v xml:space="preserve"> </v>
      </c>
    </row>
    <row r="37" spans="2:13" ht="18.75" customHeight="1" x14ac:dyDescent="0.25">
      <c r="B37" s="596" t="s">
        <v>645</v>
      </c>
      <c r="C37" s="592" t="s">
        <v>1299</v>
      </c>
      <c r="D37" s="914">
        <f>L60</f>
        <v>684</v>
      </c>
      <c r="E37" s="915"/>
      <c r="I37" s="272" t="s">
        <v>639</v>
      </c>
      <c r="J37" s="273"/>
      <c r="K37" s="897"/>
      <c r="L37" s="897"/>
      <c r="M37" s="591" t="str">
        <f t="shared" ca="1" si="0"/>
        <v xml:space="preserve"> </v>
      </c>
    </row>
    <row r="38" spans="2:13" ht="18.75" customHeight="1" x14ac:dyDescent="0.25">
      <c r="B38" s="596" t="s">
        <v>1163</v>
      </c>
      <c r="C38" s="592" t="s">
        <v>1299</v>
      </c>
      <c r="D38" s="922">
        <f>L71</f>
        <v>0</v>
      </c>
      <c r="E38" s="915"/>
      <c r="I38" s="273" t="s">
        <v>640</v>
      </c>
      <c r="J38" s="273"/>
      <c r="K38" s="897"/>
      <c r="L38" s="895">
        <v>19458</v>
      </c>
      <c r="M38" s="591" t="str">
        <f t="shared" ca="1" si="0"/>
        <v xml:space="preserve"> </v>
      </c>
    </row>
    <row r="39" spans="2:13" ht="18.75" customHeight="1" x14ac:dyDescent="0.25">
      <c r="B39" s="604" t="s">
        <v>1300</v>
      </c>
      <c r="C39" s="592" t="s">
        <v>1290</v>
      </c>
      <c r="D39" s="923"/>
      <c r="E39" s="924">
        <f>SUM(D31:D38)</f>
        <v>-1046</v>
      </c>
      <c r="I39" s="273" t="s">
        <v>1903</v>
      </c>
      <c r="J39" s="273"/>
      <c r="K39" s="897"/>
      <c r="L39" s="895"/>
      <c r="M39" s="591" t="str">
        <f t="shared" ca="1" si="0"/>
        <v xml:space="preserve"> </v>
      </c>
    </row>
    <row r="40" spans="2:13" ht="18.75" customHeight="1" x14ac:dyDescent="0.25">
      <c r="B40" s="596"/>
      <c r="C40" s="592"/>
      <c r="D40" s="915"/>
      <c r="E40" s="915"/>
      <c r="I40" s="273" t="s">
        <v>643</v>
      </c>
      <c r="J40" s="273"/>
      <c r="K40" s="897"/>
      <c r="L40" s="895">
        <v>1091</v>
      </c>
      <c r="M40" s="591" t="str">
        <f t="shared" ca="1" si="0"/>
        <v xml:space="preserve"> </v>
      </c>
    </row>
    <row r="41" spans="2:13" ht="18.75" customHeight="1" x14ac:dyDescent="0.25">
      <c r="B41" s="594" t="s">
        <v>1167</v>
      </c>
      <c r="C41" s="592"/>
      <c r="D41" s="915"/>
      <c r="E41" s="915"/>
      <c r="I41" s="273" t="s">
        <v>1273</v>
      </c>
      <c r="J41" s="273"/>
      <c r="K41" s="897"/>
      <c r="L41" s="895">
        <v>22</v>
      </c>
      <c r="M41" s="591" t="str">
        <f t="shared" ca="1" si="0"/>
        <v xml:space="preserve"> </v>
      </c>
    </row>
    <row r="42" spans="2:13" ht="18.75" customHeight="1" x14ac:dyDescent="0.25">
      <c r="B42" s="596" t="s">
        <v>1168</v>
      </c>
      <c r="C42" s="592"/>
      <c r="D42" s="914">
        <f>L79</f>
        <v>0</v>
      </c>
      <c r="E42" s="915"/>
      <c r="I42" s="273" t="s">
        <v>1274</v>
      </c>
      <c r="J42" s="273"/>
      <c r="K42" s="897"/>
      <c r="L42" s="895">
        <v>1310</v>
      </c>
      <c r="M42" s="591" t="str">
        <f t="shared" ca="1" si="0"/>
        <v xml:space="preserve"> </v>
      </c>
    </row>
    <row r="43" spans="2:13" ht="18.75" customHeight="1" x14ac:dyDescent="0.25">
      <c r="B43" s="596" t="s">
        <v>1301</v>
      </c>
      <c r="C43" s="592"/>
      <c r="D43" s="914"/>
      <c r="E43" s="915"/>
      <c r="I43" s="273"/>
      <c r="J43" s="273"/>
      <c r="K43" s="897"/>
      <c r="L43" s="898">
        <f>L38-L40+L39-L41+L42</f>
        <v>19655</v>
      </c>
    </row>
    <row r="44" spans="2:13" ht="18.75" customHeight="1" x14ac:dyDescent="0.25">
      <c r="B44" s="596" t="s">
        <v>1302</v>
      </c>
      <c r="C44" s="592" t="s">
        <v>1303</v>
      </c>
      <c r="D44" s="914">
        <f>L85</f>
        <v>0</v>
      </c>
      <c r="E44" s="915"/>
      <c r="I44" s="273" t="s">
        <v>642</v>
      </c>
      <c r="J44" s="273"/>
      <c r="K44" s="897"/>
      <c r="L44" s="895">
        <v>21395</v>
      </c>
    </row>
    <row r="45" spans="2:13" ht="18.75" customHeight="1" thickBot="1" x14ac:dyDescent="0.3">
      <c r="B45" s="596" t="s">
        <v>1304</v>
      </c>
      <c r="C45" s="592" t="s">
        <v>1305</v>
      </c>
      <c r="D45" s="914">
        <f>-L100</f>
        <v>-1618</v>
      </c>
      <c r="E45" s="915"/>
      <c r="I45" s="273" t="s">
        <v>639</v>
      </c>
      <c r="J45" s="273"/>
      <c r="K45" s="897"/>
      <c r="L45" s="901">
        <f>L44-L43</f>
        <v>1740</v>
      </c>
    </row>
    <row r="46" spans="2:13" ht="18.75" customHeight="1" thickTop="1" x14ac:dyDescent="0.25">
      <c r="B46" s="596" t="s">
        <v>1166</v>
      </c>
      <c r="C46" s="592"/>
      <c r="D46" s="914">
        <f>-L108</f>
        <v>0</v>
      </c>
      <c r="E46" s="915"/>
      <c r="I46" s="273"/>
      <c r="J46" s="273"/>
      <c r="K46" s="897"/>
      <c r="L46" s="902"/>
      <c r="M46" s="591" t="str">
        <f t="shared" ca="1" si="0"/>
        <v xml:space="preserve"> </v>
      </c>
    </row>
    <row r="47" spans="2:13" ht="18.75" customHeight="1" x14ac:dyDescent="0.25">
      <c r="B47" s="596" t="s">
        <v>1823</v>
      </c>
      <c r="C47" s="592"/>
      <c r="D47" s="914"/>
      <c r="E47" s="915"/>
      <c r="I47" s="272" t="s">
        <v>1335</v>
      </c>
      <c r="J47" s="743"/>
      <c r="K47" s="903"/>
      <c r="L47" s="903"/>
      <c r="M47" s="591" t="str">
        <f t="shared" ca="1" si="0"/>
        <v xml:space="preserve"> </v>
      </c>
    </row>
    <row r="48" spans="2:13" ht="18.75" customHeight="1" x14ac:dyDescent="0.25">
      <c r="B48" s="596" t="s">
        <v>1822</v>
      </c>
      <c r="C48" s="592"/>
      <c r="D48" s="914"/>
      <c r="E48" s="915"/>
      <c r="I48" s="273" t="s">
        <v>233</v>
      </c>
      <c r="J48" s="743"/>
      <c r="K48" s="903"/>
      <c r="L48" s="904">
        <v>22</v>
      </c>
      <c r="M48" s="591" t="str">
        <f t="shared" ca="1" si="0"/>
        <v xml:space="preserve"> </v>
      </c>
    </row>
    <row r="49" spans="2:13" ht="18.75" customHeight="1" x14ac:dyDescent="0.25">
      <c r="B49" s="596" t="s">
        <v>375</v>
      </c>
      <c r="C49" s="592" t="s">
        <v>1299</v>
      </c>
      <c r="D49" s="922">
        <f>-L69</f>
        <v>-1372</v>
      </c>
      <c r="E49" s="915"/>
      <c r="I49" s="273" t="s">
        <v>1336</v>
      </c>
      <c r="J49" s="743"/>
      <c r="K49" s="903"/>
      <c r="L49" s="904">
        <v>-9</v>
      </c>
      <c r="M49" s="591" t="str">
        <f t="shared" ca="1" si="0"/>
        <v xml:space="preserve"> </v>
      </c>
    </row>
    <row r="50" spans="2:13" ht="18.75" customHeight="1" thickBot="1" x14ac:dyDescent="0.3">
      <c r="B50" s="604" t="s">
        <v>1325</v>
      </c>
      <c r="C50" s="592" t="s">
        <v>1290</v>
      </c>
      <c r="D50" s="923"/>
      <c r="E50" s="925">
        <f>SUM(D42:D49)</f>
        <v>-2990</v>
      </c>
      <c r="I50" s="273" t="s">
        <v>1335</v>
      </c>
      <c r="J50" s="743"/>
      <c r="K50" s="903"/>
      <c r="L50" s="901">
        <f>L48-L49</f>
        <v>31</v>
      </c>
    </row>
    <row r="51" spans="2:13" ht="18.75" customHeight="1" thickTop="1" x14ac:dyDescent="0.25">
      <c r="B51" s="596"/>
      <c r="C51" s="592"/>
      <c r="D51" s="915"/>
      <c r="E51" s="923"/>
      <c r="I51" s="743"/>
      <c r="J51" s="743"/>
      <c r="K51" s="903"/>
      <c r="L51" s="903"/>
      <c r="M51" s="591" t="str">
        <f t="shared" ca="1" si="0"/>
        <v xml:space="preserve"> </v>
      </c>
    </row>
    <row r="52" spans="2:13" ht="18.75" customHeight="1" x14ac:dyDescent="0.25">
      <c r="B52" s="594" t="s">
        <v>1307</v>
      </c>
      <c r="C52" s="592" t="s">
        <v>1308</v>
      </c>
      <c r="D52" s="915"/>
      <c r="E52" s="924">
        <f>SUM(E28,E39,E50)</f>
        <v>-2286</v>
      </c>
      <c r="I52" s="743"/>
      <c r="J52" s="743"/>
      <c r="K52" s="903"/>
      <c r="L52" s="903"/>
      <c r="M52" s="591" t="str">
        <f t="shared" ca="1" si="0"/>
        <v xml:space="preserve"> </v>
      </c>
    </row>
    <row r="53" spans="2:13" ht="18.75" customHeight="1" x14ac:dyDescent="0.25">
      <c r="B53" s="608" t="s">
        <v>1309</v>
      </c>
      <c r="C53" s="592" t="s">
        <v>1310</v>
      </c>
      <c r="D53" s="915"/>
      <c r="E53" s="922">
        <f>L5</f>
        <v>10028</v>
      </c>
      <c r="I53" s="272" t="s">
        <v>645</v>
      </c>
      <c r="J53" s="273"/>
      <c r="K53" s="897"/>
      <c r="L53" s="902"/>
      <c r="M53" s="591" t="str">
        <f t="shared" ca="1" si="0"/>
        <v xml:space="preserve"> </v>
      </c>
    </row>
    <row r="54" spans="2:13" ht="18.75" customHeight="1" thickBot="1" x14ac:dyDescent="0.3">
      <c r="B54" s="594" t="s">
        <v>1311</v>
      </c>
      <c r="C54" s="592" t="s">
        <v>1310</v>
      </c>
      <c r="D54" s="915"/>
      <c r="E54" s="926">
        <f>K5</f>
        <v>7742</v>
      </c>
      <c r="I54" s="273" t="s">
        <v>646</v>
      </c>
      <c r="J54" s="273"/>
      <c r="K54" s="897"/>
      <c r="L54" s="893">
        <v>0</v>
      </c>
      <c r="M54" s="591" t="str">
        <f t="shared" ca="1" si="0"/>
        <v xml:space="preserve"> </v>
      </c>
    </row>
    <row r="55" spans="2:13" ht="18.75" customHeight="1" x14ac:dyDescent="0.25">
      <c r="D55" s="611"/>
      <c r="E55" s="611"/>
      <c r="I55" s="273" t="s">
        <v>647</v>
      </c>
      <c r="J55" s="273"/>
      <c r="K55" s="897"/>
      <c r="L55" s="895">
        <v>684</v>
      </c>
      <c r="M55" s="591" t="str">
        <f t="shared" ca="1" si="0"/>
        <v xml:space="preserve"> </v>
      </c>
    </row>
    <row r="56" spans="2:13" ht="18.75" customHeight="1" x14ac:dyDescent="0.25">
      <c r="C56" s="592" t="s">
        <v>1312</v>
      </c>
      <c r="D56" s="679">
        <f>E54-(SUM(E52:E53))</f>
        <v>0</v>
      </c>
      <c r="E56" s="680"/>
      <c r="I56" s="273" t="s">
        <v>1217</v>
      </c>
      <c r="J56" s="273"/>
      <c r="K56" s="897"/>
      <c r="L56" s="895"/>
      <c r="M56" s="591" t="str">
        <f t="shared" ca="1" si="0"/>
        <v xml:space="preserve"> </v>
      </c>
    </row>
    <row r="57" spans="2:13" ht="18.75" customHeight="1" x14ac:dyDescent="0.25">
      <c r="D57" s="611"/>
      <c r="E57" s="611"/>
      <c r="I57" s="273" t="s">
        <v>350</v>
      </c>
      <c r="J57" s="273"/>
      <c r="K57" s="897"/>
      <c r="L57" s="895"/>
      <c r="M57" s="591" t="str">
        <f t="shared" ca="1" si="0"/>
        <v xml:space="preserve"> </v>
      </c>
    </row>
    <row r="58" spans="2:13" ht="18.75" customHeight="1" x14ac:dyDescent="0.25">
      <c r="D58" s="611"/>
      <c r="E58" s="611"/>
      <c r="I58" s="273"/>
      <c r="J58" s="273"/>
      <c r="K58" s="897"/>
      <c r="L58" s="905">
        <f>L54+L55+L57-L56</f>
        <v>684</v>
      </c>
    </row>
    <row r="59" spans="2:13" ht="18.75" customHeight="1" x14ac:dyDescent="0.25">
      <c r="D59" s="611"/>
      <c r="E59" s="611"/>
      <c r="I59" s="273" t="s">
        <v>648</v>
      </c>
      <c r="J59" s="273"/>
      <c r="K59" s="897"/>
      <c r="L59" s="893">
        <v>0</v>
      </c>
      <c r="M59" s="591" t="str">
        <f t="shared" ca="1" si="0"/>
        <v xml:space="preserve"> </v>
      </c>
    </row>
    <row r="60" spans="2:13" ht="18.75" customHeight="1" thickBot="1" x14ac:dyDescent="0.3">
      <c r="D60" s="611"/>
      <c r="E60" s="611"/>
      <c r="I60" s="273" t="s">
        <v>645</v>
      </c>
      <c r="J60" s="273"/>
      <c r="K60" s="897"/>
      <c r="L60" s="901">
        <f>L58-L59</f>
        <v>684</v>
      </c>
    </row>
    <row r="61" spans="2:13" ht="18.75" customHeight="1" thickTop="1" x14ac:dyDescent="0.25">
      <c r="D61" s="611"/>
      <c r="E61" s="611"/>
      <c r="I61" s="273"/>
      <c r="J61" s="273"/>
      <c r="K61" s="897"/>
      <c r="L61" s="902"/>
      <c r="M61" s="591" t="str">
        <f t="shared" ca="1" si="0"/>
        <v xml:space="preserve"> </v>
      </c>
    </row>
    <row r="62" spans="2:13" ht="18.75" customHeight="1" x14ac:dyDescent="0.25">
      <c r="D62" s="611"/>
      <c r="E62" s="611"/>
      <c r="I62" s="272" t="s">
        <v>375</v>
      </c>
      <c r="J62" s="273"/>
      <c r="K62" s="897"/>
      <c r="L62" s="902"/>
      <c r="M62" s="591" t="str">
        <f t="shared" ca="1" si="0"/>
        <v xml:space="preserve"> </v>
      </c>
    </row>
    <row r="63" spans="2:13" ht="18.75" customHeight="1" x14ac:dyDescent="0.25">
      <c r="D63" s="611"/>
      <c r="E63" s="611"/>
      <c r="I63" s="273" t="s">
        <v>649</v>
      </c>
      <c r="J63" s="273"/>
      <c r="K63" s="897"/>
      <c r="L63" s="906">
        <v>20980</v>
      </c>
      <c r="M63" s="591" t="str">
        <f t="shared" ca="1" si="0"/>
        <v xml:space="preserve"> </v>
      </c>
    </row>
    <row r="64" spans="2:13" ht="18.75" customHeight="1" x14ac:dyDescent="0.25">
      <c r="D64" s="611"/>
      <c r="E64" s="611"/>
      <c r="I64" s="273" t="s">
        <v>650</v>
      </c>
      <c r="J64" s="273"/>
      <c r="K64" s="897"/>
      <c r="L64" s="906">
        <v>5493</v>
      </c>
      <c r="M64" s="591" t="str">
        <f t="shared" ca="1" si="0"/>
        <v xml:space="preserve"> </v>
      </c>
    </row>
    <row r="65" spans="4:13" ht="18.75" customHeight="1" x14ac:dyDescent="0.25">
      <c r="D65" s="611"/>
      <c r="E65" s="611"/>
      <c r="I65" s="273" t="s">
        <v>22</v>
      </c>
      <c r="J65" s="273"/>
      <c r="K65" s="897"/>
      <c r="L65" s="907"/>
      <c r="M65" s="591" t="str">
        <f ca="1">IFERROR(_xlfn.FORMULATEXT(L66)," ")</f>
        <v xml:space="preserve"> </v>
      </c>
    </row>
    <row r="66" spans="4:13" ht="18.75" customHeight="1" x14ac:dyDescent="0.25">
      <c r="D66" s="611"/>
      <c r="E66" s="611"/>
      <c r="I66" s="273" t="s">
        <v>651</v>
      </c>
      <c r="J66" s="273"/>
      <c r="K66" s="897"/>
      <c r="L66" s="906">
        <v>70</v>
      </c>
    </row>
    <row r="67" spans="4:13" ht="18.75" customHeight="1" x14ac:dyDescent="0.25">
      <c r="D67" s="611"/>
      <c r="E67" s="611"/>
      <c r="I67" s="273"/>
      <c r="J67" s="273"/>
      <c r="K67" s="897"/>
      <c r="L67" s="898">
        <f>L63+L64+L66-L65</f>
        <v>26543</v>
      </c>
      <c r="M67" s="591" t="str">
        <f ca="1">IFERROR(_xlfn.FORMULATEXT(L68)," ")</f>
        <v xml:space="preserve"> </v>
      </c>
    </row>
    <row r="68" spans="4:13" ht="18.75" customHeight="1" x14ac:dyDescent="0.25">
      <c r="D68" s="611"/>
      <c r="E68" s="611"/>
      <c r="I68" s="273" t="s">
        <v>652</v>
      </c>
      <c r="J68" s="273"/>
      <c r="K68" s="897"/>
      <c r="L68" s="906">
        <v>25171</v>
      </c>
    </row>
    <row r="69" spans="4:13" ht="18.75" customHeight="1" thickBot="1" x14ac:dyDescent="0.3">
      <c r="D69" s="611"/>
      <c r="E69" s="611"/>
      <c r="I69" s="273" t="s">
        <v>375</v>
      </c>
      <c r="J69" s="273"/>
      <c r="K69" s="897"/>
      <c r="L69" s="908">
        <f>-(L68-L67)</f>
        <v>1372</v>
      </c>
      <c r="M69" s="591" t="str">
        <f ca="1">IFERROR(_xlfn.FORMULATEXT(#REF!)," ")</f>
        <v xml:space="preserve"> </v>
      </c>
    </row>
    <row r="70" spans="4:13" ht="18.75" customHeight="1" thickTop="1" x14ac:dyDescent="0.25">
      <c r="I70" s="273"/>
      <c r="J70" s="273"/>
      <c r="K70" s="273"/>
      <c r="L70" s="909"/>
      <c r="M70" s="591" t="str">
        <f t="shared" ca="1" si="0"/>
        <v xml:space="preserve"> </v>
      </c>
    </row>
    <row r="71" spans="4:13" ht="18.75" customHeight="1" x14ac:dyDescent="0.25">
      <c r="I71" s="272" t="s">
        <v>1163</v>
      </c>
      <c r="J71" s="273"/>
      <c r="K71" s="273"/>
      <c r="L71" s="893"/>
      <c r="M71" s="591" t="str">
        <f t="shared" ca="1" si="0"/>
        <v xml:space="preserve"> </v>
      </c>
    </row>
    <row r="72" spans="4:13" ht="18.75" customHeight="1" x14ac:dyDescent="0.25">
      <c r="I72" s="273"/>
      <c r="J72" s="273"/>
      <c r="K72" s="273"/>
      <c r="L72" s="897"/>
      <c r="M72" s="591" t="str">
        <f t="shared" ca="1" si="0"/>
        <v xml:space="preserve"> </v>
      </c>
    </row>
    <row r="73" spans="4:13" ht="18.75" customHeight="1" x14ac:dyDescent="0.25">
      <c r="I73" s="273"/>
      <c r="J73" s="273"/>
      <c r="K73" s="273"/>
      <c r="L73" s="897"/>
      <c r="M73" s="591" t="str">
        <f t="shared" ca="1" si="0"/>
        <v xml:space="preserve"> </v>
      </c>
    </row>
    <row r="74" spans="4:13" x14ac:dyDescent="0.25">
      <c r="I74" s="272" t="s">
        <v>1328</v>
      </c>
      <c r="J74" s="743"/>
      <c r="K74" s="743"/>
      <c r="L74" s="903"/>
      <c r="M74" s="591" t="str">
        <f t="shared" ca="1" si="0"/>
        <v xml:space="preserve"> </v>
      </c>
    </row>
    <row r="75" spans="4:13" x14ac:dyDescent="0.25">
      <c r="I75" s="273" t="s">
        <v>1329</v>
      </c>
      <c r="J75" s="743"/>
      <c r="K75" s="743"/>
      <c r="L75" s="904"/>
      <c r="M75" s="744" t="str">
        <f t="shared" ca="1" si="0"/>
        <v xml:space="preserve"> </v>
      </c>
    </row>
    <row r="76" spans="4:13" x14ac:dyDescent="0.25">
      <c r="I76" s="273" t="s">
        <v>22</v>
      </c>
      <c r="J76" s="743"/>
      <c r="K76" s="743"/>
      <c r="L76" s="904"/>
      <c r="M76" s="744" t="str">
        <f t="shared" ca="1" si="0"/>
        <v xml:space="preserve"> </v>
      </c>
    </row>
    <row r="77" spans="4:13" x14ac:dyDescent="0.25">
      <c r="I77" s="273"/>
      <c r="J77" s="743"/>
      <c r="K77" s="743"/>
      <c r="L77" s="898">
        <f>SUM(L75:L76)</f>
        <v>0</v>
      </c>
      <c r="M77" s="744"/>
    </row>
    <row r="78" spans="4:13" x14ac:dyDescent="0.25">
      <c r="I78" s="273" t="s">
        <v>1330</v>
      </c>
      <c r="J78" s="743"/>
      <c r="K78" s="743"/>
      <c r="L78" s="906"/>
      <c r="M78" s="744" t="str">
        <f t="shared" ca="1" si="0"/>
        <v xml:space="preserve"> </v>
      </c>
    </row>
    <row r="79" spans="4:13" ht="15.75" thickBot="1" x14ac:dyDescent="0.3">
      <c r="I79" s="273" t="s">
        <v>1328</v>
      </c>
      <c r="J79" s="743"/>
      <c r="K79" s="743"/>
      <c r="L79" s="908">
        <f>L78-L77</f>
        <v>0</v>
      </c>
    </row>
    <row r="80" spans="4:13" ht="15.75" thickTop="1" x14ac:dyDescent="0.25">
      <c r="I80" s="743"/>
      <c r="J80" s="743"/>
      <c r="K80" s="743"/>
      <c r="L80" s="903"/>
      <c r="M80" s="591" t="str">
        <f t="shared" ca="1" si="0"/>
        <v xml:space="preserve"> </v>
      </c>
    </row>
    <row r="81" spans="9:14" x14ac:dyDescent="0.25">
      <c r="I81" s="272" t="s">
        <v>1331</v>
      </c>
      <c r="J81" s="743"/>
      <c r="K81" s="743"/>
      <c r="L81" s="903"/>
      <c r="M81" s="591" t="str">
        <f t="shared" ca="1" si="0"/>
        <v xml:space="preserve"> </v>
      </c>
    </row>
    <row r="82" spans="9:14" x14ac:dyDescent="0.25">
      <c r="I82" s="273" t="s">
        <v>1332</v>
      </c>
      <c r="J82" s="743"/>
      <c r="K82" s="743"/>
      <c r="L82" s="904"/>
      <c r="M82" s="591" t="str">
        <f t="shared" ca="1" si="0"/>
        <v xml:space="preserve"> </v>
      </c>
    </row>
    <row r="83" spans="9:14" x14ac:dyDescent="0.25">
      <c r="I83" s="273" t="s">
        <v>1902</v>
      </c>
      <c r="J83" s="273"/>
      <c r="K83" s="273"/>
      <c r="L83" s="904"/>
      <c r="M83" s="591" t="str">
        <f ca="1">IFERROR(_xlfn.FORMULATEXT(L84)," ")</f>
        <v xml:space="preserve"> </v>
      </c>
    </row>
    <row r="84" spans="9:14" x14ac:dyDescent="0.25">
      <c r="I84" s="273" t="s">
        <v>1333</v>
      </c>
      <c r="J84" s="743"/>
      <c r="K84" s="743"/>
      <c r="L84" s="904"/>
    </row>
    <row r="85" spans="9:14" ht="15.75" thickBot="1" x14ac:dyDescent="0.3">
      <c r="I85" s="273" t="s">
        <v>1334</v>
      </c>
      <c r="J85" s="743"/>
      <c r="K85" s="743"/>
      <c r="L85" s="901">
        <f>L84-L82+L83</f>
        <v>0</v>
      </c>
      <c r="M85" s="591" t="str">
        <f ca="1">IFERROR(_xlfn.FORMULATEXT(L86)," ")</f>
        <v xml:space="preserve"> </v>
      </c>
    </row>
    <row r="86" spans="9:14" ht="15.75" thickTop="1" x14ac:dyDescent="0.25">
      <c r="I86" s="743"/>
      <c r="J86" s="743"/>
      <c r="K86" s="743"/>
      <c r="L86" s="903"/>
      <c r="M86" s="591" t="str">
        <f ca="1">IFERROR(_xlfn.FORMULATEXT(L87)," ")</f>
        <v xml:space="preserve"> </v>
      </c>
    </row>
    <row r="87" spans="9:14" x14ac:dyDescent="0.25">
      <c r="I87" s="272" t="s">
        <v>1169</v>
      </c>
      <c r="J87" s="743"/>
      <c r="K87" s="743"/>
      <c r="L87" s="903"/>
      <c r="M87" s="591" t="str">
        <f ca="1">IFERROR(_xlfn.FORMULATEXT(#REF!)," ")</f>
        <v xml:space="preserve"> </v>
      </c>
    </row>
    <row r="88" spans="9:14" x14ac:dyDescent="0.25">
      <c r="I88" s="743" t="s">
        <v>1457</v>
      </c>
      <c r="J88" s="743"/>
      <c r="K88" s="743"/>
      <c r="L88" s="907">
        <v>222</v>
      </c>
      <c r="M88" s="591" t="str">
        <f ca="1">IFERROR(_xlfn.FORMULATEXT(L88)," ")</f>
        <v xml:space="preserve"> </v>
      </c>
    </row>
    <row r="89" spans="9:14" x14ac:dyDescent="0.25">
      <c r="I89" s="743" t="s">
        <v>1458</v>
      </c>
      <c r="J89" s="743"/>
      <c r="K89" s="743"/>
      <c r="L89" s="907">
        <v>38</v>
      </c>
    </row>
    <row r="90" spans="9:14" x14ac:dyDescent="0.25">
      <c r="I90" s="743"/>
      <c r="J90" s="743"/>
      <c r="K90" s="743"/>
      <c r="L90" s="910">
        <f>SUM(L88:L89)</f>
        <v>260</v>
      </c>
      <c r="M90" s="591" t="str">
        <f ca="1">IFERROR(_xlfn.FORMULATEXT(L91)," ")</f>
        <v xml:space="preserve"> </v>
      </c>
    </row>
    <row r="91" spans="9:14" x14ac:dyDescent="0.25">
      <c r="I91" s="743" t="s">
        <v>1459</v>
      </c>
      <c r="J91" s="743"/>
      <c r="K91" s="743"/>
      <c r="L91" s="907">
        <v>281</v>
      </c>
      <c r="N91" s="660" t="s">
        <v>1824</v>
      </c>
    </row>
    <row r="92" spans="9:14" ht="15.75" thickBot="1" x14ac:dyDescent="0.3">
      <c r="I92" s="743" t="s">
        <v>1169</v>
      </c>
      <c r="J92" s="743"/>
      <c r="K92" s="743"/>
      <c r="L92" s="911">
        <f>L91-L90</f>
        <v>21</v>
      </c>
      <c r="M92" s="591" t="str">
        <f ca="1">IFERROR(_xlfn.FORMULATEXT(L93)," ")</f>
        <v xml:space="preserve"> </v>
      </c>
    </row>
    <row r="93" spans="9:14" ht="15.75" thickTop="1" x14ac:dyDescent="0.25">
      <c r="I93" s="743"/>
      <c r="J93" s="743"/>
      <c r="K93" s="743"/>
      <c r="L93" s="903"/>
      <c r="M93" s="591" t="str">
        <f ca="1">IFERROR(_xlfn.FORMULATEXT(L94)," ")</f>
        <v xml:space="preserve"> </v>
      </c>
    </row>
    <row r="94" spans="9:14" x14ac:dyDescent="0.25">
      <c r="I94" s="743"/>
      <c r="J94" s="743"/>
      <c r="K94" s="743"/>
      <c r="L94" s="903"/>
      <c r="M94" s="591" t="str">
        <f ca="1">IFERROR(_xlfn.FORMULATEXT(L95)," ")</f>
        <v xml:space="preserve"> </v>
      </c>
    </row>
    <row r="95" spans="9:14" x14ac:dyDescent="0.25">
      <c r="I95" s="272" t="s">
        <v>1460</v>
      </c>
      <c r="J95" s="743"/>
      <c r="K95" s="743"/>
      <c r="L95" s="903"/>
      <c r="M95" s="591" t="str">
        <f ca="1">IFERROR(_xlfn.FORMULATEXT(L96)," ")</f>
        <v xml:space="preserve"> </v>
      </c>
      <c r="N95" s="660" t="s">
        <v>1532</v>
      </c>
    </row>
    <row r="96" spans="9:14" x14ac:dyDescent="0.25">
      <c r="I96" s="743" t="s">
        <v>1461</v>
      </c>
      <c r="J96" s="743"/>
      <c r="K96" s="743"/>
      <c r="L96" s="895">
        <v>2998</v>
      </c>
      <c r="M96" s="591" t="str">
        <f ca="1">IFERROR(_xlfn.FORMULATEXT(L97)," ")</f>
        <v xml:space="preserve"> </v>
      </c>
      <c r="N96" s="660" t="s">
        <v>1878</v>
      </c>
    </row>
    <row r="97" spans="9:13" x14ac:dyDescent="0.25">
      <c r="I97" s="743" t="s">
        <v>1531</v>
      </c>
      <c r="J97" s="743"/>
      <c r="K97" s="743"/>
      <c r="L97" s="904"/>
    </row>
    <row r="98" spans="9:13" x14ac:dyDescent="0.25">
      <c r="I98" s="743"/>
      <c r="J98" s="743"/>
      <c r="K98" s="743"/>
      <c r="L98" s="912">
        <f>SUM(L96:L97)</f>
        <v>2998</v>
      </c>
      <c r="M98" s="591" t="str">
        <f ca="1">IFERROR(_xlfn.FORMULATEXT(L99)," ")</f>
        <v xml:space="preserve"> </v>
      </c>
    </row>
    <row r="99" spans="9:13" x14ac:dyDescent="0.25">
      <c r="I99" s="743" t="s">
        <v>1462</v>
      </c>
      <c r="J99" s="743"/>
      <c r="K99" s="743"/>
      <c r="L99" s="895">
        <v>1380</v>
      </c>
    </row>
    <row r="100" spans="9:13" ht="15.75" thickBot="1" x14ac:dyDescent="0.3">
      <c r="I100" s="743" t="s">
        <v>1460</v>
      </c>
      <c r="J100" s="743"/>
      <c r="K100" s="743"/>
      <c r="L100" s="913">
        <f>L98-L99</f>
        <v>1618</v>
      </c>
    </row>
    <row r="101" spans="9:13" ht="15.75" thickTop="1" x14ac:dyDescent="0.25">
      <c r="I101" s="743"/>
      <c r="J101" s="743"/>
      <c r="K101" s="743"/>
      <c r="L101" s="903"/>
    </row>
    <row r="102" spans="9:13" x14ac:dyDescent="0.25">
      <c r="I102" s="743"/>
      <c r="J102" s="743"/>
      <c r="K102" s="743"/>
      <c r="L102" s="903"/>
    </row>
    <row r="103" spans="9:13" x14ac:dyDescent="0.25">
      <c r="I103" s="272" t="s">
        <v>1533</v>
      </c>
      <c r="J103" s="743"/>
      <c r="K103" s="743"/>
      <c r="L103" s="903"/>
    </row>
    <row r="104" spans="9:13" x14ac:dyDescent="0.25">
      <c r="I104" s="743" t="s">
        <v>1534</v>
      </c>
      <c r="J104" s="743"/>
      <c r="K104" s="743"/>
      <c r="L104" s="904"/>
    </row>
    <row r="105" spans="9:13" x14ac:dyDescent="0.25">
      <c r="I105" s="743" t="s">
        <v>1535</v>
      </c>
      <c r="J105" s="743"/>
      <c r="K105" s="743"/>
      <c r="L105" s="904"/>
    </row>
    <row r="106" spans="9:13" x14ac:dyDescent="0.25">
      <c r="I106" s="743"/>
      <c r="J106" s="743"/>
      <c r="K106" s="743"/>
      <c r="L106" s="912">
        <f>L104+L105</f>
        <v>0</v>
      </c>
    </row>
    <row r="107" spans="9:13" x14ac:dyDescent="0.25">
      <c r="I107" s="743" t="s">
        <v>1536</v>
      </c>
      <c r="J107" s="743"/>
      <c r="K107" s="743"/>
      <c r="L107" s="904"/>
    </row>
    <row r="108" spans="9:13" ht="15.75" thickBot="1" x14ac:dyDescent="0.3">
      <c r="I108" s="743" t="s">
        <v>1166</v>
      </c>
      <c r="J108" s="743"/>
      <c r="K108" s="743"/>
      <c r="L108" s="913">
        <f>L106-L107</f>
        <v>0</v>
      </c>
    </row>
    <row r="109" spans="9:13" ht="15.75" thickTop="1" x14ac:dyDescent="0.25">
      <c r="I109" s="743"/>
      <c r="J109" s="743"/>
      <c r="K109" s="743"/>
      <c r="L109" s="903"/>
    </row>
    <row r="110" spans="9:13" x14ac:dyDescent="0.25">
      <c r="I110" s="272" t="s">
        <v>1868</v>
      </c>
      <c r="J110" s="273"/>
      <c r="K110" s="273"/>
      <c r="L110" s="897"/>
    </row>
    <row r="111" spans="9:13" x14ac:dyDescent="0.25">
      <c r="I111" s="273" t="s">
        <v>640</v>
      </c>
      <c r="J111" s="273"/>
      <c r="K111" s="273"/>
      <c r="L111" s="895"/>
    </row>
    <row r="112" spans="9:13" x14ac:dyDescent="0.25">
      <c r="I112" s="273" t="s">
        <v>641</v>
      </c>
      <c r="J112" s="273"/>
      <c r="K112" s="273"/>
      <c r="L112" s="895"/>
    </row>
    <row r="113" spans="9:12" x14ac:dyDescent="0.25">
      <c r="I113" s="273" t="s">
        <v>1869</v>
      </c>
      <c r="J113" s="273"/>
      <c r="K113" s="273"/>
      <c r="L113" s="895"/>
    </row>
    <row r="114" spans="9:12" x14ac:dyDescent="0.25">
      <c r="I114" s="273" t="s">
        <v>1273</v>
      </c>
      <c r="J114" s="273"/>
      <c r="K114" s="273"/>
      <c r="L114" s="895"/>
    </row>
    <row r="115" spans="9:12" x14ac:dyDescent="0.25">
      <c r="I115" s="273"/>
      <c r="J115" s="273"/>
      <c r="K115" s="273"/>
      <c r="L115" s="898">
        <f>L111-L113+L112-L114</f>
        <v>0</v>
      </c>
    </row>
    <row r="116" spans="9:12" x14ac:dyDescent="0.25">
      <c r="I116" s="273" t="s">
        <v>642</v>
      </c>
      <c r="J116" s="273"/>
      <c r="K116" s="273"/>
      <c r="L116" s="895">
        <f>'Adjustments for cash flow'!K15</f>
        <v>0</v>
      </c>
    </row>
    <row r="117" spans="9:12" ht="15.75" thickBot="1" x14ac:dyDescent="0.3">
      <c r="I117" s="273" t="s">
        <v>639</v>
      </c>
      <c r="J117" s="273"/>
      <c r="K117" s="273"/>
      <c r="L117" s="901">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0" t="s">
        <v>1591</v>
      </c>
    </row>
    <row r="3" spans="1:6" x14ac:dyDescent="0.25">
      <c r="A3" t="s">
        <v>676</v>
      </c>
      <c r="D3" s="14"/>
      <c r="F3" s="420" t="s">
        <v>1589</v>
      </c>
    </row>
    <row r="4" spans="1:6" x14ac:dyDescent="0.25">
      <c r="A4" t="s">
        <v>678</v>
      </c>
      <c r="D4" s="14"/>
      <c r="F4" s="420" t="s">
        <v>1651</v>
      </c>
    </row>
    <row r="5" spans="1:6" x14ac:dyDescent="0.25">
      <c r="A5" t="s">
        <v>679</v>
      </c>
      <c r="D5" s="14"/>
      <c r="F5" s="420" t="s">
        <v>1661</v>
      </c>
    </row>
    <row r="6" spans="1:6" x14ac:dyDescent="0.25">
      <c r="A6" t="s">
        <v>515</v>
      </c>
      <c r="D6" s="14"/>
      <c r="F6" s="420" t="s">
        <v>1652</v>
      </c>
    </row>
    <row r="7" spans="1:6" x14ac:dyDescent="0.25">
      <c r="A7" t="s">
        <v>1278</v>
      </c>
      <c r="D7" s="14"/>
      <c r="F7" s="420" t="s">
        <v>1653</v>
      </c>
    </row>
    <row r="8" spans="1:6" x14ac:dyDescent="0.25">
      <c r="D8" s="11">
        <f>SUM(D3:D7)</f>
        <v>0</v>
      </c>
      <c r="F8" s="420" t="s">
        <v>1590</v>
      </c>
    </row>
    <row r="10" spans="1:6" x14ac:dyDescent="0.25">
      <c r="A10" t="s">
        <v>1250</v>
      </c>
      <c r="D10" s="3"/>
    </row>
    <row r="12" spans="1:6" x14ac:dyDescent="0.25">
      <c r="A12" t="s">
        <v>1251</v>
      </c>
    </row>
    <row r="13" spans="1:6" x14ac:dyDescent="0.25">
      <c r="A13" t="s">
        <v>1266</v>
      </c>
      <c r="D13" s="14"/>
      <c r="F13" s="420" t="s">
        <v>1279</v>
      </c>
    </row>
    <row r="14" spans="1:6" x14ac:dyDescent="0.25">
      <c r="A14" t="s">
        <v>1268</v>
      </c>
      <c r="D14" s="14"/>
    </row>
    <row r="15" spans="1:6" x14ac:dyDescent="0.25">
      <c r="A15" t="s">
        <v>1252</v>
      </c>
      <c r="D15" s="14"/>
      <c r="F15" s="420" t="s">
        <v>1261</v>
      </c>
    </row>
    <row r="16" spans="1:6" x14ac:dyDescent="0.25">
      <c r="A16" t="s">
        <v>22</v>
      </c>
      <c r="D16" s="14"/>
      <c r="F16" s="420" t="s">
        <v>1261</v>
      </c>
    </row>
    <row r="17" spans="1:16" x14ac:dyDescent="0.25">
      <c r="A17" t="s">
        <v>1267</v>
      </c>
      <c r="D17" s="14"/>
      <c r="F17" s="420" t="s">
        <v>1654</v>
      </c>
    </row>
    <row r="18" spans="1:16" x14ac:dyDescent="0.25">
      <c r="A18" t="s">
        <v>1655</v>
      </c>
      <c r="D18" s="14"/>
      <c r="F18" s="420" t="s">
        <v>1656</v>
      </c>
    </row>
    <row r="19" spans="1:16" x14ac:dyDescent="0.25">
      <c r="A19" t="s">
        <v>1283</v>
      </c>
      <c r="D19" s="14"/>
      <c r="F19" s="420" t="s">
        <v>1658</v>
      </c>
    </row>
    <row r="20" spans="1:16" x14ac:dyDescent="0.25">
      <c r="A20" t="s">
        <v>1253</v>
      </c>
      <c r="D20" s="14"/>
      <c r="F20" s="420"/>
    </row>
    <row r="21" spans="1:16" x14ac:dyDescent="0.25">
      <c r="A21" t="s">
        <v>1254</v>
      </c>
      <c r="D21" s="14"/>
      <c r="F21" s="420"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0"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0" t="s">
        <v>1658</v>
      </c>
    </row>
    <row r="31" spans="1:16" x14ac:dyDescent="0.25">
      <c r="A31" t="s">
        <v>1262</v>
      </c>
      <c r="L31" t="s">
        <v>1585</v>
      </c>
      <c r="P31" s="3"/>
    </row>
    <row r="32" spans="1:16" x14ac:dyDescent="0.25">
      <c r="A32" t="s">
        <v>1263</v>
      </c>
      <c r="D32" s="367">
        <f>D22</f>
        <v>0</v>
      </c>
      <c r="L32" t="s">
        <v>1586</v>
      </c>
      <c r="P32" s="3"/>
    </row>
    <row r="33" spans="1:16" x14ac:dyDescent="0.25">
      <c r="A33" t="s">
        <v>1264</v>
      </c>
      <c r="D33" s="367">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87">
        <v>25231</v>
      </c>
      <c r="F3" s="787">
        <v>29700</v>
      </c>
      <c r="G3" s="89"/>
      <c r="H3" s="89" t="s">
        <v>1099</v>
      </c>
      <c r="I3" s="89"/>
      <c r="J3" s="89"/>
      <c r="K3" s="35">
        <v>0.03</v>
      </c>
      <c r="L3" s="89"/>
      <c r="O3" t="s">
        <v>1100</v>
      </c>
      <c r="R3" s="3">
        <f>2337+R5</f>
        <v>3306</v>
      </c>
      <c r="T3" t="s">
        <v>1101</v>
      </c>
      <c r="U3" s="3"/>
    </row>
    <row r="4" spans="2:22" x14ac:dyDescent="0.25">
      <c r="B4" s="65" t="s">
        <v>1050</v>
      </c>
      <c r="E4" s="787">
        <v>24632</v>
      </c>
      <c r="F4" s="787">
        <v>25200</v>
      </c>
      <c r="G4" s="89"/>
      <c r="H4" s="89" t="s">
        <v>1102</v>
      </c>
      <c r="I4" s="89"/>
      <c r="J4" s="89"/>
      <c r="K4" s="35">
        <v>0.1</v>
      </c>
      <c r="L4" s="89"/>
      <c r="O4" t="s">
        <v>1103</v>
      </c>
      <c r="R4" s="3">
        <v>439</v>
      </c>
      <c r="T4" t="s">
        <v>1104</v>
      </c>
      <c r="U4" s="548"/>
    </row>
    <row r="5" spans="2:22" x14ac:dyDescent="0.25">
      <c r="B5" s="65" t="s">
        <v>1046</v>
      </c>
      <c r="E5" s="779">
        <f>E3-E4</f>
        <v>599</v>
      </c>
      <c r="F5" s="788">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65" t="str">
        <f ca="1">IFERROR(_xlfn.FORMULATEXT(F8)," ")</f>
        <v xml:space="preserve"> </v>
      </c>
      <c r="F8" s="785">
        <v>212</v>
      </c>
      <c r="G8" s="683"/>
      <c r="H8" s="554" t="s">
        <v>1114</v>
      </c>
      <c r="I8" s="89"/>
      <c r="J8" s="89"/>
      <c r="K8" s="89">
        <f>K4*K5</f>
        <v>1600</v>
      </c>
      <c r="L8" s="555"/>
    </row>
    <row r="9" spans="2:22" x14ac:dyDescent="0.25">
      <c r="B9" s="65" t="s">
        <v>1048</v>
      </c>
      <c r="F9" s="785">
        <v>360</v>
      </c>
      <c r="G9" s="89"/>
      <c r="H9" s="556"/>
      <c r="I9" s="89"/>
      <c r="J9" s="89"/>
      <c r="K9" s="89"/>
      <c r="L9" s="555"/>
      <c r="O9" t="s">
        <v>1115</v>
      </c>
    </row>
    <row r="10" spans="2:22" x14ac:dyDescent="0.25">
      <c r="B10" s="65" t="s">
        <v>1116</v>
      </c>
      <c r="F10" s="785"/>
      <c r="H10" s="89" t="s">
        <v>1117</v>
      </c>
      <c r="I10" s="89"/>
      <c r="J10" s="89"/>
      <c r="K10" s="14"/>
      <c r="L10" s="555"/>
    </row>
    <row r="11" spans="2:22" x14ac:dyDescent="0.25">
      <c r="B11" s="65" t="s">
        <v>1118</v>
      </c>
      <c r="F11" s="785"/>
      <c r="H11" s="89"/>
      <c r="I11" s="89"/>
      <c r="J11" s="89"/>
      <c r="K11" s="14"/>
      <c r="L11" s="555"/>
      <c r="Q11" s="15" t="s">
        <v>141</v>
      </c>
      <c r="R11" s="15" t="s">
        <v>141</v>
      </c>
      <c r="T11" s="15"/>
      <c r="U11" s="15" t="s">
        <v>141</v>
      </c>
      <c r="V11" s="15" t="s">
        <v>141</v>
      </c>
    </row>
    <row r="12" spans="2:22" x14ac:dyDescent="0.25">
      <c r="B12" s="65" t="s">
        <v>1049</v>
      </c>
      <c r="F12" s="785">
        <v>6752</v>
      </c>
      <c r="G12" s="89"/>
      <c r="O12" t="s">
        <v>1119</v>
      </c>
      <c r="Q12" s="11">
        <f>R3+R4</f>
        <v>3745</v>
      </c>
      <c r="T12" t="s">
        <v>1120</v>
      </c>
      <c r="U12" s="197">
        <f>U5+U6</f>
        <v>0</v>
      </c>
    </row>
    <row r="13" spans="2:22" x14ac:dyDescent="0.25">
      <c r="B13" s="65" t="s">
        <v>1121</v>
      </c>
      <c r="F13" s="785"/>
      <c r="O13" t="s">
        <v>1122</v>
      </c>
      <c r="R13" s="197">
        <f>R7</f>
        <v>174</v>
      </c>
      <c r="T13" t="s">
        <v>1123</v>
      </c>
      <c r="V13" s="197">
        <f>U6+U5</f>
        <v>0</v>
      </c>
    </row>
    <row r="14" spans="2:22" x14ac:dyDescent="0.25">
      <c r="B14" s="65" t="s">
        <v>1124</v>
      </c>
      <c r="F14" s="785"/>
      <c r="H14" s="15"/>
      <c r="I14" s="15"/>
      <c r="J14" s="15" t="s">
        <v>141</v>
      </c>
      <c r="K14" s="15" t="s">
        <v>141</v>
      </c>
      <c r="L14" s="15"/>
      <c r="O14" t="s">
        <v>407</v>
      </c>
      <c r="R14" s="11">
        <f>R3+R4-R7</f>
        <v>3571</v>
      </c>
    </row>
    <row r="15" spans="2:22" ht="15.75" thickBot="1" x14ac:dyDescent="0.3">
      <c r="B15" s="72" t="s">
        <v>1125</v>
      </c>
      <c r="C15" s="73"/>
      <c r="D15" s="557" t="str">
        <f>"= "&amp;F14&amp;"-"&amp;F13</f>
        <v>= -</v>
      </c>
      <c r="E15" s="73"/>
      <c r="F15" s="786">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1836</v>
      </c>
    </row>
    <row r="18" spans="2:12" x14ac:dyDescent="0.25">
      <c r="E18" s="15" t="s">
        <v>141</v>
      </c>
      <c r="F18" s="15" t="s">
        <v>141</v>
      </c>
      <c r="G18" s="89"/>
      <c r="H18" s="89"/>
      <c r="I18" s="89"/>
      <c r="J18" s="89"/>
      <c r="K18" s="89"/>
      <c r="L18" s="89"/>
    </row>
    <row r="19" spans="2:12" x14ac:dyDescent="0.25">
      <c r="B19" t="s">
        <v>1128</v>
      </c>
      <c r="E19" s="779">
        <f>F9+F10</f>
        <v>360</v>
      </c>
      <c r="F19" s="779"/>
      <c r="G19" s="89"/>
      <c r="H19" s="559" t="s">
        <v>1703</v>
      </c>
      <c r="I19" s="89"/>
      <c r="J19" s="89"/>
      <c r="K19" s="89"/>
      <c r="L19" s="89"/>
    </row>
    <row r="20" spans="2:12" x14ac:dyDescent="0.25">
      <c r="B20" s="3" t="s">
        <v>1832</v>
      </c>
      <c r="E20" s="779"/>
      <c r="F20" s="779">
        <f>F9+F10</f>
        <v>360</v>
      </c>
      <c r="H20" s="559" t="s">
        <v>1701</v>
      </c>
      <c r="I20" s="89"/>
      <c r="J20" s="89"/>
      <c r="K20" s="89"/>
      <c r="L20" s="89"/>
    </row>
    <row r="21" spans="2:12" x14ac:dyDescent="0.25">
      <c r="E21" s="10"/>
      <c r="F21" s="10"/>
      <c r="G21" s="89"/>
      <c r="H21" s="559" t="s">
        <v>1702</v>
      </c>
      <c r="I21" s="89"/>
      <c r="J21" s="89"/>
      <c r="K21" s="89"/>
      <c r="L21" s="89"/>
    </row>
    <row r="22" spans="2:12" x14ac:dyDescent="0.25">
      <c r="E22" s="779"/>
      <c r="F22" s="779"/>
      <c r="G22" s="89"/>
      <c r="H22" s="559"/>
      <c r="I22" s="559"/>
      <c r="J22" s="559"/>
      <c r="K22" s="559"/>
      <c r="L22" s="89"/>
    </row>
    <row r="23" spans="2:12" x14ac:dyDescent="0.25">
      <c r="B23" s="1" t="s">
        <v>1129</v>
      </c>
      <c r="E23" s="779"/>
      <c r="F23" s="779"/>
      <c r="G23" s="89"/>
      <c r="H23" s="559"/>
      <c r="I23" s="559"/>
      <c r="J23" s="559"/>
      <c r="K23" s="559"/>
      <c r="L23" s="89"/>
    </row>
    <row r="24" spans="2:12" x14ac:dyDescent="0.25">
      <c r="B24" t="str" cm="1">
        <f t="array" ref="B24">_xlfn.IFS(F15&lt;0,"DR SPL - Staff costs",F15&gt;0,"CR SPL - Staff costs",F15=0," ")</f>
        <v xml:space="preserve"> </v>
      </c>
      <c r="E24" s="779">
        <f>IF($F$15&lt;0,-$F$15,0)</f>
        <v>0</v>
      </c>
      <c r="F24" s="779">
        <f>IF($F$15&gt;0,$F$15,0)</f>
        <v>0</v>
      </c>
      <c r="G24" s="89"/>
      <c r="H24" s="559"/>
      <c r="I24" s="559"/>
      <c r="J24" s="559"/>
      <c r="K24" s="559"/>
      <c r="L24" s="89"/>
    </row>
    <row r="25" spans="2:12" x14ac:dyDescent="0.25">
      <c r="B25" t="s">
        <v>1054</v>
      </c>
      <c r="E25" s="779">
        <f>F14+F12</f>
        <v>6752</v>
      </c>
      <c r="F25" s="779"/>
      <c r="G25" s="89"/>
      <c r="H25" s="559"/>
      <c r="I25" s="559"/>
      <c r="J25" s="559"/>
      <c r="K25" s="559"/>
      <c r="L25" s="89"/>
    </row>
    <row r="26" spans="2:12" x14ac:dyDescent="0.25">
      <c r="B26" t="s">
        <v>1053</v>
      </c>
      <c r="E26" s="779"/>
      <c r="F26" s="779">
        <f>F13+F12</f>
        <v>6752</v>
      </c>
      <c r="G26" s="89"/>
      <c r="H26" s="559"/>
      <c r="I26" s="559"/>
      <c r="J26" s="559"/>
      <c r="K26" s="559"/>
      <c r="L26" s="89"/>
    </row>
    <row r="27" spans="2:12" x14ac:dyDescent="0.25">
      <c r="B27" t="s">
        <v>1990</v>
      </c>
      <c r="E27" s="779"/>
      <c r="F27" s="779"/>
      <c r="G27" s="89"/>
      <c r="H27" s="89"/>
      <c r="I27" s="89"/>
      <c r="J27" s="89"/>
      <c r="K27" s="89"/>
      <c r="L27" s="89"/>
    </row>
    <row r="28" spans="2:12" x14ac:dyDescent="0.25">
      <c r="E28" s="779"/>
      <c r="F28" s="779"/>
      <c r="G28" s="89"/>
      <c r="H28" s="89"/>
      <c r="I28" s="89"/>
      <c r="J28" s="89"/>
      <c r="K28" s="89"/>
      <c r="L28" s="89"/>
    </row>
    <row r="29" spans="2:12" x14ac:dyDescent="0.25">
      <c r="B29" s="1" t="s">
        <v>1055</v>
      </c>
      <c r="E29" s="779"/>
      <c r="F29" s="779"/>
      <c r="G29" s="89"/>
    </row>
    <row r="30" spans="2:12" x14ac:dyDescent="0.25">
      <c r="B30" s="420" t="s">
        <v>1704</v>
      </c>
      <c r="E30" s="779"/>
      <c r="F30" s="779"/>
      <c r="G30" s="89"/>
      <c r="J30" s="41"/>
    </row>
    <row r="31" spans="2:12" x14ac:dyDescent="0.25">
      <c r="B31" t="s">
        <v>1056</v>
      </c>
      <c r="E31" s="779">
        <f>F8+F11</f>
        <v>212</v>
      </c>
      <c r="F31" s="779"/>
      <c r="G31" s="89"/>
      <c r="J31" s="41"/>
    </row>
    <row r="32" spans="2:12" x14ac:dyDescent="0.25">
      <c r="B32" t="s">
        <v>1057</v>
      </c>
      <c r="E32" s="779"/>
      <c r="F32" s="779">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79">
        <f>F3</f>
        <v>29700</v>
      </c>
      <c r="F38" s="779">
        <f>F4</f>
        <v>25200</v>
      </c>
      <c r="H38" s="12"/>
      <c r="I38" s="12"/>
      <c r="J38" s="12"/>
      <c r="K38" s="12"/>
      <c r="L38" s="12"/>
    </row>
    <row r="39" spans="2:12" x14ac:dyDescent="0.25">
      <c r="B39" t="s">
        <v>1059</v>
      </c>
      <c r="C39" s="737">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80">
        <f>SUM(E38:E43)</f>
        <v>26684</v>
      </c>
      <c r="F44" s="780">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84" t="str">
        <f>E44&amp;" * "&amp;$F$7*100&amp;"%"</f>
        <v>26684 * 4.8%</v>
      </c>
      <c r="F46" s="684" t="str">
        <f>F44&amp;" * "&amp;$F$7*100&amp;"%"</f>
        <v>21824 * 4.8%</v>
      </c>
      <c r="H46" s="12"/>
      <c r="I46" s="12"/>
      <c r="J46" s="12"/>
      <c r="K46" s="12"/>
      <c r="L46" s="12"/>
    </row>
    <row r="47" spans="2:12" ht="15.75" thickBot="1" x14ac:dyDescent="0.3">
      <c r="B47" t="s">
        <v>1833</v>
      </c>
      <c r="E47" s="684"/>
      <c r="F47" s="781">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79">
        <f>F3</f>
        <v>29700</v>
      </c>
      <c r="F57" s="779">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79">
        <f>E3</f>
        <v>25231</v>
      </c>
      <c r="F65" s="779">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1834</v>
      </c>
    </row>
    <row r="77" spans="2:12" ht="15.75" thickBot="1" x14ac:dyDescent="0.3">
      <c r="B77" t="str">
        <f>IF((SUM(E24+E31+E51)-SUM(F24+F31+F51))&gt;0,"Total defined benefit pension expense","Total defined benefit pension income")</f>
        <v>Total defined benefit pension income</v>
      </c>
      <c r="F77" s="782">
        <f>ABS(SUM(E24+E31+E51)-SUM(F24+F31+F51))</f>
        <v>21.279999999999973</v>
      </c>
    </row>
    <row r="78" spans="2:12" ht="15.75" thickTop="1" x14ac:dyDescent="0.25">
      <c r="B78" s="1"/>
      <c r="F78" s="783"/>
    </row>
    <row r="79" spans="2:12" x14ac:dyDescent="0.25">
      <c r="B79" s="1" t="s">
        <v>1134</v>
      </c>
      <c r="F79" s="10"/>
    </row>
    <row r="80" spans="2:12" x14ac:dyDescent="0.25">
      <c r="B80" s="1" t="s">
        <v>4</v>
      </c>
      <c r="F80" s="10"/>
    </row>
    <row r="81" spans="2:8" ht="15.75" thickBot="1" x14ac:dyDescent="0.3">
      <c r="B81" t="s">
        <v>1135</v>
      </c>
      <c r="F81" s="782">
        <f>F72-E72</f>
        <v>-4282.2799999999988</v>
      </c>
    </row>
    <row r="82" spans="2:8" ht="15.75" thickTop="1" x14ac:dyDescent="0.25">
      <c r="F82" s="10"/>
    </row>
    <row r="83" spans="2:8" x14ac:dyDescent="0.25">
      <c r="B83" s="1" t="s">
        <v>73</v>
      </c>
      <c r="F83" s="10"/>
    </row>
    <row r="84" spans="2:8" ht="15.75" thickBot="1" x14ac:dyDescent="0.3">
      <c r="B84" t="s">
        <v>1136</v>
      </c>
      <c r="F84" s="782">
        <f>IF(F65&lt;E65,-(F65-E65),0)</f>
        <v>599</v>
      </c>
      <c r="H84" s="420" t="s">
        <v>1835</v>
      </c>
    </row>
    <row r="85" spans="2:8" ht="15.75" thickTop="1" x14ac:dyDescent="0.25">
      <c r="F85" s="10"/>
    </row>
    <row r="86" spans="2:8" x14ac:dyDescent="0.25">
      <c r="B86" s="560" t="s">
        <v>1137</v>
      </c>
      <c r="C86" s="191"/>
      <c r="D86" s="191"/>
      <c r="E86" s="191"/>
      <c r="F86" s="784"/>
    </row>
    <row r="87" spans="2:8" ht="15.75" thickBot="1" x14ac:dyDescent="0.3">
      <c r="B87" s="561" t="s">
        <v>1138</v>
      </c>
      <c r="C87" s="191"/>
      <c r="D87" s="191"/>
      <c r="E87" s="191"/>
      <c r="F87" s="782">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75" t="s">
        <v>1466</v>
      </c>
      <c r="B2" s="652"/>
      <c r="C2" s="652"/>
      <c r="D2" s="652"/>
      <c r="E2" s="652"/>
      <c r="F2" s="652"/>
      <c r="G2" s="652"/>
      <c r="H2" s="652"/>
      <c r="I2" s="652"/>
      <c r="J2" s="652"/>
      <c r="K2" s="652"/>
      <c r="L2" s="652"/>
    </row>
    <row r="3" spans="1:14" x14ac:dyDescent="0.25">
      <c r="A3" s="420" t="s">
        <v>1952</v>
      </c>
      <c r="N3" s="420" t="s">
        <v>1853</v>
      </c>
    </row>
    <row r="4" spans="1:14" x14ac:dyDescent="0.25">
      <c r="A4" s="420" t="s">
        <v>1667</v>
      </c>
      <c r="N4" s="420" t="s">
        <v>1854</v>
      </c>
    </row>
    <row r="5" spans="1:14" x14ac:dyDescent="0.25">
      <c r="A5" s="420" t="s">
        <v>1953</v>
      </c>
      <c r="N5" s="420"/>
    </row>
    <row r="6" spans="1:14" x14ac:dyDescent="0.25">
      <c r="A6" s="420" t="s">
        <v>1956</v>
      </c>
      <c r="N6" s="420"/>
    </row>
    <row r="7" spans="1:14" x14ac:dyDescent="0.25">
      <c r="A7" t="s">
        <v>1469</v>
      </c>
      <c r="C7" s="3"/>
      <c r="N7" s="420" t="s">
        <v>1847</v>
      </c>
    </row>
    <row r="8" spans="1:14" x14ac:dyDescent="0.25">
      <c r="A8" t="s">
        <v>1468</v>
      </c>
      <c r="C8" s="14"/>
    </row>
    <row r="9" spans="1:14" x14ac:dyDescent="0.25">
      <c r="A9" t="s">
        <v>1467</v>
      </c>
      <c r="C9" s="3"/>
      <c r="N9" s="420"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0"/>
    </row>
    <row r="11" spans="1:14" x14ac:dyDescent="0.25">
      <c r="N11" s="420" t="s">
        <v>1848</v>
      </c>
    </row>
    <row r="12" spans="1:14" x14ac:dyDescent="0.25">
      <c r="A12" t="s">
        <v>1471</v>
      </c>
      <c r="C12" s="642" t="e">
        <f>(C7*C8*C10)/C9</f>
        <v>#DIV/0!</v>
      </c>
      <c r="N12" s="420"/>
    </row>
    <row r="13" spans="1:14" x14ac:dyDescent="0.25">
      <c r="C13" s="642"/>
      <c r="N13" s="420" t="s">
        <v>1849</v>
      </c>
    </row>
    <row r="14" spans="1:14" x14ac:dyDescent="0.25">
      <c r="A14" s="420" t="s">
        <v>1668</v>
      </c>
      <c r="C14" s="642"/>
      <c r="N14" s="420" t="s">
        <v>1848</v>
      </c>
    </row>
    <row r="15" spans="1:14" x14ac:dyDescent="0.25">
      <c r="A15" s="420" t="s">
        <v>1954</v>
      </c>
    </row>
    <row r="16" spans="1:14" ht="15.75" thickBot="1" x14ac:dyDescent="0.3">
      <c r="A16" s="420" t="s">
        <v>1955</v>
      </c>
    </row>
    <row r="17" spans="1:13" x14ac:dyDescent="0.25">
      <c r="A17" s="643" t="s">
        <v>1474</v>
      </c>
      <c r="B17" s="644" t="s">
        <v>1472</v>
      </c>
      <c r="C17" s="63" t="s">
        <v>1473</v>
      </c>
      <c r="D17" s="63" t="s">
        <v>276</v>
      </c>
      <c r="E17" s="644" t="s">
        <v>80</v>
      </c>
      <c r="F17" s="645" t="s">
        <v>208</v>
      </c>
      <c r="H17" s="75" t="s">
        <v>1476</v>
      </c>
      <c r="I17" s="63"/>
      <c r="J17" s="63"/>
      <c r="K17" s="63"/>
      <c r="L17" s="64"/>
    </row>
    <row r="18" spans="1:13" x14ac:dyDescent="0.25">
      <c r="A18" s="65"/>
      <c r="B18" s="66"/>
      <c r="C18" s="66"/>
      <c r="D18" s="66"/>
      <c r="E18" s="67" t="s">
        <v>10</v>
      </c>
      <c r="F18" s="126" t="s">
        <v>10</v>
      </c>
      <c r="H18" s="65"/>
      <c r="I18" s="66"/>
      <c r="J18" s="66"/>
      <c r="K18" s="66"/>
      <c r="L18" s="68"/>
      <c r="M18" s="420" t="s">
        <v>1957</v>
      </c>
    </row>
    <row r="19" spans="1:13" x14ac:dyDescent="0.25">
      <c r="A19" s="65">
        <v>1</v>
      </c>
      <c r="B19" s="49"/>
      <c r="C19" s="85">
        <f>B19*$C$8</f>
        <v>0</v>
      </c>
      <c r="D19" s="85">
        <f>C19*$C$10</f>
        <v>0</v>
      </c>
      <c r="E19" s="85" t="e">
        <f>D19/$C$9*A19</f>
        <v>#DIV/0!</v>
      </c>
      <c r="F19" s="71" t="e">
        <f>E19</f>
        <v>#DIV/0!</v>
      </c>
      <c r="H19" s="891">
        <v>1</v>
      </c>
      <c r="I19" s="66" t="s">
        <v>1475</v>
      </c>
      <c r="J19" s="66"/>
      <c r="K19" s="17" t="e">
        <f>F19</f>
        <v>#DIV/0!</v>
      </c>
      <c r="L19" s="68"/>
      <c r="M19" s="420" t="s">
        <v>1673</v>
      </c>
    </row>
    <row r="20" spans="1:13" s="183" customFormat="1" x14ac:dyDescent="0.25">
      <c r="A20" s="185"/>
      <c r="B20" s="151" t="str">
        <f ca="1">IFERROR(_xlfn.FORMULATEXT(B19)," ")</f>
        <v xml:space="preserve"> </v>
      </c>
      <c r="C20" s="111"/>
      <c r="D20" s="111"/>
      <c r="E20" s="111"/>
      <c r="F20" s="140"/>
      <c r="H20" s="891"/>
      <c r="I20" s="151" t="s">
        <v>882</v>
      </c>
      <c r="J20" s="151"/>
      <c r="K20" s="151"/>
      <c r="L20" s="140" t="e">
        <f>F19</f>
        <v>#DIV/0!</v>
      </c>
    </row>
    <row r="21" spans="1:13" x14ac:dyDescent="0.25">
      <c r="A21" s="65">
        <v>2</v>
      </c>
      <c r="B21" s="49"/>
      <c r="C21" s="85">
        <f>B21*$C$8</f>
        <v>0</v>
      </c>
      <c r="D21" s="85">
        <f>C21*$C$10</f>
        <v>0</v>
      </c>
      <c r="E21" s="85" t="e">
        <f>D21/$C$9*A21</f>
        <v>#DIV/0!</v>
      </c>
      <c r="F21" s="71" t="e">
        <f>E21-E19</f>
        <v>#DIV/0!</v>
      </c>
      <c r="H21" s="891">
        <v>2</v>
      </c>
      <c r="I21" s="66" t="s">
        <v>1475</v>
      </c>
      <c r="J21" s="66"/>
      <c r="K21" s="17" t="e">
        <f>F21</f>
        <v>#DIV/0!</v>
      </c>
      <c r="L21" s="68"/>
    </row>
    <row r="22" spans="1:13" s="183" customFormat="1" x14ac:dyDescent="0.25">
      <c r="A22" s="185"/>
      <c r="B22" s="676" t="str">
        <f ca="1">IFERROR(_xlfn.FORMULATEXT(B21)," ")</f>
        <v xml:space="preserve"> </v>
      </c>
      <c r="C22" s="111"/>
      <c r="D22" s="111"/>
      <c r="E22" s="111"/>
      <c r="F22" s="140"/>
      <c r="H22" s="891"/>
      <c r="I22" s="151" t="s">
        <v>882</v>
      </c>
      <c r="J22" s="151"/>
      <c r="K22" s="151"/>
      <c r="L22" s="140" t="e">
        <f>F21</f>
        <v>#DIV/0!</v>
      </c>
    </row>
    <row r="23" spans="1:13" x14ac:dyDescent="0.25">
      <c r="A23" s="65">
        <v>3</v>
      </c>
      <c r="B23" s="49"/>
      <c r="C23" s="85">
        <f>B23*$C$8</f>
        <v>0</v>
      </c>
      <c r="D23" s="85">
        <f>C23*$C$10</f>
        <v>0</v>
      </c>
      <c r="E23" s="85" t="e">
        <f>D23/$C$9*A23</f>
        <v>#DIV/0!</v>
      </c>
      <c r="F23" s="71" t="e">
        <f>E23-E21</f>
        <v>#DIV/0!</v>
      </c>
      <c r="H23" s="891">
        <v>3</v>
      </c>
      <c r="I23" s="66" t="s">
        <v>1475</v>
      </c>
      <c r="J23" s="66"/>
      <c r="K23" s="17" t="e">
        <f>F23</f>
        <v>#DIV/0!</v>
      </c>
      <c r="L23" s="68"/>
    </row>
    <row r="24" spans="1:13" ht="15.75" thickBot="1" x14ac:dyDescent="0.3">
      <c r="A24" s="72"/>
      <c r="B24" s="73" t="str">
        <f ca="1">IFERROR(_xlfn.FORMULATEXT(B23)," ")</f>
        <v xml:space="preserve"> </v>
      </c>
      <c r="C24" s="73"/>
      <c r="D24" s="73"/>
      <c r="E24" s="73"/>
      <c r="F24" s="82"/>
      <c r="H24" s="892"/>
      <c r="I24" s="646" t="s">
        <v>882</v>
      </c>
      <c r="J24" s="73"/>
      <c r="K24" s="73"/>
      <c r="L24" s="110" t="e">
        <f>F23</f>
        <v>#DIV/0!</v>
      </c>
    </row>
    <row r="25" spans="1:13" x14ac:dyDescent="0.25">
      <c r="A25" s="66"/>
      <c r="B25" s="66"/>
      <c r="C25" s="66"/>
      <c r="D25" s="66"/>
      <c r="E25" s="66"/>
      <c r="F25" s="66"/>
      <c r="H25" s="648"/>
      <c r="I25" s="151"/>
      <c r="J25" s="66"/>
      <c r="K25" s="66"/>
      <c r="L25" s="17"/>
    </row>
    <row r="26" spans="1:13" x14ac:dyDescent="0.25">
      <c r="A26" s="614" t="s">
        <v>1481</v>
      </c>
      <c r="B26" s="615"/>
      <c r="C26" s="615"/>
    </row>
    <row r="27" spans="1:13" x14ac:dyDescent="0.25">
      <c r="A27" s="420" t="s">
        <v>1674</v>
      </c>
    </row>
    <row r="28" spans="1:13" x14ac:dyDescent="0.25">
      <c r="A28" t="s">
        <v>1482</v>
      </c>
      <c r="B28" s="747" t="e">
        <f>SUM(K18:K24)</f>
        <v>#DIV/0!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14" t="s">
        <v>1490</v>
      </c>
      <c r="B50" s="615"/>
      <c r="C50" s="615"/>
    </row>
    <row r="51" spans="1:14" x14ac:dyDescent="0.25">
      <c r="A51" t="s">
        <v>1486</v>
      </c>
      <c r="B51" s="12" t="e">
        <f>(1-B33)*SUM($K$19:$K$24)</f>
        <v>#DIV/0!</v>
      </c>
    </row>
    <row r="52" spans="1:14" x14ac:dyDescent="0.25">
      <c r="A52" t="s">
        <v>1487</v>
      </c>
      <c r="C52" s="12" t="e">
        <f>(1-C34)*SUM($K$19:$K$24)</f>
        <v>#DIV/0!</v>
      </c>
    </row>
    <row r="59" spans="1:14" ht="18.75" x14ac:dyDescent="0.3">
      <c r="A59" s="675" t="s">
        <v>1477</v>
      </c>
      <c r="B59" s="652"/>
      <c r="C59" s="652"/>
      <c r="D59" s="652"/>
      <c r="E59" s="652"/>
      <c r="F59" s="652"/>
      <c r="G59" s="652"/>
    </row>
    <row r="60" spans="1:14" x14ac:dyDescent="0.25">
      <c r="A60" t="s">
        <v>1469</v>
      </c>
      <c r="C60" s="3"/>
      <c r="N60" s="420" t="s">
        <v>1844</v>
      </c>
    </row>
    <row r="61" spans="1:14" x14ac:dyDescent="0.25">
      <c r="A61" t="s">
        <v>1468</v>
      </c>
      <c r="C61" s="14"/>
      <c r="N61" s="420" t="s">
        <v>1845</v>
      </c>
    </row>
    <row r="62" spans="1:14" x14ac:dyDescent="0.25">
      <c r="A62" t="s">
        <v>1467</v>
      </c>
      <c r="C62" s="3"/>
      <c r="N62" s="420"/>
    </row>
    <row r="63" spans="1:14" x14ac:dyDescent="0.25">
      <c r="N63" s="420"/>
    </row>
    <row r="64" spans="1:14" x14ac:dyDescent="0.25">
      <c r="B64" t="s">
        <v>1479</v>
      </c>
      <c r="C64" t="s">
        <v>1478</v>
      </c>
      <c r="D64" t="s">
        <v>1843</v>
      </c>
      <c r="N64" s="420" t="s">
        <v>1846</v>
      </c>
    </row>
    <row r="65" spans="1:14" x14ac:dyDescent="0.25">
      <c r="A65" t="s">
        <v>1470</v>
      </c>
      <c r="B65" s="3"/>
      <c r="C65" s="641"/>
      <c r="D65" s="641"/>
      <c r="N65" s="420"/>
    </row>
    <row r="66" spans="1:14" x14ac:dyDescent="0.25">
      <c r="N66" s="420" t="s">
        <v>1847</v>
      </c>
    </row>
    <row r="67" spans="1:14" x14ac:dyDescent="0.25">
      <c r="A67" t="s">
        <v>1480</v>
      </c>
      <c r="D67" s="15" t="s">
        <v>1843</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42" cm="1">
        <f t="array" ref="D69">(C60*C61*_xlfn.IFS(D67="scenario 1",B65,D67="scenario 2",C65,D67="scenario 3",D65))</f>
        <v>0</v>
      </c>
      <c r="N69" s="420"/>
    </row>
    <row r="70" spans="1:14" x14ac:dyDescent="0.25">
      <c r="N70" s="420" t="s">
        <v>1848</v>
      </c>
    </row>
    <row r="71" spans="1:14" ht="15.75" thickBot="1" x14ac:dyDescent="0.3">
      <c r="N71" s="420"/>
    </row>
    <row r="72" spans="1:14" x14ac:dyDescent="0.25">
      <c r="A72" s="643" t="s">
        <v>1474</v>
      </c>
      <c r="B72" s="644" t="s">
        <v>1472</v>
      </c>
      <c r="C72" s="63" t="s">
        <v>1473</v>
      </c>
      <c r="D72" s="63" t="s">
        <v>276</v>
      </c>
      <c r="E72" s="63" t="s">
        <v>80</v>
      </c>
      <c r="F72" s="64" t="s">
        <v>208</v>
      </c>
      <c r="H72" s="75" t="s">
        <v>1476</v>
      </c>
      <c r="I72" s="63"/>
      <c r="J72" s="63"/>
      <c r="K72" s="63"/>
      <c r="L72" s="64"/>
      <c r="N72" s="420" t="s">
        <v>1849</v>
      </c>
    </row>
    <row r="73" spans="1:14" x14ac:dyDescent="0.25">
      <c r="A73" s="65"/>
      <c r="B73" s="66"/>
      <c r="C73" s="66"/>
      <c r="D73" s="67" t="s">
        <v>141</v>
      </c>
      <c r="E73" s="67" t="s">
        <v>141</v>
      </c>
      <c r="F73" s="126" t="s">
        <v>141</v>
      </c>
      <c r="H73" s="65"/>
      <c r="I73" s="66"/>
      <c r="J73" s="66"/>
      <c r="K73" s="66"/>
      <c r="L73" s="68"/>
      <c r="N73" s="420" t="s">
        <v>1848</v>
      </c>
    </row>
    <row r="74" spans="1:14" x14ac:dyDescent="0.25">
      <c r="A74" s="65">
        <v>1</v>
      </c>
      <c r="B74" s="70"/>
      <c r="C74" s="85"/>
      <c r="D74" s="85" cm="1">
        <f t="array" ref="D74">C74*_xlfn.IFS($D$67="scenario 1",$B$65,$D$67="scenario 2",$C$65,$D$67="scenario 3",$D$65)</f>
        <v>0</v>
      </c>
      <c r="E74" s="85" t="e">
        <f>D74/$C$62*A74</f>
        <v>#DIV/0!</v>
      </c>
      <c r="F74" s="71" t="e">
        <f>E74</f>
        <v>#DIV/0!</v>
      </c>
      <c r="H74" s="891">
        <v>1</v>
      </c>
      <c r="I74" s="66" t="s">
        <v>1475</v>
      </c>
      <c r="J74" s="66"/>
      <c r="K74" s="17" t="e">
        <f>F74</f>
        <v>#DIV/0!</v>
      </c>
      <c r="L74" s="68"/>
      <c r="N74" s="420"/>
    </row>
    <row r="75" spans="1:14" x14ac:dyDescent="0.25">
      <c r="A75" s="185"/>
      <c r="B75" s="151"/>
      <c r="C75" s="111"/>
      <c r="D75" s="111"/>
      <c r="E75" s="66"/>
      <c r="F75" s="140"/>
      <c r="H75" s="891"/>
      <c r="I75" s="151" t="s">
        <v>882</v>
      </c>
      <c r="J75" s="151"/>
      <c r="K75" s="151"/>
      <c r="L75" s="140" t="e">
        <f>F74</f>
        <v>#DIV/0!</v>
      </c>
      <c r="N75" s="420"/>
    </row>
    <row r="76" spans="1:14" x14ac:dyDescent="0.25">
      <c r="A76" s="65">
        <v>2</v>
      </c>
      <c r="B76" s="70"/>
      <c r="C76" s="85"/>
      <c r="D76" s="85" cm="1">
        <f t="array" ref="D76">C76*_xlfn.IFS($D$67="scenario 1",$B$65,$D$67="scenario 2",$C$65,$D$67="scenario 3",$D$65)</f>
        <v>0</v>
      </c>
      <c r="E76" s="85" t="e">
        <f>D76/$C$62*A76</f>
        <v>#DIV/0!</v>
      </c>
      <c r="F76" s="71" t="e">
        <f>E76-E74</f>
        <v>#DIV/0!</v>
      </c>
      <c r="H76" s="891">
        <v>2</v>
      </c>
      <c r="I76" s="66" t="s">
        <v>1475</v>
      </c>
      <c r="J76" s="66"/>
      <c r="K76" s="17" t="e">
        <f>F76</f>
        <v>#DIV/0!</v>
      </c>
      <c r="L76" s="68"/>
    </row>
    <row r="77" spans="1:14" x14ac:dyDescent="0.25">
      <c r="A77" s="185"/>
      <c r="B77" s="151"/>
      <c r="C77" s="111"/>
      <c r="D77" s="111"/>
      <c r="E77" s="111"/>
      <c r="F77" s="140"/>
      <c r="H77" s="891"/>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891">
        <v>3</v>
      </c>
      <c r="I78" s="66" t="s">
        <v>1475</v>
      </c>
      <c r="J78" s="66"/>
      <c r="K78" s="17" t="e">
        <f>F78</f>
        <v>#DIV/0!</v>
      </c>
      <c r="L78" s="68"/>
    </row>
    <row r="79" spans="1:14" ht="15.75" thickBot="1" x14ac:dyDescent="0.3">
      <c r="A79" s="72"/>
      <c r="B79" s="73"/>
      <c r="C79" s="73"/>
      <c r="D79" s="73"/>
      <c r="E79" s="73"/>
      <c r="F79" s="82"/>
      <c r="H79" s="892"/>
      <c r="I79" s="646" t="s">
        <v>882</v>
      </c>
      <c r="J79" s="73"/>
      <c r="K79" s="73"/>
      <c r="L79" s="110" t="e">
        <f>F78</f>
        <v>#DIV/0!</v>
      </c>
    </row>
    <row r="82" spans="1:3" x14ac:dyDescent="0.25">
      <c r="A82" s="614" t="s">
        <v>1481</v>
      </c>
      <c r="B82" s="615"/>
      <c r="C82" s="615"/>
    </row>
    <row r="83" spans="1:3" x14ac:dyDescent="0.25">
      <c r="A83" t="s">
        <v>1482</v>
      </c>
      <c r="B83" s="367" t="e">
        <f>E76</f>
        <v>#DIV/0!</v>
      </c>
    </row>
    <row r="85" spans="1:3" x14ac:dyDescent="0.25">
      <c r="A85" t="s">
        <v>1483</v>
      </c>
      <c r="B85" s="367"/>
    </row>
    <row r="86" spans="1:3" x14ac:dyDescent="0.25">
      <c r="A86" t="s">
        <v>1484</v>
      </c>
      <c r="B86" s="3"/>
    </row>
    <row r="87" spans="1:3" x14ac:dyDescent="0.25">
      <c r="A87" t="s">
        <v>1488</v>
      </c>
      <c r="B87" s="14"/>
    </row>
    <row r="88" spans="1:3" x14ac:dyDescent="0.25">
      <c r="A88" t="s">
        <v>1489</v>
      </c>
      <c r="B88" s="647"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14" t="s">
        <v>1490</v>
      </c>
      <c r="B105" s="615"/>
      <c r="C105" s="615"/>
    </row>
    <row r="106" spans="1:14" x14ac:dyDescent="0.25">
      <c r="A106" t="s">
        <v>1486</v>
      </c>
      <c r="B106" s="12" t="e">
        <f>(1-$B$88)*$E$76</f>
        <v>#DIV/0!</v>
      </c>
    </row>
    <row r="107" spans="1:14" x14ac:dyDescent="0.25">
      <c r="A107" t="s">
        <v>1487</v>
      </c>
      <c r="C107" s="12" t="e">
        <f>(1-$B$88)*$E$76</f>
        <v>#DIV/0!</v>
      </c>
    </row>
    <row r="111" spans="1:14" ht="21" x14ac:dyDescent="0.35">
      <c r="A111" s="650" t="s">
        <v>1491</v>
      </c>
      <c r="B111" s="652"/>
      <c r="C111" s="652"/>
      <c r="D111" s="652"/>
      <c r="E111" s="652"/>
      <c r="F111" s="652"/>
      <c r="G111" s="652"/>
      <c r="H111" s="652"/>
      <c r="I111" s="652"/>
      <c r="J111" s="652"/>
      <c r="K111" s="652"/>
      <c r="L111" s="652"/>
      <c r="M111" s="652"/>
      <c r="N111" s="652"/>
    </row>
    <row r="112" spans="1:14" x14ac:dyDescent="0.25">
      <c r="A112" s="420" t="s">
        <v>1950</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81"/>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35"/>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1951</v>
      </c>
    </row>
    <row r="135" spans="1:14" ht="21" x14ac:dyDescent="0.35">
      <c r="A135" s="650" t="s">
        <v>1497</v>
      </c>
      <c r="B135" s="651" t="s">
        <v>1500</v>
      </c>
      <c r="C135" s="652"/>
      <c r="D135" s="652"/>
      <c r="E135" s="652"/>
      <c r="F135" s="652"/>
      <c r="G135" s="652"/>
      <c r="H135" s="652"/>
      <c r="I135" s="652"/>
      <c r="J135" s="652"/>
      <c r="K135" s="652"/>
      <c r="L135" s="652"/>
      <c r="M135" s="652"/>
      <c r="N135" s="652"/>
    </row>
    <row r="136" spans="1:14" x14ac:dyDescent="0.25">
      <c r="A136" t="s">
        <v>1498</v>
      </c>
    </row>
    <row r="138" spans="1:14" x14ac:dyDescent="0.25">
      <c r="A138" t="s">
        <v>1504</v>
      </c>
      <c r="B138" s="14"/>
      <c r="D138" s="420" t="s">
        <v>1850</v>
      </c>
    </row>
    <row r="139" spans="1:14" x14ac:dyDescent="0.25">
      <c r="A139" t="s">
        <v>1672</v>
      </c>
      <c r="B139" s="14"/>
      <c r="D139" s="420" t="s">
        <v>1851</v>
      </c>
      <c r="G139" s="3" t="s">
        <v>1848</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38"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38" t="str">
        <f>"The increase of £"&amp;H148&amp;" needs to be recorded"</f>
        <v>The increase of £-788333 needs to be recorded</v>
      </c>
      <c r="E142" s="3"/>
      <c r="F142" s="3"/>
    </row>
    <row r="143" spans="1:14" ht="15.75" thickBot="1" x14ac:dyDescent="0.3"/>
    <row r="144" spans="1:14" x14ac:dyDescent="0.25">
      <c r="A144" s="643" t="s">
        <v>1474</v>
      </c>
      <c r="B144" s="644" t="s">
        <v>1472</v>
      </c>
      <c r="C144" s="63" t="s">
        <v>1379</v>
      </c>
      <c r="D144" s="63" t="s">
        <v>1505</v>
      </c>
      <c r="E144" s="63" t="s">
        <v>1507</v>
      </c>
      <c r="F144" s="649" t="s">
        <v>1508</v>
      </c>
      <c r="G144" s="644" t="s">
        <v>1501</v>
      </c>
      <c r="H144" s="645"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891">
        <v>1</v>
      </c>
      <c r="K146" s="66" t="s">
        <v>1475</v>
      </c>
      <c r="L146" s="66"/>
      <c r="M146" s="17">
        <f>H146</f>
        <v>788333</v>
      </c>
      <c r="N146" s="68"/>
      <c r="P146" s="420" t="s">
        <v>1676</v>
      </c>
    </row>
    <row r="147" spans="1:16" x14ac:dyDescent="0.25">
      <c r="A147" s="185"/>
      <c r="B147" s="151"/>
      <c r="C147" s="111"/>
      <c r="D147" s="66"/>
      <c r="E147" s="111"/>
      <c r="F147" s="66"/>
      <c r="G147" s="111"/>
      <c r="H147" s="140"/>
      <c r="J147" s="891"/>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891">
        <v>2</v>
      </c>
      <c r="K148" s="66" t="s">
        <v>1475</v>
      </c>
      <c r="L148" s="66"/>
      <c r="M148" s="17">
        <f>H148</f>
        <v>-788333</v>
      </c>
      <c r="N148" s="68"/>
    </row>
    <row r="149" spans="1:16" x14ac:dyDescent="0.25">
      <c r="A149" s="185"/>
      <c r="B149" s="151"/>
      <c r="C149" s="111"/>
      <c r="D149" s="66"/>
      <c r="E149" s="111"/>
      <c r="F149" s="66"/>
      <c r="G149" s="111"/>
      <c r="H149" s="140"/>
      <c r="J149" s="891"/>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891">
        <v>3</v>
      </c>
      <c r="K150" s="66" t="s">
        <v>1475</v>
      </c>
      <c r="L150" s="66"/>
      <c r="M150" s="17">
        <f>H150</f>
        <v>0</v>
      </c>
      <c r="N150" s="68"/>
    </row>
    <row r="151" spans="1:16" ht="15.75" thickBot="1" x14ac:dyDescent="0.3">
      <c r="A151" s="72"/>
      <c r="B151" s="73"/>
      <c r="C151" s="73"/>
      <c r="D151" s="73"/>
      <c r="E151" s="73"/>
      <c r="F151" s="73"/>
      <c r="G151" s="73"/>
      <c r="H151" s="82"/>
      <c r="J151" s="892"/>
      <c r="K151" s="646" t="s">
        <v>1499</v>
      </c>
      <c r="L151" s="73"/>
      <c r="M151" s="73"/>
      <c r="N151" s="110">
        <f>H150</f>
        <v>0</v>
      </c>
    </row>
    <row r="153" spans="1:16" x14ac:dyDescent="0.25">
      <c r="A153" s="420" t="s">
        <v>1677</v>
      </c>
    </row>
    <row r="154" spans="1:16" x14ac:dyDescent="0.25">
      <c r="A154" t="s">
        <v>1502</v>
      </c>
      <c r="J154" s="420" t="s">
        <v>1852</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election activeCell="A7" sqref="A7"/>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3"/>
      <c r="H2" t="s">
        <v>1238</v>
      </c>
      <c r="I2" t="s">
        <v>1239</v>
      </c>
    </row>
    <row r="3" spans="1:10" x14ac:dyDescent="0.25">
      <c r="A3" t="s">
        <v>1237</v>
      </c>
      <c r="D3" s="583"/>
      <c r="G3" s="14"/>
      <c r="H3" s="3"/>
      <c r="I3" s="3"/>
    </row>
    <row r="4" spans="1:10" ht="15.75" thickBot="1" x14ac:dyDescent="0.3">
      <c r="D4" s="586">
        <f>SUM(D2:D3)</f>
        <v>0</v>
      </c>
    </row>
    <row r="5" spans="1:10" ht="15.75" thickTop="1" x14ac:dyDescent="0.25">
      <c r="A5" t="s">
        <v>1241</v>
      </c>
      <c r="D5" s="583"/>
      <c r="J5" s="420" t="s">
        <v>1958</v>
      </c>
    </row>
    <row r="6" spans="1:10" x14ac:dyDescent="0.25">
      <c r="D6" s="584"/>
    </row>
    <row r="7" spans="1:10" x14ac:dyDescent="0.25">
      <c r="A7" s="420" t="s">
        <v>1616</v>
      </c>
      <c r="D7" s="584"/>
    </row>
    <row r="8" spans="1:10" x14ac:dyDescent="0.25">
      <c r="A8" s="420" t="s">
        <v>1608</v>
      </c>
      <c r="D8" s="584"/>
    </row>
    <row r="9" spans="1:10" x14ac:dyDescent="0.25">
      <c r="A9" s="420" t="s">
        <v>1609</v>
      </c>
      <c r="D9" s="584"/>
    </row>
    <row r="10" spans="1:10" x14ac:dyDescent="0.25">
      <c r="A10" s="665"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2"/>
    </row>
    <row r="16" spans="1:10" x14ac:dyDescent="0.25">
      <c r="A16" t="s">
        <v>1226</v>
      </c>
      <c r="D16" s="580">
        <f>D13*D14</f>
        <v>0</v>
      </c>
    </row>
    <row r="17" spans="1:7" x14ac:dyDescent="0.25">
      <c r="A17" t="s">
        <v>1225</v>
      </c>
      <c r="D17" s="581">
        <f>D5-D16</f>
        <v>0</v>
      </c>
    </row>
    <row r="18" spans="1:7" x14ac:dyDescent="0.25">
      <c r="D18" s="581"/>
    </row>
    <row r="19" spans="1:7" x14ac:dyDescent="0.25">
      <c r="A19" t="s">
        <v>1227</v>
      </c>
      <c r="D19" s="580">
        <f>D16</f>
        <v>0</v>
      </c>
    </row>
    <row r="20" spans="1:7" x14ac:dyDescent="0.25">
      <c r="A20" t="s">
        <v>1228</v>
      </c>
      <c r="D20" s="581">
        <f>D17</f>
        <v>0</v>
      </c>
    </row>
    <row r="21" spans="1:7" x14ac:dyDescent="0.25">
      <c r="A21" s="3" t="s">
        <v>373</v>
      </c>
      <c r="E21" s="581">
        <f>D5</f>
        <v>0</v>
      </c>
    </row>
    <row r="22" spans="1:7" x14ac:dyDescent="0.25">
      <c r="E22" s="581"/>
    </row>
    <row r="23" spans="1:7" x14ac:dyDescent="0.25">
      <c r="A23" s="1" t="s">
        <v>1234</v>
      </c>
      <c r="E23" s="581"/>
    </row>
    <row r="24" spans="1:7" x14ac:dyDescent="0.25">
      <c r="A24" s="9" t="s">
        <v>17</v>
      </c>
      <c r="C24" s="37" t="str">
        <f>G3&amp;"* £"&amp;H3</f>
        <v>* £</v>
      </c>
      <c r="E24" s="581">
        <f>G3*H3</f>
        <v>0</v>
      </c>
      <c r="G24" s="420" t="s">
        <v>1560</v>
      </c>
    </row>
    <row r="25" spans="1:7" x14ac:dyDescent="0.25">
      <c r="A25" s="9" t="s">
        <v>678</v>
      </c>
      <c r="C25" s="37" t="str">
        <f>G3&amp;"* £"&amp;I3</f>
        <v>* £</v>
      </c>
      <c r="E25" s="581">
        <f>G3*I3</f>
        <v>0</v>
      </c>
    </row>
    <row r="26" spans="1:7" ht="15.75" thickBot="1" x14ac:dyDescent="0.3">
      <c r="A26" s="9" t="s">
        <v>1611</v>
      </c>
      <c r="E26" s="585">
        <f>SUM(E24:E25)</f>
        <v>0</v>
      </c>
    </row>
    <row r="27" spans="1:7" ht="15.75" thickTop="1" x14ac:dyDescent="0.25">
      <c r="A27" s="1"/>
      <c r="E27" s="581"/>
    </row>
    <row r="28" spans="1:7" x14ac:dyDescent="0.25">
      <c r="A28" s="666" t="s">
        <v>289</v>
      </c>
      <c r="D28" s="581">
        <f>E26</f>
        <v>0</v>
      </c>
    </row>
    <row r="29" spans="1:7" x14ac:dyDescent="0.25">
      <c r="A29" s="9" t="s">
        <v>370</v>
      </c>
      <c r="E29" s="581">
        <f>E24</f>
        <v>0</v>
      </c>
    </row>
    <row r="30" spans="1:7" x14ac:dyDescent="0.25">
      <c r="A30" s="9" t="s">
        <v>371</v>
      </c>
      <c r="E30" s="581">
        <f>E25</f>
        <v>0</v>
      </c>
    </row>
    <row r="31" spans="1:7" x14ac:dyDescent="0.25">
      <c r="A31" s="1"/>
      <c r="E31" s="581"/>
    </row>
    <row r="32" spans="1:7" x14ac:dyDescent="0.25">
      <c r="A32" s="1"/>
      <c r="E32" s="581"/>
    </row>
    <row r="33" spans="1:7" x14ac:dyDescent="0.25">
      <c r="A33" s="1" t="s">
        <v>1235</v>
      </c>
      <c r="E33" s="587"/>
    </row>
    <row r="34" spans="1:7" x14ac:dyDescent="0.25">
      <c r="A34" s="9" t="s">
        <v>1276</v>
      </c>
      <c r="E34" s="590" t="s">
        <v>148</v>
      </c>
    </row>
    <row r="35" spans="1:7" x14ac:dyDescent="0.25">
      <c r="A35" s="420" t="s">
        <v>1247</v>
      </c>
      <c r="E35" s="587"/>
    </row>
    <row r="36" spans="1:7" x14ac:dyDescent="0.25">
      <c r="A36" s="420" t="s">
        <v>1248</v>
      </c>
      <c r="E36" s="587"/>
    </row>
    <row r="37" spans="1:7" x14ac:dyDescent="0.25">
      <c r="A37" s="420" t="s">
        <v>1610</v>
      </c>
      <c r="E37" s="587"/>
    </row>
    <row r="38" spans="1:7" x14ac:dyDescent="0.25">
      <c r="A38" s="420" t="s">
        <v>1962</v>
      </c>
      <c r="E38" s="587"/>
    </row>
    <row r="39" spans="1:7" x14ac:dyDescent="0.25">
      <c r="A39" s="1"/>
      <c r="E39" s="587"/>
    </row>
    <row r="40" spans="1:7" x14ac:dyDescent="0.25">
      <c r="A40" s="1" t="s">
        <v>1246</v>
      </c>
      <c r="E40" s="588"/>
      <c r="G40" s="420" t="s">
        <v>1244</v>
      </c>
    </row>
    <row r="41" spans="1:7" x14ac:dyDescent="0.25">
      <c r="A41" s="1"/>
      <c r="G41" s="420"/>
    </row>
    <row r="42" spans="1:7" x14ac:dyDescent="0.25">
      <c r="A42" s="9" t="s">
        <v>1245</v>
      </c>
      <c r="E42" s="589"/>
      <c r="G42" s="420"/>
    </row>
    <row r="43" spans="1:7" x14ac:dyDescent="0.25">
      <c r="A43" s="9" t="s">
        <v>1243</v>
      </c>
      <c r="E43" s="587">
        <f>E30</f>
        <v>0</v>
      </c>
    </row>
    <row r="44" spans="1:7" x14ac:dyDescent="0.25">
      <c r="A44" s="1" t="s">
        <v>1242</v>
      </c>
      <c r="E44" s="587">
        <f>SUM(E42:E43)</f>
        <v>0</v>
      </c>
    </row>
    <row r="45" spans="1:7" x14ac:dyDescent="0.25">
      <c r="A45" s="1"/>
      <c r="E45" s="587"/>
    </row>
    <row r="46" spans="1:7" x14ac:dyDescent="0.25">
      <c r="A46" s="420" t="s">
        <v>1249</v>
      </c>
      <c r="E46" s="587"/>
    </row>
    <row r="47" spans="1:7" x14ac:dyDescent="0.25">
      <c r="A47" s="9" t="s">
        <v>994</v>
      </c>
      <c r="D47" s="581" cm="1">
        <f t="array" ref="D47">_xlfn.IFS(AND(E40&lt;E44,E34="Yes"),E40,E34="No",0,AND(E40&gt;E44,E34="Yes"),E44)</f>
        <v>0</v>
      </c>
    </row>
    <row r="48" spans="1:7" x14ac:dyDescent="0.25">
      <c r="A48" t="s">
        <v>708</v>
      </c>
      <c r="D48" s="581">
        <f>D20-D47</f>
        <v>0</v>
      </c>
    </row>
    <row r="49" spans="1:6" x14ac:dyDescent="0.25">
      <c r="A49" t="s">
        <v>1229</v>
      </c>
      <c r="E49" s="581">
        <f>D20</f>
        <v>0</v>
      </c>
    </row>
    <row r="50" spans="1:6" x14ac:dyDescent="0.25">
      <c r="E50" s="581"/>
    </row>
    <row r="51" spans="1:6" x14ac:dyDescent="0.25">
      <c r="A51" s="1" t="s">
        <v>1236</v>
      </c>
    </row>
    <row r="52" spans="1:6" x14ac:dyDescent="0.25">
      <c r="A52" s="420" t="s">
        <v>1963</v>
      </c>
    </row>
    <row r="53" spans="1:6" x14ac:dyDescent="0.25">
      <c r="A53" s="1"/>
    </row>
    <row r="54" spans="1:6" x14ac:dyDescent="0.25">
      <c r="A54" s="9" t="s">
        <v>1277</v>
      </c>
      <c r="E54" s="580">
        <f>D19</f>
        <v>0</v>
      </c>
    </row>
    <row r="55" spans="1:6" x14ac:dyDescent="0.25">
      <c r="A55" s="9" t="s">
        <v>21</v>
      </c>
      <c r="E55" s="581">
        <f>E26</f>
        <v>0</v>
      </c>
    </row>
    <row r="56" spans="1:6" x14ac:dyDescent="0.25">
      <c r="A56" s="1" t="s">
        <v>1612</v>
      </c>
      <c r="E56" s="581">
        <f>E55-E54</f>
        <v>0</v>
      </c>
      <c r="F56" s="665" t="str">
        <f>"=("&amp;E55&amp;"-"&amp;E54&amp;")"</f>
        <v>=(0-0)</v>
      </c>
    </row>
    <row r="57" spans="1:6" x14ac:dyDescent="0.25">
      <c r="A57" s="1"/>
    </row>
    <row r="58" spans="1:6" x14ac:dyDescent="0.25">
      <c r="A58" t="s">
        <v>708</v>
      </c>
      <c r="D58" s="580" cm="1">
        <f t="array" ref="D58">_xlfn.IFS(AND(D16&gt;E26,E34="Yes"),D16-E26,AND(D16&lt;E26,E34="Yes"),0,E34="No",D16)</f>
        <v>0</v>
      </c>
    </row>
    <row r="59" spans="1:6" x14ac:dyDescent="0.25">
      <c r="A59" t="s">
        <v>1230</v>
      </c>
      <c r="E59" s="580" cm="1">
        <f t="array" ref="E59">_xlfn.IFS(AND(D16&gt;E26,E34="Yes"),D16-E26,AND(D16&lt;E26,E34="Yes"),0,E34="No",D16)</f>
        <v>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1792</v>
      </c>
    </row>
    <row r="2" spans="1:14" x14ac:dyDescent="0.25">
      <c r="A2" t="s">
        <v>1548</v>
      </c>
      <c r="B2" s="3"/>
      <c r="C2" t="s">
        <v>1550</v>
      </c>
      <c r="D2" s="661"/>
    </row>
    <row r="3" spans="1:14" x14ac:dyDescent="0.25">
      <c r="A3" t="s">
        <v>1549</v>
      </c>
      <c r="B3" s="3"/>
    </row>
    <row r="4" spans="1:14" x14ac:dyDescent="0.25">
      <c r="A4" t="s">
        <v>1552</v>
      </c>
      <c r="B4" s="14"/>
    </row>
    <row r="5" spans="1:14" x14ac:dyDescent="0.25">
      <c r="A5" t="s">
        <v>1551</v>
      </c>
      <c r="B5" s="189"/>
    </row>
    <row r="6" spans="1:14" x14ac:dyDescent="0.25">
      <c r="A6" t="s">
        <v>1484</v>
      </c>
      <c r="B6" s="582"/>
    </row>
    <row r="9" spans="1:14" x14ac:dyDescent="0.25">
      <c r="A9" t="s">
        <v>1553</v>
      </c>
      <c r="B9" s="12" t="e">
        <f>(B4/D2)*B2*B5</f>
        <v>#DIV/0!</v>
      </c>
      <c r="D9" s="420"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1793</v>
      </c>
    </row>
    <row r="23" spans="1:12" x14ac:dyDescent="0.25">
      <c r="A23" t="s">
        <v>1556</v>
      </c>
      <c r="B23" s="14">
        <v>1500</v>
      </c>
    </row>
    <row r="24" spans="1:12" x14ac:dyDescent="0.25">
      <c r="A24" t="s">
        <v>1557</v>
      </c>
      <c r="B24" s="582">
        <v>1</v>
      </c>
    </row>
    <row r="25" spans="1:12" x14ac:dyDescent="0.25">
      <c r="A25" t="s">
        <v>1558</v>
      </c>
      <c r="B25" s="641"/>
    </row>
    <row r="26" spans="1:12" x14ac:dyDescent="0.25">
      <c r="A26" t="s">
        <v>1559</v>
      </c>
      <c r="B26" s="3"/>
    </row>
    <row r="28" spans="1:12" x14ac:dyDescent="0.25">
      <c r="A28" t="s">
        <v>1790</v>
      </c>
      <c r="B28" s="11">
        <f>B23*B25-B26</f>
        <v>0</v>
      </c>
    </row>
    <row r="29" spans="1:12" x14ac:dyDescent="0.25">
      <c r="A29" t="s">
        <v>1791</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61"/>
    </row>
    <row r="38" spans="1:8" x14ac:dyDescent="0.25">
      <c r="A38" t="s">
        <v>1693</v>
      </c>
      <c r="B38" s="14"/>
      <c r="H38" s="1" t="s">
        <v>1794</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1860</v>
      </c>
      <c r="C2">
        <f>(105+123+850+130+50)*0.12</f>
        <v>150.96</v>
      </c>
      <c r="G2" t="s">
        <v>1625</v>
      </c>
    </row>
    <row r="4" spans="1:20" x14ac:dyDescent="0.25">
      <c r="A4" t="s">
        <v>1871</v>
      </c>
      <c r="D4">
        <v>5</v>
      </c>
      <c r="E4" t="s">
        <v>490</v>
      </c>
    </row>
    <row r="5" spans="1:20" x14ac:dyDescent="0.25">
      <c r="A5" t="s">
        <v>1870</v>
      </c>
      <c r="D5">
        <v>50</v>
      </c>
      <c r="E5" t="s">
        <v>490</v>
      </c>
    </row>
    <row r="7" spans="1:20" x14ac:dyDescent="0.25">
      <c r="A7" t="s">
        <v>1872</v>
      </c>
      <c r="D7">
        <f>5/(50*12)</f>
        <v>8.3333333333333332E-3</v>
      </c>
    </row>
    <row r="9" spans="1:20" x14ac:dyDescent="0.25">
      <c r="A9" t="s">
        <v>1861</v>
      </c>
      <c r="D9">
        <f>C2*D7</f>
        <v>1.258</v>
      </c>
    </row>
    <row r="11" spans="1:20" x14ac:dyDescent="0.25">
      <c r="A11" t="s">
        <v>1862</v>
      </c>
      <c r="D11">
        <v>1</v>
      </c>
    </row>
    <row r="12" spans="1:20" x14ac:dyDescent="0.25">
      <c r="A12" t="s">
        <v>1863</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2023-05-28T22:06:16Z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