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13851" documentId="1_{2C476DAE-516C-48DE-8BFB-07AC045FC549}" xr6:coauthVersionLast="47" xr6:coauthVersionMax="47" xr10:uidLastSave="{F971BC65-5332-4D53-818E-AC23EAE1385A}"/>
  <bookViews>
    <workbookView xWindow="-17685" yWindow="-19605" windowWidth="28800" windowHeight="15885" firstSheet="2" activeTab="2" xr2:uid="{1C089FCC-7092-42F7-B3CE-D42C9E012232}"/>
  </bookViews>
  <sheets>
    <sheet name="Sheet1" sheetId="17" state="hidden" r:id="rId1"/>
    <sheet name="Sheet2" sheetId="18" state="hidden" r:id="rId2"/>
    <sheet name="Main" sheetId="1" r:id="rId3"/>
    <sheet name="AMQ01" sheetId="7" r:id="rId4"/>
    <sheet name="AMQ02" sheetId="55" r:id="rId5"/>
    <sheet name="AMQ03" sheetId="9" r:id="rId6"/>
    <sheet name="AMQ04" sheetId="38" r:id="rId7"/>
    <sheet name="AMQ05" sheetId="39" r:id="rId8"/>
    <sheet name="AMQ06" sheetId="14" r:id="rId9"/>
    <sheet name="AMQ07" sheetId="16" r:id="rId10"/>
    <sheet name="AMQ08" sheetId="24" r:id="rId11"/>
    <sheet name="AMQ09" sheetId="48" r:id="rId12"/>
    <sheet name="AMQ10" sheetId="15" r:id="rId13"/>
    <sheet name="AMQ11" sheetId="28" r:id="rId14"/>
    <sheet name="AMQ12" sheetId="42" r:id="rId15"/>
    <sheet name="AMQ13" sheetId="33" r:id="rId16"/>
    <sheet name="AMQ14" sheetId="21" r:id="rId17"/>
    <sheet name="AMQ15" sheetId="20" r:id="rId18"/>
    <sheet name="AMQ16" sheetId="44" r:id="rId19"/>
    <sheet name="AMQ17" sheetId="5" r:id="rId20"/>
    <sheet name="AMQ18" sheetId="6" r:id="rId21"/>
    <sheet name="AMQ19" sheetId="50" r:id="rId22"/>
    <sheet name="AMQ20" sheetId="10" r:id="rId23"/>
    <sheet name="AMQ21" sheetId="58" r:id="rId24"/>
    <sheet name="AMQ22" sheetId="11" r:id="rId25"/>
    <sheet name="AMQ23" sheetId="13" r:id="rId26"/>
    <sheet name="AMQ24" sheetId="12" r:id="rId27"/>
    <sheet name="AMQ25" sheetId="45" r:id="rId28"/>
    <sheet name="AMQ26" sheetId="25" r:id="rId29"/>
    <sheet name="AMQ27" sheetId="40" r:id="rId30"/>
    <sheet name="AMQ28" sheetId="32" r:id="rId31"/>
    <sheet name="AMQ29" sheetId="34" r:id="rId32"/>
    <sheet name="AMQ30" sheetId="36" r:id="rId33"/>
    <sheet name="AMQ31" sheetId="46" r:id="rId34"/>
    <sheet name="AMQ32" sheetId="52" r:id="rId35"/>
    <sheet name="AMQ33" sheetId="29" r:id="rId36"/>
    <sheet name="AMQ34" sheetId="19" r:id="rId37"/>
    <sheet name="AMQ35" sheetId="4" r:id="rId38"/>
    <sheet name="AMQ36" sheetId="41" r:id="rId39"/>
    <sheet name="AMQ37" sheetId="31" r:id="rId40"/>
    <sheet name="AMQ38" sheetId="3" r:id="rId41"/>
    <sheet name="AMQ39" sheetId="56" r:id="rId42"/>
    <sheet name="AMQ40" sheetId="26" r:id="rId43"/>
    <sheet name="AMQ41" sheetId="49" r:id="rId44"/>
    <sheet name="AMQ42" sheetId="8" r:id="rId45"/>
    <sheet name="AMQ43" sheetId="51" r:id="rId46"/>
    <sheet name="AMQ44" sheetId="30" r:id="rId47"/>
    <sheet name="AMQ45" sheetId="27" r:id="rId48"/>
    <sheet name="AMQ46" sheetId="37" r:id="rId49"/>
    <sheet name="AMQ47" sheetId="54" r:id="rId50"/>
    <sheet name="AMQ48" sheetId="35" r:id="rId51"/>
    <sheet name="AMQ49" sheetId="53" r:id="rId52"/>
    <sheet name="AMQ50" sheetId="47" r:id="rId53"/>
    <sheet name="AMQ51" sheetId="57" r:id="rId54"/>
  </sheets>
  <externalReferences>
    <externalReference r:id="rId55"/>
  </externalReferences>
  <definedNames>
    <definedName name="_xlnm._FilterDatabase" localSheetId="16" hidden="1">'AMQ14'!$A$1:$B$2</definedName>
    <definedName name="_xlnm._FilterDatabase" localSheetId="2" hidden="1">Main!$A$2:$J$20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0" i="52" l="1"/>
  <c r="E19" i="52"/>
  <c r="E15" i="52"/>
  <c r="E23" i="52" s="1"/>
  <c r="E8" i="52"/>
  <c r="A56" i="1"/>
  <c r="B56" i="1"/>
  <c r="L277" i="31"/>
  <c r="L278" i="31" s="1"/>
  <c r="L276" i="31"/>
  <c r="L267" i="31"/>
  <c r="L269" i="31" s="1"/>
  <c r="D206" i="31" s="1"/>
  <c r="L259" i="31"/>
  <c r="L261" i="31" s="1"/>
  <c r="D205" i="31" s="1"/>
  <c r="L251" i="31"/>
  <c r="L253" i="31" s="1"/>
  <c r="D195" i="31" s="1"/>
  <c r="L246" i="31"/>
  <c r="L238" i="31"/>
  <c r="L240" i="31" s="1"/>
  <c r="D202" i="31" s="1"/>
  <c r="L228" i="31"/>
  <c r="L230" i="31" s="1"/>
  <c r="D209" i="31" s="1"/>
  <c r="L219" i="31"/>
  <c r="L221" i="31" s="1"/>
  <c r="D197" i="31" s="1"/>
  <c r="L211" i="31"/>
  <c r="D194" i="31" s="1"/>
  <c r="L204" i="31"/>
  <c r="L206" i="31" s="1"/>
  <c r="D193" i="31" s="1"/>
  <c r="D204" i="31"/>
  <c r="D198" i="31"/>
  <c r="L195" i="31"/>
  <c r="L191" i="31"/>
  <c r="L193" i="31" s="1"/>
  <c r="L196" i="31" s="1"/>
  <c r="D187" i="31" s="1"/>
  <c r="L187" i="31"/>
  <c r="D186" i="31" s="1"/>
  <c r="L185" i="31"/>
  <c r="D180" i="31"/>
  <c r="M174" i="31"/>
  <c r="D184" i="31" s="1"/>
  <c r="B184" i="31" s="1"/>
  <c r="K174" i="31"/>
  <c r="D182" i="31" s="1"/>
  <c r="B182" i="31" s="1"/>
  <c r="J174" i="31"/>
  <c r="D181" i="31" s="1"/>
  <c r="B181" i="31" s="1"/>
  <c r="L173" i="31"/>
  <c r="L171" i="31"/>
  <c r="L174" i="31" s="1"/>
  <c r="D183" i="31" s="1"/>
  <c r="B183" i="31" s="1"/>
  <c r="L166" i="31"/>
  <c r="E213" i="31" s="1"/>
  <c r="K166" i="31"/>
  <c r="E214" i="31" s="1"/>
  <c r="M252" i="31"/>
  <c r="M234" i="31"/>
  <c r="M218" i="31"/>
  <c r="M196" i="31"/>
  <c r="M186" i="31"/>
  <c r="M232" i="31"/>
  <c r="M205" i="31"/>
  <c r="M259" i="31"/>
  <c r="M251" i="31"/>
  <c r="M233" i="31"/>
  <c r="M217" i="31"/>
  <c r="M216" i="31"/>
  <c r="M245" i="31"/>
  <c r="M225" i="31"/>
  <c r="M211" i="31"/>
  <c r="M203" i="31"/>
  <c r="M188" i="31"/>
  <c r="M235" i="31"/>
  <c r="M250" i="31"/>
  <c r="M230" i="31"/>
  <c r="M248" i="31"/>
  <c r="M215" i="31"/>
  <c r="M204" i="31"/>
  <c r="M194" i="31"/>
  <c r="M227" i="31"/>
  <c r="M241" i="31"/>
  <c r="M224" i="31"/>
  <c r="M210" i="31"/>
  <c r="M253" i="31"/>
  <c r="M264" i="31"/>
  <c r="M247" i="31"/>
  <c r="M228" i="31"/>
  <c r="M214" i="31"/>
  <c r="M190" i="31"/>
  <c r="M256" i="31"/>
  <c r="M262" i="31"/>
  <c r="M183" i="31"/>
  <c r="M191" i="31"/>
  <c r="M200" i="31"/>
  <c r="M181" i="31"/>
  <c r="M261" i="31"/>
  <c r="M239" i="31"/>
  <c r="M220" i="31"/>
  <c r="M243" i="31"/>
  <c r="M226" i="31"/>
  <c r="M212" i="31"/>
  <c r="M202" i="31"/>
  <c r="M192" i="31"/>
  <c r="M182" i="31"/>
  <c r="M201" i="31"/>
  <c r="M222" i="31"/>
  <c r="M199" i="31"/>
  <c r="M237" i="31"/>
  <c r="M260" i="31"/>
  <c r="M219" i="31"/>
  <c r="M209" i="31"/>
  <c r="M236" i="31"/>
  <c r="M258" i="31"/>
  <c r="M175" i="31" l="1"/>
  <c r="D185" i="31"/>
  <c r="E188" i="31" s="1"/>
  <c r="E212" i="31" s="1"/>
  <c r="D216" i="31" s="1"/>
  <c r="E199" i="31"/>
  <c r="E210" i="31"/>
  <c r="E170" i="51" l="1"/>
  <c r="F171" i="51" s="1"/>
  <c r="E161" i="51"/>
  <c r="E181" i="51" s="1"/>
  <c r="B185" i="51" s="1"/>
  <c r="E151" i="51"/>
  <c r="E155" i="51" s="1"/>
  <c r="E150" i="51"/>
  <c r="D202" i="51"/>
  <c r="E202" i="51" s="1"/>
  <c r="E203" i="51" s="1"/>
  <c r="E205" i="51" s="1"/>
  <c r="F206" i="51" s="1"/>
  <c r="F188" i="51"/>
  <c r="E187" i="51" s="1"/>
  <c r="E143" i="51"/>
  <c r="F144" i="51" s="1"/>
  <c r="E132" i="51"/>
  <c r="E134" i="51" s="1"/>
  <c r="E135" i="51" s="1"/>
  <c r="E138" i="51" s="1"/>
  <c r="F139" i="51" s="1"/>
  <c r="F121" i="51"/>
  <c r="E119" i="51"/>
  <c r="E118" i="51"/>
  <c r="E117" i="51"/>
  <c r="E113" i="51"/>
  <c r="E110" i="51" s="1"/>
  <c r="F122" i="51" s="1"/>
  <c r="F96" i="51"/>
  <c r="F95" i="51"/>
  <c r="E83" i="51"/>
  <c r="E84" i="51"/>
  <c r="E82" i="51"/>
  <c r="C77" i="51"/>
  <c r="E77" i="51" s="1"/>
  <c r="C76" i="51"/>
  <c r="E76" i="51" s="1"/>
  <c r="C75" i="51"/>
  <c r="E75" i="51" s="1"/>
  <c r="C74" i="51"/>
  <c r="E74" i="51" s="1"/>
  <c r="B75" i="51"/>
  <c r="B76" i="51" s="1"/>
  <c r="C70" i="51"/>
  <c r="C69" i="51"/>
  <c r="C49" i="51"/>
  <c r="E56" i="51" s="1"/>
  <c r="F57" i="51" s="1"/>
  <c r="E30" i="51"/>
  <c r="E31" i="51"/>
  <c r="E32" i="51"/>
  <c r="E33" i="51"/>
  <c r="E29" i="51"/>
  <c r="E35" i="51" s="1"/>
  <c r="E24" i="51"/>
  <c r="F25" i="51" s="1"/>
  <c r="B30" i="51"/>
  <c r="B31" i="51" s="1"/>
  <c r="B32" i="51" s="1"/>
  <c r="B33" i="51" s="1"/>
  <c r="C19" i="51"/>
  <c r="C29" i="51" s="1"/>
  <c r="D29" i="51" s="1"/>
  <c r="F270" i="50"/>
  <c r="E269" i="50"/>
  <c r="E193" i="50"/>
  <c r="D167" i="50"/>
  <c r="E153" i="50"/>
  <c r="E155" i="50" s="1"/>
  <c r="F156" i="50" s="1"/>
  <c r="E240" i="50"/>
  <c r="E244" i="50" s="1"/>
  <c r="E223" i="50"/>
  <c r="F224" i="50" s="1"/>
  <c r="C204" i="50"/>
  <c r="F218" i="50" s="1"/>
  <c r="D184" i="50"/>
  <c r="D186" i="50" s="1"/>
  <c r="D187" i="50" s="1"/>
  <c r="D189" i="50" s="1"/>
  <c r="E192" i="50" s="1"/>
  <c r="B138" i="50"/>
  <c r="C137" i="50"/>
  <c r="F123" i="50"/>
  <c r="E121" i="50"/>
  <c r="E120" i="50"/>
  <c r="C113" i="50"/>
  <c r="C118" i="50" s="1"/>
  <c r="D118" i="50" s="1"/>
  <c r="E80" i="50"/>
  <c r="F81" i="50" s="1"/>
  <c r="D74" i="50"/>
  <c r="E76" i="50" s="1"/>
  <c r="F77" i="50" s="1"/>
  <c r="C49" i="50"/>
  <c r="E33" i="50"/>
  <c r="E32" i="50"/>
  <c r="E39" i="50"/>
  <c r="E36" i="50"/>
  <c r="B15" i="50"/>
  <c r="B16" i="50" s="1"/>
  <c r="B17" i="50" s="1"/>
  <c r="B18" i="50" s="1"/>
  <c r="B19" i="50" s="1"/>
  <c r="B20" i="50" s="1"/>
  <c r="E279" i="21"/>
  <c r="E281" i="21" s="1"/>
  <c r="C152" i="21" s="1"/>
  <c r="E272" i="21"/>
  <c r="E269" i="21"/>
  <c r="E271" i="21" s="1"/>
  <c r="E263" i="21"/>
  <c r="C151" i="21" s="1"/>
  <c r="E253" i="21"/>
  <c r="E255" i="21" s="1"/>
  <c r="E257" i="21" s="1"/>
  <c r="C141" i="21" s="1"/>
  <c r="E249" i="21"/>
  <c r="C150" i="21" s="1"/>
  <c r="E242" i="21"/>
  <c r="E244" i="21" s="1"/>
  <c r="C148" i="21" s="1"/>
  <c r="E237" i="21"/>
  <c r="C144" i="21" s="1"/>
  <c r="E232" i="21"/>
  <c r="E234" i="21" s="1"/>
  <c r="C153" i="21" s="1"/>
  <c r="E223" i="21"/>
  <c r="E225" i="21" s="1"/>
  <c r="C143" i="21" s="1"/>
  <c r="E215" i="21"/>
  <c r="C140" i="21" s="1"/>
  <c r="E206" i="21"/>
  <c r="E204" i="21"/>
  <c r="E208" i="21" s="1"/>
  <c r="E210" i="21" s="1"/>
  <c r="C139" i="21" s="1"/>
  <c r="E199" i="21"/>
  <c r="E195" i="21"/>
  <c r="E197" i="21" s="1"/>
  <c r="E200" i="21" s="1"/>
  <c r="C133" i="21" s="1"/>
  <c r="E189" i="21"/>
  <c r="E191" i="21" s="1"/>
  <c r="C132" i="21" s="1"/>
  <c r="E179" i="21"/>
  <c r="C178" i="21"/>
  <c r="C180" i="21" s="1"/>
  <c r="E177" i="21"/>
  <c r="E174" i="21"/>
  <c r="AC171" i="21"/>
  <c r="P168" i="21"/>
  <c r="E175" i="21" s="1"/>
  <c r="E168" i="21"/>
  <c r="D157" i="21" s="1"/>
  <c r="D168" i="21"/>
  <c r="D158" i="21" s="1"/>
  <c r="C17" i="21"/>
  <c r="E22" i="21" s="1"/>
  <c r="E21" i="21"/>
  <c r="C27" i="21"/>
  <c r="C32" i="21" s="1"/>
  <c r="E32" i="21"/>
  <c r="C59" i="21"/>
  <c r="C63" i="21" s="1"/>
  <c r="D59" i="21"/>
  <c r="D63" i="21" s="1"/>
  <c r="C64" i="21"/>
  <c r="C68" i="21"/>
  <c r="D68" i="21"/>
  <c r="E73" i="21"/>
  <c r="F74" i="21" s="1"/>
  <c r="C96" i="21"/>
  <c r="C97" i="21" s="1"/>
  <c r="E103" i="21" s="1"/>
  <c r="D107" i="21" s="1"/>
  <c r="D102" i="21"/>
  <c r="E178" i="48"/>
  <c r="D171" i="48"/>
  <c r="B167" i="48"/>
  <c r="B166" i="48"/>
  <c r="D155" i="48"/>
  <c r="D153" i="48"/>
  <c r="D152" i="48"/>
  <c r="D151" i="48"/>
  <c r="D150" i="48"/>
  <c r="D149" i="48"/>
  <c r="N136" i="48"/>
  <c r="M136" i="48"/>
  <c r="D162" i="48" s="1"/>
  <c r="I136" i="48"/>
  <c r="G136" i="48"/>
  <c r="D145" i="48" s="1"/>
  <c r="F136" i="48"/>
  <c r="D144" i="48" s="1"/>
  <c r="E136" i="48"/>
  <c r="D143" i="48" s="1"/>
  <c r="D136" i="48"/>
  <c r="D142" i="48" s="1"/>
  <c r="C136" i="48"/>
  <c r="D141" i="48" s="1"/>
  <c r="H135" i="48"/>
  <c r="J135" i="48" s="1"/>
  <c r="J134" i="48"/>
  <c r="J133" i="48"/>
  <c r="L132" i="48"/>
  <c r="L136" i="48" s="1"/>
  <c r="B175" i="48" s="1"/>
  <c r="H132" i="48"/>
  <c r="J132" i="48" s="1"/>
  <c r="H131" i="48"/>
  <c r="J131" i="48" s="1"/>
  <c r="E122" i="48"/>
  <c r="F123" i="48" s="1"/>
  <c r="F111" i="48"/>
  <c r="F110" i="48"/>
  <c r="E109" i="48"/>
  <c r="C103" i="48"/>
  <c r="B80" i="48"/>
  <c r="D80" i="48" s="1"/>
  <c r="E82" i="48" s="1"/>
  <c r="F83" i="48" s="1"/>
  <c r="B73" i="48"/>
  <c r="E75" i="48" s="1"/>
  <c r="E61" i="48"/>
  <c r="F62" i="48" s="1"/>
  <c r="E45" i="48"/>
  <c r="F46" i="48" s="1"/>
  <c r="D57" i="48"/>
  <c r="B66" i="48" s="1"/>
  <c r="D49" i="50"/>
  <c r="E152" i="51" l="1"/>
  <c r="E162" i="51"/>
  <c r="E154" i="51"/>
  <c r="F156" i="51" s="1" a="1"/>
  <c r="F156" i="51" s="1"/>
  <c r="F97" i="51"/>
  <c r="E100" i="51" s="1"/>
  <c r="F101" i="51" s="1"/>
  <c r="E78" i="51"/>
  <c r="C82" i="51" s="1"/>
  <c r="E87" i="51" s="1"/>
  <c r="F88" i="51" s="1"/>
  <c r="E114" i="51"/>
  <c r="E120" i="51" s="1"/>
  <c r="F36" i="51"/>
  <c r="E39" i="51"/>
  <c r="D207" i="50"/>
  <c r="D208" i="50" s="1"/>
  <c r="D209" i="50"/>
  <c r="F194" i="50"/>
  <c r="D190" i="50"/>
  <c r="E197" i="50" s="1"/>
  <c r="F198" i="50" s="1"/>
  <c r="C138" i="50"/>
  <c r="E140" i="50" s="1"/>
  <c r="E217" i="50"/>
  <c r="D110" i="50"/>
  <c r="D119" i="50" s="1"/>
  <c r="E122" i="50" s="1"/>
  <c r="B24" i="50"/>
  <c r="B25" i="50" s="1"/>
  <c r="B26" i="50" s="1"/>
  <c r="B27" i="50" s="1"/>
  <c r="B28" i="50" s="1"/>
  <c r="B29" i="50" s="1"/>
  <c r="E37" i="50"/>
  <c r="E38" i="50" s="1"/>
  <c r="E40" i="50" s="1"/>
  <c r="E178" i="21"/>
  <c r="E180" i="21" s="1"/>
  <c r="C130" i="21" s="1"/>
  <c r="B130" i="21" s="1"/>
  <c r="C69" i="21"/>
  <c r="E77" i="21" s="1"/>
  <c r="F78" i="21" s="1"/>
  <c r="D20" i="21"/>
  <c r="D69" i="21"/>
  <c r="E273" i="21"/>
  <c r="C142" i="21" s="1"/>
  <c r="D145" i="21" s="1"/>
  <c r="C129" i="21"/>
  <c r="D154" i="21"/>
  <c r="C33" i="21"/>
  <c r="C36" i="21" s="1"/>
  <c r="B35" i="21"/>
  <c r="C35" i="21"/>
  <c r="E104" i="21"/>
  <c r="C99" i="21"/>
  <c r="C100" i="21" s="1"/>
  <c r="E108" i="21" s="1"/>
  <c r="E81" i="21"/>
  <c r="F82" i="21" s="1"/>
  <c r="J136" i="48"/>
  <c r="D146" i="48"/>
  <c r="D160" i="48" s="1"/>
  <c r="D154" i="48"/>
  <c r="D156" i="48" s="1"/>
  <c r="D170" i="48" s="1"/>
  <c r="D172" i="48" s="1"/>
  <c r="H136" i="48"/>
  <c r="D161" i="48" s="1"/>
  <c r="B174" i="48"/>
  <c r="E68" i="48"/>
  <c r="F69" i="48" s="1"/>
  <c r="E164" i="51" l="1"/>
  <c r="E165" i="51" s="1"/>
  <c r="D82" i="51"/>
  <c r="F82" i="51" s="1"/>
  <c r="C83" i="51" s="1"/>
  <c r="D210" i="50"/>
  <c r="E212" i="50" s="1"/>
  <c r="F213" i="50" s="1"/>
  <c r="D168" i="50"/>
  <c r="D169" i="50" s="1"/>
  <c r="E171" i="50" s="1"/>
  <c r="F172" i="50" s="1"/>
  <c r="E145" i="50"/>
  <c r="F146" i="50" s="1"/>
  <c r="F141" i="50"/>
  <c r="F124" i="50"/>
  <c r="C15" i="50"/>
  <c r="C24" i="50" s="1"/>
  <c r="E44" i="50" s="1"/>
  <c r="E182" i="21"/>
  <c r="B129" i="21"/>
  <c r="C131" i="21"/>
  <c r="D134" i="21" s="1"/>
  <c r="D156" i="21" s="1"/>
  <c r="C160" i="21" s="1"/>
  <c r="C37" i="21"/>
  <c r="E39" i="21" s="1"/>
  <c r="F40" i="21"/>
  <c r="G146" i="48"/>
  <c r="I150" i="48" s="1"/>
  <c r="I151" i="48" s="1"/>
  <c r="D163" i="48"/>
  <c r="E168" i="51" l="1"/>
  <c r="E176" i="51" s="1"/>
  <c r="F177" i="51" s="1"/>
  <c r="E173" i="51"/>
  <c r="F174" i="51" s="1"/>
  <c r="D83" i="51"/>
  <c r="F83" i="51" s="1"/>
  <c r="C84" i="51" s="1"/>
  <c r="D84" i="51" s="1"/>
  <c r="F84" i="51" s="1"/>
  <c r="E34" i="50"/>
  <c r="D43" i="50" s="1"/>
  <c r="D15" i="50"/>
  <c r="D24" i="50" s="1"/>
  <c r="E15" i="50" l="1"/>
  <c r="C16" i="50" s="1"/>
  <c r="D16" i="50" s="1"/>
  <c r="E16" i="50" s="1"/>
  <c r="C17" i="50" s="1"/>
  <c r="D42" i="50" l="1"/>
  <c r="D17" i="50"/>
  <c r="E17" i="50" s="1"/>
  <c r="C18" i="50" s="1"/>
  <c r="D18" i="50" s="1"/>
  <c r="E18" i="50" s="1"/>
  <c r="C19" i="50" s="1"/>
  <c r="D19" i="50" s="1"/>
  <c r="E19" i="50" s="1"/>
  <c r="C20" i="50" s="1"/>
  <c r="D25" i="50" l="1"/>
  <c r="E25" i="50" s="1"/>
  <c r="C26" i="50" s="1"/>
  <c r="D26" i="50" s="1"/>
  <c r="E26" i="50" s="1"/>
  <c r="C27" i="50" s="1"/>
  <c r="D27" i="50" s="1"/>
  <c r="E27" i="50" s="1"/>
  <c r="C28" i="50" s="1"/>
  <c r="D28" i="50" s="1"/>
  <c r="E28" i="50" s="1"/>
  <c r="C29" i="50" s="1"/>
  <c r="D29" i="50" s="1"/>
  <c r="E29" i="50" s="1"/>
  <c r="D20" i="50"/>
  <c r="E20" i="50" s="1"/>
  <c r="F30" i="48" l="1"/>
  <c r="E28" i="48"/>
  <c r="E27" i="48"/>
  <c r="E26" i="48"/>
  <c r="D19" i="48"/>
  <c r="D22" i="48" s="1"/>
  <c r="E22" i="48" s="1"/>
  <c r="E15" i="48" s="1"/>
  <c r="F31" i="48" s="1"/>
  <c r="G95" i="32"/>
  <c r="F99" i="32" s="1"/>
  <c r="H94" i="32"/>
  <c r="C95" i="32"/>
  <c r="E83" i="32"/>
  <c r="D81" i="32" s="1"/>
  <c r="E78" i="32"/>
  <c r="E77" i="32"/>
  <c r="D76" i="32" s="1"/>
  <c r="E71" i="32"/>
  <c r="E96" i="58"/>
  <c r="B90" i="58"/>
  <c r="E91" i="58" s="1"/>
  <c r="F92" i="58" s="1"/>
  <c r="F74" i="58"/>
  <c r="D64" i="58"/>
  <c r="D68" i="58" s="1"/>
  <c r="E72" i="58" s="1"/>
  <c r="D79" i="58"/>
  <c r="D78" i="58"/>
  <c r="E27" i="58"/>
  <c r="F28" i="58" s="1"/>
  <c r="F23" i="58"/>
  <c r="D20" i="58"/>
  <c r="F24" i="58" s="1"/>
  <c r="D132" i="58"/>
  <c r="E134" i="58"/>
  <c r="E133" i="58"/>
  <c r="F133" i="58" s="1"/>
  <c r="F132" i="58" s="1"/>
  <c r="D140" i="58" s="1"/>
  <c r="E143" i="58" s="1"/>
  <c r="F144" i="58" s="1"/>
  <c r="D137" i="58"/>
  <c r="D104" i="58"/>
  <c r="E106" i="58" s="1"/>
  <c r="E64" i="58"/>
  <c r="E68" i="58" s="1"/>
  <c r="F54" i="58"/>
  <c r="F50" i="58"/>
  <c r="E49" i="58"/>
  <c r="C44" i="58"/>
  <c r="F200" i="49"/>
  <c r="E199" i="49"/>
  <c r="E198" i="49"/>
  <c r="E193" i="49"/>
  <c r="E194" i="49"/>
  <c r="E195" i="49"/>
  <c r="E192" i="49"/>
  <c r="E196" i="49" s="1"/>
  <c r="F186" i="49"/>
  <c r="E160" i="49"/>
  <c r="F162" i="49" s="1"/>
  <c r="E157" i="49"/>
  <c r="E158" i="49"/>
  <c r="E161" i="49" s="1"/>
  <c r="F163" i="49" s="1"/>
  <c r="C141" i="49"/>
  <c r="C144" i="49" s="1"/>
  <c r="D145" i="49" s="1"/>
  <c r="E109" i="49"/>
  <c r="F110" i="49" s="1"/>
  <c r="C121" i="49"/>
  <c r="E127" i="49" s="1"/>
  <c r="F127" i="49" s="1"/>
  <c r="G127" i="49" s="1"/>
  <c r="C119" i="49"/>
  <c r="C128" i="49"/>
  <c r="C61" i="49"/>
  <c r="D56" i="49"/>
  <c r="D57" i="49" s="1"/>
  <c r="C60" i="49" s="1"/>
  <c r="F181" i="49"/>
  <c r="E178" i="49"/>
  <c r="E168" i="49"/>
  <c r="E169" i="49" s="1"/>
  <c r="E172" i="49" s="1"/>
  <c r="E175" i="49" s="1"/>
  <c r="E180" i="49" s="1"/>
  <c r="C147" i="49"/>
  <c r="C150" i="49" s="1"/>
  <c r="D151" i="49" s="1"/>
  <c r="E23" i="48" l="1"/>
  <c r="E29" i="48" s="1"/>
  <c r="E36" i="48" s="1"/>
  <c r="F37" i="48" s="1"/>
  <c r="E98" i="32"/>
  <c r="H95" i="32"/>
  <c r="E108" i="58"/>
  <c r="E109" i="58"/>
  <c r="E95" i="58"/>
  <c r="E97" i="58" s="1"/>
  <c r="E99" i="58" s="1"/>
  <c r="F100" i="58" s="1"/>
  <c r="E107" i="58" s="1"/>
  <c r="F110" i="58" s="1"/>
  <c r="D80" i="58"/>
  <c r="E82" i="58" s="1"/>
  <c r="F83" i="58" s="1"/>
  <c r="D103" i="58"/>
  <c r="F111" i="58" s="1"/>
  <c r="E132" i="58"/>
  <c r="E73" i="58"/>
  <c r="E126" i="49"/>
  <c r="F126" i="49" s="1"/>
  <c r="G126" i="49" s="1"/>
  <c r="E179" i="49"/>
  <c r="F182" i="49" s="1"/>
  <c r="F183" i="49"/>
  <c r="D142" i="49"/>
  <c r="D148" i="49"/>
  <c r="F104" i="32" l="1"/>
  <c r="E103" i="32"/>
  <c r="D51" i="49"/>
  <c r="H102" i="49"/>
  <c r="H100" i="49" s="1"/>
  <c r="H90" i="49"/>
  <c r="I90" i="49" s="1"/>
  <c r="E37" i="49"/>
  <c r="E33" i="49"/>
  <c r="E34" i="49" s="1"/>
  <c r="G20" i="49"/>
  <c r="G19" i="49"/>
  <c r="E21" i="49"/>
  <c r="E20" i="49"/>
  <c r="E19" i="49"/>
  <c r="C27" i="16"/>
  <c r="C47" i="16"/>
  <c r="C46" i="16"/>
  <c r="F100" i="16"/>
  <c r="E99" i="16"/>
  <c r="E95" i="16"/>
  <c r="F96" i="16" s="1"/>
  <c r="F180" i="16"/>
  <c r="E177" i="16"/>
  <c r="E172" i="16"/>
  <c r="E178" i="16" s="1"/>
  <c r="E159" i="16"/>
  <c r="F160" i="16" s="1"/>
  <c r="E152" i="16"/>
  <c r="F155" i="16" s="1"/>
  <c r="E140" i="16"/>
  <c r="E142" i="16" s="1"/>
  <c r="F128" i="16"/>
  <c r="E126" i="16"/>
  <c r="E143" i="16" s="1"/>
  <c r="E125" i="16"/>
  <c r="E124" i="16"/>
  <c r="D120" i="16"/>
  <c r="D117" i="16" s="1"/>
  <c r="E89" i="16"/>
  <c r="E90" i="16" s="1"/>
  <c r="E93" i="16" s="1"/>
  <c r="C62" i="16"/>
  <c r="C63" i="16" s="1"/>
  <c r="C64" i="16" s="1"/>
  <c r="C65" i="16" s="1"/>
  <c r="C66" i="16" s="1"/>
  <c r="C67" i="16" s="1"/>
  <c r="C68" i="16" s="1"/>
  <c r="C69" i="16" s="1"/>
  <c r="C70" i="16" s="1"/>
  <c r="C71" i="16" s="1"/>
  <c r="C72" i="16" s="1"/>
  <c r="C73" i="16" s="1"/>
  <c r="C74" i="16" s="1"/>
  <c r="G64" i="16"/>
  <c r="G65" i="16"/>
  <c r="G66" i="16"/>
  <c r="G67" i="16"/>
  <c r="G68" i="16"/>
  <c r="G69" i="16"/>
  <c r="G70" i="16"/>
  <c r="G71" i="16"/>
  <c r="G63" i="16"/>
  <c r="E64" i="16"/>
  <c r="H64" i="16" s="1"/>
  <c r="E65" i="16"/>
  <c r="H65" i="16" s="1"/>
  <c r="E66" i="16"/>
  <c r="H66" i="16" s="1"/>
  <c r="E67" i="16"/>
  <c r="H67" i="16" s="1"/>
  <c r="E68" i="16"/>
  <c r="H68" i="16" s="1"/>
  <c r="E69" i="16"/>
  <c r="H69" i="16" s="1"/>
  <c r="E70" i="16"/>
  <c r="H70" i="16" s="1"/>
  <c r="E71" i="16"/>
  <c r="H71" i="16" s="1"/>
  <c r="E72" i="16"/>
  <c r="E73" i="16"/>
  <c r="E74" i="16"/>
  <c r="E63" i="16"/>
  <c r="E42" i="16"/>
  <c r="E54" i="16" s="1"/>
  <c r="C45" i="16"/>
  <c r="D31" i="16"/>
  <c r="C28" i="16"/>
  <c r="D28" i="16" s="1"/>
  <c r="D25" i="16"/>
  <c r="E34" i="16" s="1"/>
  <c r="F14" i="16"/>
  <c r="F15" i="16" s="1"/>
  <c r="C145" i="47"/>
  <c r="C151" i="47" s="1"/>
  <c r="F143" i="47"/>
  <c r="G143" i="47" s="1"/>
  <c r="D131" i="47"/>
  <c r="F127" i="47"/>
  <c r="G142" i="47"/>
  <c r="D135" i="47"/>
  <c r="C118" i="47"/>
  <c r="E121" i="47" s="1"/>
  <c r="F122" i="47" s="1"/>
  <c r="E110" i="47"/>
  <c r="E112" i="47" s="1"/>
  <c r="F113" i="47" s="1"/>
  <c r="C92" i="47"/>
  <c r="C95" i="47" s="1"/>
  <c r="F98" i="47" s="1"/>
  <c r="C147" i="47" s="1"/>
  <c r="F82" i="47"/>
  <c r="C146" i="47" s="1"/>
  <c r="E79" i="47"/>
  <c r="E81" i="47" s="1"/>
  <c r="D70" i="47"/>
  <c r="E72" i="47"/>
  <c r="D145" i="47" s="1"/>
  <c r="C29" i="47"/>
  <c r="C48" i="47"/>
  <c r="C42" i="47"/>
  <c r="C43" i="47" s="1"/>
  <c r="C44" i="47" s="1"/>
  <c r="C28" i="47" s="1"/>
  <c r="C33" i="47"/>
  <c r="C34" i="47" s="1"/>
  <c r="C35" i="47" s="1"/>
  <c r="D227" i="30"/>
  <c r="E227" i="30"/>
  <c r="F227" i="30"/>
  <c r="G227" i="30"/>
  <c r="C227" i="30"/>
  <c r="G226" i="30"/>
  <c r="G225" i="30"/>
  <c r="G224" i="30"/>
  <c r="G223" i="30"/>
  <c r="D225" i="30"/>
  <c r="C225" i="30"/>
  <c r="F224" i="30"/>
  <c r="E224" i="30"/>
  <c r="F223" i="30"/>
  <c r="E223" i="30"/>
  <c r="G222" i="30"/>
  <c r="F222" i="30"/>
  <c r="E222" i="30"/>
  <c r="D222" i="30"/>
  <c r="C222" i="30"/>
  <c r="B212" i="30"/>
  <c r="B207" i="30"/>
  <c r="B208" i="30"/>
  <c r="B209" i="30"/>
  <c r="B210" i="30"/>
  <c r="B211" i="30"/>
  <c r="B213" i="30"/>
  <c r="B214" i="30"/>
  <c r="B215" i="30"/>
  <c r="B216" i="30"/>
  <c r="E215" i="30"/>
  <c r="C198" i="30"/>
  <c r="E199" i="30"/>
  <c r="E216" i="30" s="1"/>
  <c r="E201" i="30"/>
  <c r="E200" i="30"/>
  <c r="E175" i="30"/>
  <c r="C175" i="30"/>
  <c r="C178" i="30" s="1"/>
  <c r="D65" i="49"/>
  <c r="D66" i="49"/>
  <c r="D64" i="49"/>
  <c r="G128" i="49" l="1"/>
  <c r="E132" i="49" s="1"/>
  <c r="F133" i="49" s="1"/>
  <c r="C68" i="49"/>
  <c r="C69" i="49" s="1"/>
  <c r="C70" i="49" s="1"/>
  <c r="D90" i="49" s="1"/>
  <c r="E90" i="49" s="1"/>
  <c r="C74" i="49"/>
  <c r="C62" i="49"/>
  <c r="C73" i="49"/>
  <c r="E22" i="49"/>
  <c r="E24" i="49" s="1"/>
  <c r="E25" i="49" s="1"/>
  <c r="E173" i="16"/>
  <c r="I66" i="16"/>
  <c r="I65" i="16"/>
  <c r="E154" i="16"/>
  <c r="E144" i="16"/>
  <c r="E145" i="16" s="1"/>
  <c r="D121" i="16"/>
  <c r="E127" i="16" s="1"/>
  <c r="F129" i="16"/>
  <c r="I63" i="16"/>
  <c r="I71" i="16"/>
  <c r="I67" i="16"/>
  <c r="E103" i="16"/>
  <c r="E106" i="16" s="1"/>
  <c r="H63" i="16"/>
  <c r="I64" i="16"/>
  <c r="I70" i="16"/>
  <c r="I69" i="16"/>
  <c r="I68" i="16"/>
  <c r="D47" i="16"/>
  <c r="E48" i="16" s="1"/>
  <c r="D32" i="16"/>
  <c r="C26" i="16"/>
  <c r="D26" i="16" s="1"/>
  <c r="F16" i="16"/>
  <c r="F148" i="47"/>
  <c r="E148" i="47"/>
  <c r="G145" i="47"/>
  <c r="G151" i="47" s="1"/>
  <c r="F150" i="47"/>
  <c r="G150" i="47" s="1"/>
  <c r="E95" i="47"/>
  <c r="D78" i="47"/>
  <c r="E97" i="47"/>
  <c r="F147" i="47" s="1"/>
  <c r="G147" i="47" s="1"/>
  <c r="E56" i="47"/>
  <c r="E183" i="30"/>
  <c r="C176" i="30"/>
  <c r="C179" i="30" s="1"/>
  <c r="E184" i="30" s="1"/>
  <c r="B178" i="30"/>
  <c r="E91" i="49" l="1"/>
  <c r="J90" i="49"/>
  <c r="K90" i="49" s="1"/>
  <c r="K91" i="49" s="1"/>
  <c r="C98" i="49" s="1"/>
  <c r="C99" i="49" s="1"/>
  <c r="C75" i="49"/>
  <c r="C77" i="49" s="1"/>
  <c r="E35" i="49"/>
  <c r="E38" i="49"/>
  <c r="E39" i="49" s="1"/>
  <c r="E41" i="49" s="1"/>
  <c r="F42" i="49" s="1"/>
  <c r="E134" i="16"/>
  <c r="F135" i="16" s="1"/>
  <c r="E170" i="16" s="1"/>
  <c r="F107" i="16"/>
  <c r="E77" i="16"/>
  <c r="D76" i="16" s="1"/>
  <c r="E147" i="16"/>
  <c r="F148" i="16"/>
  <c r="E49" i="16"/>
  <c r="D53" i="16" s="1"/>
  <c r="D52" i="16"/>
  <c r="D29" i="16"/>
  <c r="D33" i="16" s="1"/>
  <c r="E35" i="16"/>
  <c r="F47" i="47"/>
  <c r="F57" i="47" s="1"/>
  <c r="E144" i="47" s="1"/>
  <c r="G144" i="47" s="1"/>
  <c r="D134" i="47"/>
  <c r="D136" i="47" s="1"/>
  <c r="G148" i="47"/>
  <c r="F83" i="47"/>
  <c r="D146" i="47" s="1"/>
  <c r="E78" i="47"/>
  <c r="C180" i="30"/>
  <c r="C182" i="30" s="1"/>
  <c r="E214" i="30" s="1"/>
  <c r="D103" i="49" l="1"/>
  <c r="C104" i="49"/>
  <c r="E174" i="16"/>
  <c r="F181" i="16" s="1"/>
  <c r="F179" i="16"/>
  <c r="E151" i="47"/>
  <c r="G149" i="47"/>
  <c r="F149" i="47"/>
  <c r="F151" i="47" s="1"/>
  <c r="G146" i="47"/>
  <c r="D151" i="47"/>
  <c r="I104" i="30" l="1"/>
  <c r="E113" i="30"/>
  <c r="E114" i="30" s="1"/>
  <c r="D113" i="30"/>
  <c r="F113" i="30" s="1"/>
  <c r="E126" i="30" s="1"/>
  <c r="D94" i="30"/>
  <c r="C34" i="28"/>
  <c r="E34" i="28" s="1"/>
  <c r="F34" i="28" s="1"/>
  <c r="D34" i="28"/>
  <c r="C35" i="28"/>
  <c r="D35" i="28"/>
  <c r="D114" i="30" l="1"/>
  <c r="E35" i="28"/>
  <c r="E33" i="28"/>
  <c r="F33" i="28" s="1"/>
  <c r="E95" i="57"/>
  <c r="D94" i="57"/>
  <c r="F72" i="57"/>
  <c r="E72" i="57"/>
  <c r="G77" i="57"/>
  <c r="E70" i="57"/>
  <c r="G70" i="57" s="1"/>
  <c r="C54" i="57"/>
  <c r="D43" i="57"/>
  <c r="F43" i="57" s="1"/>
  <c r="E43" i="57"/>
  <c r="C78" i="57"/>
  <c r="C73" i="57"/>
  <c r="C39" i="57"/>
  <c r="D55" i="57" s="1"/>
  <c r="E68" i="57" s="1"/>
  <c r="D60" i="57"/>
  <c r="C59" i="57"/>
  <c r="F11" i="57"/>
  <c r="C84" i="57" s="1"/>
  <c r="E9" i="57"/>
  <c r="F20" i="57" s="1"/>
  <c r="E19" i="57" s="1"/>
  <c r="B39" i="57"/>
  <c r="D45" i="57" l="1"/>
  <c r="E46" i="57" s="1"/>
  <c r="D68" i="57"/>
  <c r="G68" i="57" s="1"/>
  <c r="D56" i="57"/>
  <c r="E69" i="57" s="1"/>
  <c r="G69" i="57" s="1"/>
  <c r="D71" i="57"/>
  <c r="G71" i="57" s="1"/>
  <c r="E10" i="57"/>
  <c r="F15" i="57" s="1"/>
  <c r="E14" i="57" s="1"/>
  <c r="D72" i="57" s="1"/>
  <c r="C51" i="57"/>
  <c r="D52" i="57" s="1"/>
  <c r="C86" i="57" s="1"/>
  <c r="E90" i="56"/>
  <c r="F92" i="56" s="1"/>
  <c r="D50" i="56"/>
  <c r="F54" i="56" s="1"/>
  <c r="E53" i="56" s="1"/>
  <c r="C85" i="56"/>
  <c r="E91" i="56" s="1"/>
  <c r="D47" i="56"/>
  <c r="D49" i="56" s="1"/>
  <c r="F30" i="56"/>
  <c r="C20" i="56"/>
  <c r="C15" i="56"/>
  <c r="C85" i="57" l="1"/>
  <c r="C87" i="57" s="1"/>
  <c r="E76" i="57"/>
  <c r="G76" i="57" s="1"/>
  <c r="G78" i="57" s="1"/>
  <c r="D51" i="56"/>
  <c r="H22" i="55"/>
  <c r="H20" i="55"/>
  <c r="H19" i="55"/>
  <c r="H18" i="55"/>
  <c r="H17" i="55"/>
  <c r="H16" i="55"/>
  <c r="H14" i="55"/>
  <c r="H13" i="55"/>
  <c r="H15" i="55" s="1"/>
  <c r="G22" i="55"/>
  <c r="F22" i="55"/>
  <c r="F18" i="55"/>
  <c r="F13" i="55"/>
  <c r="E111" i="55"/>
  <c r="E110" i="55"/>
  <c r="E109" i="55"/>
  <c r="C31" i="55"/>
  <c r="C51" i="55"/>
  <c r="C52" i="55" s="1"/>
  <c r="E102" i="55"/>
  <c r="F97" i="55"/>
  <c r="E91" i="55"/>
  <c r="F92" i="55" s="1"/>
  <c r="E30" i="55"/>
  <c r="E79" i="55"/>
  <c r="E80" i="55"/>
  <c r="E81" i="55"/>
  <c r="E82" i="55"/>
  <c r="E78" i="55"/>
  <c r="D66" i="55"/>
  <c r="D67" i="55" s="1"/>
  <c r="D30" i="55" s="1"/>
  <c r="D46" i="55"/>
  <c r="D48" i="55" s="1"/>
  <c r="C46" i="55"/>
  <c r="C48" i="55" s="1" a="1"/>
  <c r="C48" i="55" s="1"/>
  <c r="C54" i="55" s="1"/>
  <c r="C55" i="55" s="1"/>
  <c r="D29" i="55"/>
  <c r="D68" i="55" s="1"/>
  <c r="E29" i="55"/>
  <c r="E73" i="55" s="1"/>
  <c r="E74" i="55" s="1"/>
  <c r="F29" i="55"/>
  <c r="F30" i="55" s="1"/>
  <c r="C29" i="55"/>
  <c r="D15" i="55"/>
  <c r="D21" i="55" s="1"/>
  <c r="D23" i="55" s="1"/>
  <c r="E57" i="12"/>
  <c r="F58" i="12" s="1"/>
  <c r="D37" i="12"/>
  <c r="F53" i="12"/>
  <c r="D28" i="12"/>
  <c r="C22" i="12"/>
  <c r="C23" i="12" s="1"/>
  <c r="D23" i="12" s="1"/>
  <c r="D29" i="12" s="1"/>
  <c r="D66" i="12"/>
  <c r="E66" i="12" s="1"/>
  <c r="F67" i="12" s="1"/>
  <c r="F64" i="12"/>
  <c r="F54" i="54"/>
  <c r="E24" i="54"/>
  <c r="F25" i="54"/>
  <c r="F45" i="54"/>
  <c r="C89" i="57" l="1"/>
  <c r="G72" i="57" s="1"/>
  <c r="G73" i="57" s="1"/>
  <c r="C88" i="57"/>
  <c r="D91" i="57"/>
  <c r="E92" i="57" s="1"/>
  <c r="H21" i="55"/>
  <c r="H23" i="55" s="1"/>
  <c r="E112" i="55"/>
  <c r="E116" i="55" s="1"/>
  <c r="F117" i="55" s="1"/>
  <c r="C30" i="55"/>
  <c r="C33" i="55" s="1"/>
  <c r="G30" i="55"/>
  <c r="G29" i="55"/>
  <c r="D32" i="55" s="1"/>
  <c r="F103" i="55"/>
  <c r="E83" i="55"/>
  <c r="G31" i="55" s="1"/>
  <c r="G32" i="55" s="1"/>
  <c r="D69" i="55"/>
  <c r="D30" i="12"/>
  <c r="E32" i="12" s="1"/>
  <c r="D33" i="55" l="1"/>
  <c r="E32" i="55"/>
  <c r="F32" i="55"/>
  <c r="F33" i="12"/>
  <c r="E37" i="12"/>
  <c r="F38" i="12" s="1"/>
  <c r="F33" i="55" l="1"/>
  <c r="E33" i="55"/>
  <c r="F36" i="55" l="1" a="1"/>
  <c r="F36" i="55" s="1"/>
  <c r="G33" i="55"/>
  <c r="E35" i="55" s="1"/>
  <c r="D22" i="54" l="1"/>
  <c r="F26" i="54" s="1"/>
  <c r="D91" i="33"/>
  <c r="D108" i="33"/>
  <c r="C107" i="33"/>
  <c r="D104" i="33"/>
  <c r="C103" i="33"/>
  <c r="C37" i="33"/>
  <c r="C53" i="33"/>
  <c r="C55" i="33"/>
  <c r="C57" i="33"/>
  <c r="C56" i="33"/>
  <c r="B79" i="33"/>
  <c r="B70" i="33"/>
  <c r="B71" i="33" s="1"/>
  <c r="B72" i="33" s="1"/>
  <c r="B73" i="33" s="1"/>
  <c r="B74" i="33" s="1"/>
  <c r="E69" i="33"/>
  <c r="C15" i="33"/>
  <c r="D15" i="33"/>
  <c r="D55" i="33"/>
  <c r="F15" i="33"/>
  <c r="E73" i="33" l="1"/>
  <c r="E70" i="33"/>
  <c r="E71" i="33"/>
  <c r="E72" i="33"/>
  <c r="E74" i="33"/>
  <c r="C16" i="33"/>
  <c r="C19" i="33"/>
  <c r="C20" i="33"/>
  <c r="C23" i="33"/>
  <c r="J22" i="33" s="1"/>
  <c r="D23" i="33"/>
  <c r="C25" i="33" l="1"/>
  <c r="B30" i="33" s="1"/>
  <c r="C27" i="33"/>
  <c r="C28" i="33"/>
  <c r="C29" i="33"/>
  <c r="C36" i="33" s="1"/>
  <c r="C31" i="33"/>
  <c r="C32" i="33"/>
  <c r="C69" i="33" l="1"/>
  <c r="D69" i="33" s="1"/>
  <c r="D37" i="33"/>
  <c r="C30" i="33"/>
  <c r="C82" i="33" l="1"/>
  <c r="C83" i="33" s="1" a="1"/>
  <c r="C83" i="33" s="1"/>
  <c r="F69" i="33"/>
  <c r="C70" i="33" s="1"/>
  <c r="D70" i="33" s="1"/>
  <c r="F70" i="33" s="1"/>
  <c r="C77" i="33" s="1"/>
  <c r="D90" i="33"/>
  <c r="C90" i="33"/>
  <c r="C89" i="33"/>
  <c r="F90" i="38"/>
  <c r="E89" i="38"/>
  <c r="D66" i="38"/>
  <c r="F86" i="38"/>
  <c r="E85" i="38"/>
  <c r="E84" i="38"/>
  <c r="C57" i="38" a="1"/>
  <c r="C57" i="38" s="1"/>
  <c r="D65" i="38"/>
  <c r="D72" i="38"/>
  <c r="C71" i="38"/>
  <c r="F8" i="38"/>
  <c r="F5" i="38"/>
  <c r="B53" i="38"/>
  <c r="E48" i="38"/>
  <c r="E47" i="38"/>
  <c r="E46" i="38"/>
  <c r="E45" i="38"/>
  <c r="E44" i="38"/>
  <c r="B44" i="38"/>
  <c r="B45" i="38" s="1"/>
  <c r="B46" i="38" s="1"/>
  <c r="B47" i="38" s="1"/>
  <c r="B48" i="38" s="1"/>
  <c r="E43" i="38"/>
  <c r="D73" i="38" s="1"/>
  <c r="C29" i="38"/>
  <c r="C27" i="38" s="1"/>
  <c r="D29" i="38"/>
  <c r="D97" i="33" l="1"/>
  <c r="C78" i="33"/>
  <c r="C79" i="33" s="1"/>
  <c r="C71" i="33"/>
  <c r="D71" i="33"/>
  <c r="F71" i="33" s="1"/>
  <c r="C72" i="33" s="1"/>
  <c r="D79" i="38"/>
  <c r="C78" i="38"/>
  <c r="C64" i="38"/>
  <c r="C56" i="38"/>
  <c r="C43" i="38"/>
  <c r="C96" i="33" l="1"/>
  <c r="D72" i="33"/>
  <c r="F72" i="33" s="1"/>
  <c r="C73" i="33" s="1"/>
  <c r="D43" i="38"/>
  <c r="D73" i="33" l="1"/>
  <c r="F73" i="33" s="1"/>
  <c r="C74" i="33" s="1"/>
  <c r="C72" i="38"/>
  <c r="F43" i="38"/>
  <c r="D74" i="33" l="1"/>
  <c r="F74" i="33" s="1"/>
  <c r="C44" i="38"/>
  <c r="D44" i="38" l="1"/>
  <c r="F44" i="38" l="1"/>
  <c r="C52" i="38" s="1"/>
  <c r="C45" i="38" l="1"/>
  <c r="D45" i="38" s="1"/>
  <c r="F45" i="38" s="1"/>
  <c r="C46" i="38" s="1"/>
  <c r="C51" i="38"/>
  <c r="C53" i="38" s="1"/>
  <c r="D46" i="38" l="1"/>
  <c r="F46" i="38" s="1"/>
  <c r="C47" i="38" s="1"/>
  <c r="D47" i="38" l="1"/>
  <c r="F47" i="38" s="1"/>
  <c r="C48" i="38" s="1"/>
  <c r="D48" i="38" l="1"/>
  <c r="F48" i="38" s="1"/>
  <c r="C115" i="45" l="1"/>
  <c r="C117" i="45" s="1"/>
  <c r="C116" i="45"/>
  <c r="C90" i="45"/>
  <c r="J89" i="45" s="1"/>
  <c r="C22" i="45"/>
  <c r="C83" i="45"/>
  <c r="C95" i="45" s="1"/>
  <c r="D90" i="45"/>
  <c r="C118" i="45" l="1"/>
  <c r="E121" i="45" s="1"/>
  <c r="F122" i="45" s="1"/>
  <c r="C92" i="45"/>
  <c r="D98" i="45" s="1"/>
  <c r="C94" i="45"/>
  <c r="D97" i="45"/>
  <c r="C103" i="45"/>
  <c r="C104" i="45" s="1"/>
  <c r="D99" i="45"/>
  <c r="C96" i="45"/>
  <c r="C59" i="45"/>
  <c r="D59" i="45"/>
  <c r="B46" i="45"/>
  <c r="E41" i="45"/>
  <c r="E40" i="45"/>
  <c r="E39" i="45"/>
  <c r="E38" i="45"/>
  <c r="E37" i="45"/>
  <c r="B37" i="45"/>
  <c r="B38" i="45" s="1"/>
  <c r="B39" i="45" s="1"/>
  <c r="B40" i="45" s="1"/>
  <c r="B41" i="45" s="1"/>
  <c r="E36" i="45"/>
  <c r="C20" i="45"/>
  <c r="E41" i="44"/>
  <c r="E25" i="44"/>
  <c r="E19" i="44"/>
  <c r="E40" i="44"/>
  <c r="E58" i="44"/>
  <c r="F41" i="44"/>
  <c r="E59" i="44"/>
  <c r="F8" i="44"/>
  <c r="F61" i="44" s="1"/>
  <c r="F65" i="44"/>
  <c r="E65" i="44"/>
  <c r="F62" i="44"/>
  <c r="F60" i="44"/>
  <c r="E60" i="44"/>
  <c r="F59" i="44"/>
  <c r="F57" i="44"/>
  <c r="E57" i="44"/>
  <c r="F43" i="44"/>
  <c r="E43" i="44"/>
  <c r="F40" i="44"/>
  <c r="E39" i="44"/>
  <c r="F38" i="44"/>
  <c r="E38" i="44"/>
  <c r="F26" i="44"/>
  <c r="B24" i="44" a="1"/>
  <c r="B24" i="44" s="1"/>
  <c r="F20" i="44"/>
  <c r="E42" i="44"/>
  <c r="F15" i="44"/>
  <c r="F24" i="44" s="1"/>
  <c r="D15" i="44"/>
  <c r="F5" i="44"/>
  <c r="E5" i="44"/>
  <c r="E32" i="42"/>
  <c r="E31" i="42"/>
  <c r="F33" i="42" s="1"/>
  <c r="E60" i="42"/>
  <c r="E56" i="42"/>
  <c r="E54" i="42"/>
  <c r="E57" i="42" s="1"/>
  <c r="C44" i="42"/>
  <c r="D45" i="42" s="1"/>
  <c r="E47" i="42" s="1"/>
  <c r="F48" i="42" s="1"/>
  <c r="C21" i="42"/>
  <c r="C45" i="41"/>
  <c r="C47" i="41" s="1"/>
  <c r="E52" i="41" s="1"/>
  <c r="E53" i="41" s="1"/>
  <c r="E21" i="41"/>
  <c r="D24" i="41" s="1"/>
  <c r="E24" i="41" s="1"/>
  <c r="G25" i="41"/>
  <c r="C26" i="41"/>
  <c r="C25" i="41"/>
  <c r="E18" i="41"/>
  <c r="E28" i="41"/>
  <c r="E27" i="41"/>
  <c r="F63" i="40"/>
  <c r="E60" i="40"/>
  <c r="E62" i="40" s="1"/>
  <c r="E57" i="40"/>
  <c r="F58" i="40" s="1"/>
  <c r="C33" i="40"/>
  <c r="D33" i="40" s="1"/>
  <c r="C42" i="40" s="1"/>
  <c r="C31" i="40"/>
  <c r="D31" i="40" s="1"/>
  <c r="E31" i="40" s="1"/>
  <c r="F31" i="40" s="1"/>
  <c r="D29" i="40"/>
  <c r="E29" i="40" s="1"/>
  <c r="F29" i="40" s="1"/>
  <c r="G29" i="40" s="1"/>
  <c r="D22" i="40"/>
  <c r="O19" i="40"/>
  <c r="D42" i="40"/>
  <c r="C30" i="40"/>
  <c r="D22" i="45"/>
  <c r="E8" i="44"/>
  <c r="C34" i="40"/>
  <c r="C32" i="40"/>
  <c r="B98" i="45" l="1"/>
  <c r="D104" i="45"/>
  <c r="C36" i="45"/>
  <c r="D36" i="45" s="1"/>
  <c r="C64" i="45" s="1"/>
  <c r="D65" i="45" s="1"/>
  <c r="D58" i="45"/>
  <c r="C57" i="45"/>
  <c r="C49" i="45"/>
  <c r="E24" i="44"/>
  <c r="E31" i="44"/>
  <c r="E44" i="44"/>
  <c r="E46" i="44" s="1"/>
  <c r="F44" i="44"/>
  <c r="F46" i="44" s="1"/>
  <c r="F32" i="44"/>
  <c r="F34" i="42"/>
  <c r="D25" i="41"/>
  <c r="E25" i="41" s="1"/>
  <c r="E37" i="41"/>
  <c r="E38" i="41" s="1"/>
  <c r="D26" i="41"/>
  <c r="E26" i="41" s="1"/>
  <c r="G31" i="40"/>
  <c r="M30" i="40"/>
  <c r="L29" i="40"/>
  <c r="C46" i="40"/>
  <c r="D51" i="40" s="1"/>
  <c r="C45" i="40"/>
  <c r="E33" i="40"/>
  <c r="F33" i="40" s="1"/>
  <c r="G33" i="40" s="1"/>
  <c r="C50" i="45" l="1" a="1"/>
  <c r="C50" i="45" s="1"/>
  <c r="C69" i="45" s="1"/>
  <c r="F36" i="45"/>
  <c r="E45" i="44"/>
  <c r="E63" i="44" s="1"/>
  <c r="E64" i="44" s="1"/>
  <c r="E66" i="44" s="1"/>
  <c r="F45" i="44"/>
  <c r="E29" i="41"/>
  <c r="E31" i="41" s="1"/>
  <c r="E32" i="41" s="1"/>
  <c r="E39" i="41" s="1"/>
  <c r="D50" i="40"/>
  <c r="C47" i="40"/>
  <c r="C49" i="40" s="1"/>
  <c r="M34" i="40"/>
  <c r="L33" i="40"/>
  <c r="M32" i="40"/>
  <c r="L31" i="40"/>
  <c r="D70" i="45" l="1"/>
  <c r="C37" i="45"/>
  <c r="F50" i="44"/>
  <c r="F63" i="44"/>
  <c r="B49" i="44"/>
  <c r="E49" i="44"/>
  <c r="F49" i="44"/>
  <c r="F47" i="44"/>
  <c r="E51" i="44"/>
  <c r="B51" i="44"/>
  <c r="F51" i="44"/>
  <c r="B50" i="44"/>
  <c r="F64" i="44"/>
  <c r="F66" i="44" s="1"/>
  <c r="E71" i="44" s="1"/>
  <c r="E50" i="44"/>
  <c r="F70" i="44"/>
  <c r="E70" i="44"/>
  <c r="B70" i="44"/>
  <c r="C38" i="40"/>
  <c r="D37" i="45" l="1"/>
  <c r="F37" i="45" s="1"/>
  <c r="E72" i="44"/>
  <c r="F71" i="44"/>
  <c r="C68" i="44"/>
  <c r="F72" i="44"/>
  <c r="B72" i="44"/>
  <c r="B71" i="44"/>
  <c r="C44" i="45" l="1"/>
  <c r="C38" i="45"/>
  <c r="C45" i="45"/>
  <c r="C46" i="45" l="1"/>
  <c r="D38" i="45"/>
  <c r="F38" i="45" s="1"/>
  <c r="C39" i="45" s="1"/>
  <c r="D39" i="45" l="1"/>
  <c r="F39" i="45" s="1"/>
  <c r="C40" i="45" s="1"/>
  <c r="D40" i="45" l="1"/>
  <c r="F40" i="45" s="1"/>
  <c r="C41" i="45" s="1"/>
  <c r="D41" i="45" l="1"/>
  <c r="F41" i="45" s="1"/>
  <c r="C57" i="39" l="1"/>
  <c r="C55" i="39"/>
  <c r="D67" i="39"/>
  <c r="C64" i="39"/>
  <c r="C66" i="39" s="1"/>
  <c r="C62" i="39"/>
  <c r="B59" i="39"/>
  <c r="D68" i="39" l="1"/>
  <c r="C63" i="39"/>
  <c r="B70" i="39" s="1"/>
  <c r="F48" i="39" l="1"/>
  <c r="F46" i="39"/>
  <c r="F45" i="39"/>
  <c r="F29" i="39"/>
  <c r="F30" i="39"/>
  <c r="E26" i="39"/>
  <c r="F34" i="39"/>
  <c r="E19" i="39"/>
  <c r="E20" i="39" s="1"/>
  <c r="E22" i="39" s="1"/>
  <c r="O12" i="39"/>
  <c r="F23" i="39" l="1"/>
  <c r="E28" i="39"/>
  <c r="E75" i="37" l="1"/>
  <c r="F76" i="37" s="1"/>
  <c r="E73" i="37"/>
  <c r="E72" i="37"/>
  <c r="E71" i="37"/>
  <c r="D69" i="37"/>
  <c r="E53" i="37"/>
  <c r="D59" i="37"/>
  <c r="E50" i="37"/>
  <c r="D60" i="37"/>
  <c r="E60" i="37" s="1"/>
  <c r="E59" i="37"/>
  <c r="D58" i="37"/>
  <c r="E58" i="37" s="1"/>
  <c r="D57" i="37"/>
  <c r="E57" i="37" s="1"/>
  <c r="D56" i="37"/>
  <c r="E56" i="37" s="1"/>
  <c r="E36" i="37"/>
  <c r="F29" i="37"/>
  <c r="E8" i="37"/>
  <c r="D18" i="37"/>
  <c r="E18" i="37" s="1"/>
  <c r="D17" i="37"/>
  <c r="E17" i="37" s="1"/>
  <c r="D16" i="37"/>
  <c r="E16" i="37" s="1"/>
  <c r="D15" i="37"/>
  <c r="E15" i="37" s="1"/>
  <c r="D14" i="37"/>
  <c r="E14" i="37" s="1"/>
  <c r="E11" i="37"/>
  <c r="D26" i="36"/>
  <c r="D15" i="36"/>
  <c r="D21" i="36"/>
  <c r="F18" i="36"/>
  <c r="E15" i="36"/>
  <c r="D11" i="36"/>
  <c r="C11" i="36"/>
  <c r="E18" i="36"/>
  <c r="C30" i="36" s="1"/>
  <c r="E14" i="36"/>
  <c r="F14" i="36" s="1"/>
  <c r="E13" i="36"/>
  <c r="F13" i="36" s="1"/>
  <c r="E12" i="36"/>
  <c r="F12" i="36" s="1"/>
  <c r="E10" i="36"/>
  <c r="F10" i="36" s="1"/>
  <c r="E9" i="36"/>
  <c r="F9" i="36" s="1"/>
  <c r="E28" i="35"/>
  <c r="C28" i="35"/>
  <c r="D27" i="35"/>
  <c r="C29" i="35" s="1"/>
  <c r="E27" i="35"/>
  <c r="D29" i="35" s="1"/>
  <c r="C27" i="35"/>
  <c r="D17" i="24"/>
  <c r="D12" i="24"/>
  <c r="D8" i="24"/>
  <c r="F50" i="32"/>
  <c r="F56" i="32" s="1"/>
  <c r="F49" i="32"/>
  <c r="F55" i="32" s="1"/>
  <c r="E41" i="32"/>
  <c r="E44" i="32" s="1"/>
  <c r="F45" i="32" s="1"/>
  <c r="C26" i="32"/>
  <c r="D26" i="32" s="1"/>
  <c r="E26" i="32" s="1"/>
  <c r="F26" i="32" s="1"/>
  <c r="C24" i="32"/>
  <c r="D24" i="32" s="1"/>
  <c r="E24" i="32" s="1"/>
  <c r="F24" i="32" s="1"/>
  <c r="G24" i="32" s="1"/>
  <c r="D17" i="32"/>
  <c r="I14" i="32"/>
  <c r="D9" i="28"/>
  <c r="C9" i="28"/>
  <c r="E9" i="28" s="1"/>
  <c r="C16" i="28"/>
  <c r="E16" i="28" s="1"/>
  <c r="F16" i="28" s="1"/>
  <c r="E13" i="28"/>
  <c r="F13" i="28" s="1"/>
  <c r="E12" i="28"/>
  <c r="F12" i="28" s="1"/>
  <c r="E11" i="28"/>
  <c r="F11" i="28" s="1"/>
  <c r="E10" i="28"/>
  <c r="F10" i="28" s="1"/>
  <c r="E8" i="28"/>
  <c r="F8" i="28" s="1"/>
  <c r="E7" i="28"/>
  <c r="F7" i="28" s="1"/>
  <c r="C71" i="31"/>
  <c r="D81" i="31" s="1"/>
  <c r="C69" i="31"/>
  <c r="C77" i="31" s="1"/>
  <c r="D78" i="31" s="1"/>
  <c r="C68" i="31"/>
  <c r="D86" i="31" s="1"/>
  <c r="C25" i="32"/>
  <c r="C27" i="32"/>
  <c r="B71" i="31"/>
  <c r="E61" i="37" l="1"/>
  <c r="E63" i="37" s="1"/>
  <c r="E64" i="37" s="1"/>
  <c r="E19" i="37"/>
  <c r="E21" i="37" s="1"/>
  <c r="F15" i="36"/>
  <c r="E11" i="36"/>
  <c r="F11" i="36" s="1"/>
  <c r="D30" i="36"/>
  <c r="B30" i="36"/>
  <c r="D28" i="35"/>
  <c r="E54" i="32"/>
  <c r="F41" i="32"/>
  <c r="E59" i="32" s="1"/>
  <c r="F60" i="32" s="1"/>
  <c r="F51" i="32"/>
  <c r="E32" i="32"/>
  <c r="F33" i="32"/>
  <c r="G26" i="32"/>
  <c r="F9" i="28"/>
  <c r="F14" i="28"/>
  <c r="D21" i="28" s="1"/>
  <c r="D24" i="28" s="1"/>
  <c r="D19" i="28"/>
  <c r="D28" i="28"/>
  <c r="C28" i="28"/>
  <c r="B28" i="28"/>
  <c r="C80" i="31"/>
  <c r="D82" i="31" s="1"/>
  <c r="C85" i="31"/>
  <c r="D46" i="31"/>
  <c r="D48" i="31" s="1"/>
  <c r="B33" i="31"/>
  <c r="E28" i="31"/>
  <c r="E27" i="31"/>
  <c r="E26" i="31"/>
  <c r="E25" i="31"/>
  <c r="E24" i="31"/>
  <c r="B24" i="31"/>
  <c r="B25" i="31" s="1"/>
  <c r="B26" i="31" s="1"/>
  <c r="B27" i="31" s="1"/>
  <c r="B28" i="31" s="1"/>
  <c r="E23" i="31"/>
  <c r="D43" i="31" s="1"/>
  <c r="C23" i="31"/>
  <c r="F143" i="31"/>
  <c r="D139" i="31"/>
  <c r="D138" i="31"/>
  <c r="B119" i="31"/>
  <c r="E114" i="31"/>
  <c r="E113" i="31"/>
  <c r="E112" i="31"/>
  <c r="E111" i="31"/>
  <c r="E110" i="31"/>
  <c r="B110" i="31"/>
  <c r="B111" i="31" s="1"/>
  <c r="B112" i="31" s="1"/>
  <c r="B113" i="31" s="1"/>
  <c r="B114" i="31" s="1"/>
  <c r="E109" i="31"/>
  <c r="C126" i="31" s="1"/>
  <c r="C93" i="31"/>
  <c r="C109" i="31" s="1"/>
  <c r="C58" i="31"/>
  <c r="E105" i="30"/>
  <c r="E106" i="30" s="1"/>
  <c r="E109" i="30" s="1"/>
  <c r="D105" i="30"/>
  <c r="D106" i="30" l="1"/>
  <c r="D109" i="30" s="1"/>
  <c r="E117" i="30"/>
  <c r="D132" i="30"/>
  <c r="E137" i="30" s="1"/>
  <c r="E22" i="37"/>
  <c r="E34" i="37"/>
  <c r="E37" i="37" s="1"/>
  <c r="E38" i="37" s="1"/>
  <c r="E39" i="37" s="1"/>
  <c r="E41" i="37" s="1"/>
  <c r="F42" i="37" s="1"/>
  <c r="F16" i="36"/>
  <c r="F35" i="32"/>
  <c r="E34" i="32"/>
  <c r="D27" i="28"/>
  <c r="C27" i="28"/>
  <c r="D29" i="28" s="1"/>
  <c r="B27" i="28"/>
  <c r="C42" i="31"/>
  <c r="D23" i="31"/>
  <c r="D140" i="31"/>
  <c r="F150" i="31" s="1"/>
  <c r="E149" i="31" s="1"/>
  <c r="D109" i="31"/>
  <c r="D127" i="31"/>
  <c r="E115" i="30"/>
  <c r="E136" i="30" s="1"/>
  <c r="E213" i="30" s="1"/>
  <c r="F127" i="30"/>
  <c r="F118" i="30"/>
  <c r="E120" i="30"/>
  <c r="F121" i="30" s="1"/>
  <c r="E94" i="30"/>
  <c r="E27" i="30"/>
  <c r="E207" i="30" s="1"/>
  <c r="C159" i="30"/>
  <c r="C87" i="30"/>
  <c r="F72" i="30"/>
  <c r="E211" i="30" s="1"/>
  <c r="D60" i="30"/>
  <c r="D43" i="30"/>
  <c r="C43" i="30"/>
  <c r="D39" i="30"/>
  <c r="B40" i="30"/>
  <c r="C40" i="30" s="1"/>
  <c r="E31" i="30"/>
  <c r="F32" i="30" s="1"/>
  <c r="E18" i="30"/>
  <c r="D18" i="30"/>
  <c r="E212" i="30" l="1"/>
  <c r="F28" i="30"/>
  <c r="E96" i="30"/>
  <c r="F97" i="30" s="1"/>
  <c r="D133" i="30"/>
  <c r="F138" i="30" s="1"/>
  <c r="D131" i="30"/>
  <c r="E135" i="30" s="1"/>
  <c r="D23" i="36"/>
  <c r="C29" i="36" s="1"/>
  <c r="C29" i="28"/>
  <c r="C36" i="31"/>
  <c r="D39" i="31"/>
  <c r="C40" i="31"/>
  <c r="F23" i="31"/>
  <c r="C123" i="31"/>
  <c r="D124" i="31"/>
  <c r="F109" i="31"/>
  <c r="D62" i="30"/>
  <c r="F65" i="30" s="1"/>
  <c r="E210" i="30" s="1"/>
  <c r="E64" i="30"/>
  <c r="D37" i="30"/>
  <c r="D41" i="30" s="1"/>
  <c r="E47" i="30" s="1"/>
  <c r="B29" i="36" l="1"/>
  <c r="D29" i="36"/>
  <c r="D31" i="36" s="1"/>
  <c r="C24" i="31"/>
  <c r="C110" i="31"/>
  <c r="F66" i="30"/>
  <c r="D42" i="30"/>
  <c r="D44" i="30" s="1"/>
  <c r="E46" i="30" s="1"/>
  <c r="E208" i="30" s="1"/>
  <c r="E217" i="30" s="1"/>
  <c r="E52" i="30"/>
  <c r="E209" i="30" s="1"/>
  <c r="F53" i="30" l="1"/>
  <c r="F48" i="30"/>
  <c r="C31" i="36"/>
  <c r="D24" i="31"/>
  <c r="F24" i="31" s="1"/>
  <c r="D110" i="31"/>
  <c r="F110" i="31" s="1"/>
  <c r="C118" i="31" s="1"/>
  <c r="C31" i="31" l="1"/>
  <c r="C25" i="31"/>
  <c r="C32" i="31"/>
  <c r="C117" i="31"/>
  <c r="C111" i="31"/>
  <c r="D25" i="31" l="1"/>
  <c r="F25" i="31" s="1"/>
  <c r="C26" i="31" s="1"/>
  <c r="C33" i="31"/>
  <c r="D111" i="31"/>
  <c r="F111" i="31" s="1"/>
  <c r="C112" i="31" s="1"/>
  <c r="C119" i="31"/>
  <c r="E85" i="29"/>
  <c r="E84" i="29" s="1"/>
  <c r="E81" i="29"/>
  <c r="E82" i="29" s="1"/>
  <c r="E41" i="29"/>
  <c r="F42" i="29" s="1"/>
  <c r="B68" i="29"/>
  <c r="F71" i="29" s="1"/>
  <c r="D52" i="29"/>
  <c r="E54" i="29" s="1"/>
  <c r="F55" i="29" s="1"/>
  <c r="D51" i="29"/>
  <c r="D32" i="29"/>
  <c r="D33" i="29" s="1"/>
  <c r="E37" i="29" s="1"/>
  <c r="F38" i="29" s="1"/>
  <c r="D28" i="29"/>
  <c r="D26" i="31" l="1"/>
  <c r="F26" i="31" s="1"/>
  <c r="C27" i="31" s="1"/>
  <c r="D112" i="31"/>
  <c r="F112" i="31" s="1"/>
  <c r="C113" i="31" s="1"/>
  <c r="E89" i="29"/>
  <c r="F90" i="29"/>
  <c r="E70" i="29"/>
  <c r="D27" i="31" l="1"/>
  <c r="F27" i="31" s="1"/>
  <c r="C28" i="31" s="1"/>
  <c r="D113" i="31"/>
  <c r="F113" i="31" s="1"/>
  <c r="C114" i="31" s="1"/>
  <c r="F91" i="29"/>
  <c r="D28" i="31" l="1"/>
  <c r="F28" i="31" s="1"/>
  <c r="D114" i="31"/>
  <c r="F114" i="31" s="1"/>
  <c r="B45" i="27" l="1"/>
  <c r="B44" i="27"/>
  <c r="D41" i="27"/>
  <c r="B37" i="27"/>
  <c r="B36" i="27"/>
  <c r="D25" i="27"/>
  <c r="D24" i="27"/>
  <c r="D23" i="27"/>
  <c r="D22" i="27"/>
  <c r="D21" i="27"/>
  <c r="D20" i="27"/>
  <c r="D16" i="27"/>
  <c r="D15" i="27"/>
  <c r="D14" i="27"/>
  <c r="M8" i="27"/>
  <c r="L8" i="27"/>
  <c r="D32" i="27" s="1"/>
  <c r="H8" i="27"/>
  <c r="G8" i="27"/>
  <c r="D31" i="27" s="1"/>
  <c r="F8" i="27"/>
  <c r="E8" i="27"/>
  <c r="D8" i="27"/>
  <c r="C8" i="27"/>
  <c r="D13" i="27" s="1"/>
  <c r="K7" i="27"/>
  <c r="K8" i="27" s="1"/>
  <c r="I7" i="27"/>
  <c r="I6" i="27"/>
  <c r="I5" i="27"/>
  <c r="I4" i="27"/>
  <c r="E45" i="26"/>
  <c r="D40" i="26"/>
  <c r="E26" i="26"/>
  <c r="D18" i="26"/>
  <c r="D16" i="26" s="1"/>
  <c r="D19" i="26" s="1"/>
  <c r="D25" i="26" s="1"/>
  <c r="D31" i="26" s="1"/>
  <c r="D32" i="26" s="1"/>
  <c r="E34" i="26" s="1"/>
  <c r="F35" i="26" s="1"/>
  <c r="D24" i="26"/>
  <c r="D23" i="26"/>
  <c r="E24" i="25"/>
  <c r="D24" i="25"/>
  <c r="C24" i="25"/>
  <c r="E39" i="25"/>
  <c r="E37" i="25"/>
  <c r="E36" i="25"/>
  <c r="E35" i="25"/>
  <c r="E33" i="25"/>
  <c r="E32" i="25"/>
  <c r="E22" i="25"/>
  <c r="E21" i="25"/>
  <c r="E20" i="25"/>
  <c r="E19" i="25"/>
  <c r="E18" i="25"/>
  <c r="E17" i="25"/>
  <c r="D29" i="25"/>
  <c r="D23" i="25" s="1"/>
  <c r="D17" i="27" l="1"/>
  <c r="D30" i="27" s="1"/>
  <c r="D33" i="27" s="1"/>
  <c r="I8" i="27"/>
  <c r="D26" i="27"/>
  <c r="D40" i="27" s="1"/>
  <c r="D42" i="27" s="1"/>
  <c r="D41" i="26"/>
  <c r="E27" i="26"/>
  <c r="E34" i="25"/>
  <c r="E38" i="25"/>
  <c r="G17" i="27" l="1"/>
  <c r="I25" i="27" s="1"/>
  <c r="I26" i="27" s="1"/>
  <c r="D42" i="26"/>
  <c r="F47" i="26" s="1"/>
  <c r="F46" i="26"/>
  <c r="H113" i="19" l="1"/>
  <c r="J113" i="19" s="1"/>
  <c r="D123" i="19" s="1"/>
  <c r="H112" i="19"/>
  <c r="J111" i="19"/>
  <c r="C111" i="19"/>
  <c r="C104" i="19"/>
  <c r="F77" i="19"/>
  <c r="E83" i="19" s="1"/>
  <c r="F84" i="19" s="1"/>
  <c r="E78" i="19"/>
  <c r="E75" i="19"/>
  <c r="F76" i="19" s="1"/>
  <c r="E80" i="19" s="1"/>
  <c r="F81" i="19" s="1"/>
  <c r="C62" i="19"/>
  <c r="E67" i="19" s="1"/>
  <c r="C63" i="19"/>
  <c r="J114" i="19" l="1"/>
  <c r="J116" i="19" s="1"/>
  <c r="F119" i="19" s="1"/>
  <c r="D111" i="19"/>
  <c r="F111" i="19" s="1"/>
  <c r="C112" i="19" s="1"/>
  <c r="F88" i="19"/>
  <c r="E86" i="19"/>
  <c r="F89" i="19" s="1"/>
  <c r="F78" i="19"/>
  <c r="C64" i="19"/>
  <c r="F69" i="19" s="1"/>
  <c r="F68" i="19"/>
  <c r="E118" i="19" l="1"/>
  <c r="D112" i="19"/>
  <c r="F112" i="19" s="1"/>
  <c r="C113" i="19" s="1"/>
  <c r="D122" i="19" s="1"/>
  <c r="D124" i="19" s="1"/>
  <c r="E51" i="19"/>
  <c r="F46" i="19"/>
  <c r="C41" i="19"/>
  <c r="C27" i="19"/>
  <c r="F34" i="19" s="1"/>
  <c r="E16" i="19"/>
  <c r="D113" i="19" l="1"/>
  <c r="F113" i="19" s="1"/>
  <c r="C16" i="19" l="1"/>
  <c r="D52" i="20"/>
  <c r="D51" i="20"/>
  <c r="D42" i="20"/>
  <c r="D43" i="20"/>
  <c r="E44" i="20" s="1"/>
  <c r="E21" i="20"/>
  <c r="E22" i="20" s="1"/>
  <c r="E36" i="20" s="1"/>
  <c r="E54" i="20" s="1"/>
  <c r="D50" i="20"/>
  <c r="D49" i="20"/>
  <c r="D48" i="20"/>
  <c r="D47" i="20"/>
  <c r="D67" i="20"/>
  <c r="D62" i="20"/>
  <c r="G101" i="6"/>
  <c r="C347" i="15" a="1"/>
  <c r="C347" i="15" s="1"/>
  <c r="C351" i="15" s="1"/>
  <c r="B347" i="15" a="1"/>
  <c r="B347" i="15" s="1"/>
  <c r="C342" i="15"/>
  <c r="C343" i="15"/>
  <c r="C341" i="15"/>
  <c r="B341" i="15" a="1"/>
  <c r="B341" i="15" s="1"/>
  <c r="B336" i="15" a="1"/>
  <c r="B336" i="15" s="1"/>
  <c r="C337" i="15"/>
  <c r="C338" i="15"/>
  <c r="C336" i="15"/>
  <c r="C339" i="15" s="1"/>
  <c r="B329" i="15" a="1"/>
  <c r="B329" i="15" s="1"/>
  <c r="C328" i="15"/>
  <c r="C327" i="15"/>
  <c r="C324" i="15"/>
  <c r="C323" i="15"/>
  <c r="C322" i="15"/>
  <c r="J12" i="15"/>
  <c r="K12" i="15"/>
  <c r="J13" i="15"/>
  <c r="K13" i="15"/>
  <c r="J14" i="15"/>
  <c r="K14" i="15"/>
  <c r="J15" i="15"/>
  <c r="K15" i="15"/>
  <c r="J16" i="15"/>
  <c r="K16" i="15"/>
  <c r="J17" i="15"/>
  <c r="K17" i="15"/>
  <c r="J18" i="15"/>
  <c r="K18" i="15"/>
  <c r="J19" i="15"/>
  <c r="K19" i="15"/>
  <c r="J20" i="15"/>
  <c r="K20" i="15"/>
  <c r="J21" i="15"/>
  <c r="K21" i="15"/>
  <c r="J22" i="15"/>
  <c r="K22" i="15"/>
  <c r="J23" i="15"/>
  <c r="K23" i="15"/>
  <c r="J24" i="15"/>
  <c r="K24" i="15"/>
  <c r="J25" i="15"/>
  <c r="K25" i="15"/>
  <c r="J26" i="15"/>
  <c r="K26" i="15"/>
  <c r="J27" i="15"/>
  <c r="K27" i="15"/>
  <c r="J28" i="15"/>
  <c r="K28" i="15"/>
  <c r="J29" i="15"/>
  <c r="K29" i="15"/>
  <c r="J30" i="15"/>
  <c r="K30" i="15"/>
  <c r="J31" i="15"/>
  <c r="J32" i="15"/>
  <c r="L32" i="15" s="1"/>
  <c r="J33" i="15"/>
  <c r="L33" i="15" s="1"/>
  <c r="K11" i="15"/>
  <c r="I31" i="15"/>
  <c r="K31" i="15" s="1"/>
  <c r="E294" i="15"/>
  <c r="F295" i="15" s="1"/>
  <c r="F281" i="15"/>
  <c r="C272" i="15"/>
  <c r="F275" i="15" s="1"/>
  <c r="E274" i="15" s="1"/>
  <c r="F286" i="15" s="1"/>
  <c r="E254" i="15"/>
  <c r="F285" i="15" s="1"/>
  <c r="C245" i="15"/>
  <c r="D245" i="15" s="1"/>
  <c r="C246" i="15"/>
  <c r="D246" i="15" s="1"/>
  <c r="C244" i="15"/>
  <c r="D244" i="15" s="1"/>
  <c r="E189" i="15"/>
  <c r="F190" i="15" s="1"/>
  <c r="F283" i="15" s="1"/>
  <c r="G182" i="15"/>
  <c r="G184" i="15" s="1"/>
  <c r="F182" i="15"/>
  <c r="F184" i="15" s="1"/>
  <c r="G179" i="15"/>
  <c r="G180" i="15" s="1"/>
  <c r="F178" i="15"/>
  <c r="F177" i="15"/>
  <c r="E79" i="15"/>
  <c r="E77" i="15"/>
  <c r="E53" i="15"/>
  <c r="E45" i="15"/>
  <c r="D46" i="15"/>
  <c r="C46" i="15"/>
  <c r="C45" i="15"/>
  <c r="A2" i="15"/>
  <c r="B1" i="15" s="1"/>
  <c r="B239" i="15"/>
  <c r="E223" i="15"/>
  <c r="F229" i="15" s="1"/>
  <c r="C223" i="15"/>
  <c r="D223" i="15"/>
  <c r="D210" i="15"/>
  <c r="C210" i="15"/>
  <c r="C212" i="15" s="1"/>
  <c r="G203" i="15"/>
  <c r="E203" i="15"/>
  <c r="E202" i="15"/>
  <c r="H202" i="15" s="1"/>
  <c r="F174" i="15"/>
  <c r="F21" i="20"/>
  <c r="D16" i="19" l="1"/>
  <c r="E53" i="20"/>
  <c r="E37" i="20"/>
  <c r="E45" i="20" s="1"/>
  <c r="E30" i="20"/>
  <c r="E31" i="20"/>
  <c r="E24" i="20"/>
  <c r="F25" i="20"/>
  <c r="C344" i="15"/>
  <c r="C353" i="15" s="1"/>
  <c r="L18" i="15"/>
  <c r="L30" i="15"/>
  <c r="L29" i="15"/>
  <c r="L13" i="15"/>
  <c r="L16" i="15"/>
  <c r="L21" i="15"/>
  <c r="L24" i="15"/>
  <c r="L31" i="15"/>
  <c r="L28" i="15"/>
  <c r="L12" i="15"/>
  <c r="L14" i="15"/>
  <c r="L15" i="15"/>
  <c r="L25" i="15"/>
  <c r="L17" i="15"/>
  <c r="C325" i="15"/>
  <c r="L26" i="15"/>
  <c r="L27" i="15"/>
  <c r="L23" i="15"/>
  <c r="L19" i="15"/>
  <c r="J34" i="15"/>
  <c r="K34" i="15"/>
  <c r="L22" i="15"/>
  <c r="C331" i="15"/>
  <c r="L20" i="15"/>
  <c r="F255" i="15"/>
  <c r="C247" i="15"/>
  <c r="G186" i="15"/>
  <c r="E194" i="15" s="1"/>
  <c r="F180" i="15"/>
  <c r="F186" i="15" s="1"/>
  <c r="F195" i="15" s="1"/>
  <c r="C47" i="15"/>
  <c r="C56" i="15" s="1"/>
  <c r="F228" i="15"/>
  <c r="H203" i="15"/>
  <c r="E214" i="15"/>
  <c r="F215" i="15"/>
  <c r="F223" i="15"/>
  <c r="F16" i="19" l="1"/>
  <c r="C28" i="19" s="1"/>
  <c r="E18" i="19"/>
  <c r="F19" i="19" s="1"/>
  <c r="E32" i="20"/>
  <c r="C333" i="15"/>
  <c r="L34" i="15"/>
  <c r="E193" i="15"/>
  <c r="F284" i="15" s="1"/>
  <c r="E227" i="15"/>
  <c r="E32" i="19" l="1"/>
  <c r="C29" i="19"/>
  <c r="F33" i="19" s="1"/>
  <c r="C158" i="15"/>
  <c r="C154" i="15"/>
  <c r="C155" i="15" s="1"/>
  <c r="E138" i="15"/>
  <c r="D50" i="15" s="1"/>
  <c r="E139" i="15"/>
  <c r="D51" i="15" s="1"/>
  <c r="E140" i="15"/>
  <c r="D52" i="15" s="1"/>
  <c r="E137" i="15"/>
  <c r="D49" i="15" s="1"/>
  <c r="C131" i="15"/>
  <c r="D119" i="15"/>
  <c r="F96" i="15"/>
  <c r="F108" i="15" s="1"/>
  <c r="D42" i="15"/>
  <c r="E42" i="15"/>
  <c r="C42" i="15"/>
  <c r="F40" i="15"/>
  <c r="F39" i="15"/>
  <c r="F34" i="15"/>
  <c r="E34" i="15"/>
  <c r="D249" i="14"/>
  <c r="D247" i="14"/>
  <c r="H232" i="14"/>
  <c r="I232" i="14" s="1"/>
  <c r="H229" i="14"/>
  <c r="I229" i="14" s="1"/>
  <c r="H230" i="14"/>
  <c r="I230" i="14" s="1"/>
  <c r="H231" i="14"/>
  <c r="I231" i="14" s="1"/>
  <c r="H233" i="14"/>
  <c r="F213" i="14"/>
  <c r="E212" i="14"/>
  <c r="F209" i="14"/>
  <c r="E207" i="14"/>
  <c r="C140" i="14"/>
  <c r="D140" i="14" s="1"/>
  <c r="E159" i="14" s="1"/>
  <c r="C117" i="14"/>
  <c r="C114" i="14"/>
  <c r="A2" i="14"/>
  <c r="B1" i="14" s="1"/>
  <c r="E272" i="14"/>
  <c r="F273" i="14" s="1"/>
  <c r="D79" i="14"/>
  <c r="J24" i="14"/>
  <c r="I24" i="14"/>
  <c r="J22" i="14"/>
  <c r="I22" i="14"/>
  <c r="J14" i="14"/>
  <c r="I14" i="14"/>
  <c r="J10" i="14"/>
  <c r="I10" i="14"/>
  <c r="C249" i="14"/>
  <c r="D248" i="14"/>
  <c r="I233" i="14"/>
  <c r="I237" i="14"/>
  <c r="C235" i="14"/>
  <c r="D43" i="15" l="1"/>
  <c r="D60" i="15" s="1"/>
  <c r="C43" i="15"/>
  <c r="C61" i="15" s="1"/>
  <c r="D53" i="15"/>
  <c r="E43" i="15"/>
  <c r="E100" i="15"/>
  <c r="C132" i="15"/>
  <c r="D45" i="15"/>
  <c r="D47" i="15" s="1"/>
  <c r="D56" i="15" s="1"/>
  <c r="C159" i="15"/>
  <c r="E46" i="15"/>
  <c r="E47" i="15" s="1"/>
  <c r="E56" i="15" s="1"/>
  <c r="C163" i="15"/>
  <c r="F167" i="15"/>
  <c r="E141" i="15"/>
  <c r="F43" i="15"/>
  <c r="F95" i="15" s="1"/>
  <c r="F97" i="15" s="1"/>
  <c r="C100" i="15"/>
  <c r="D100" i="15"/>
  <c r="K14" i="14"/>
  <c r="K10" i="14"/>
  <c r="K24" i="14"/>
  <c r="K22" i="14"/>
  <c r="L22" i="14" s="1"/>
  <c r="E251" i="14"/>
  <c r="F252" i="14" s="1"/>
  <c r="E208" i="14"/>
  <c r="C55" i="15" l="1"/>
  <c r="C57" i="15" s="1"/>
  <c r="C69" i="15" s="1"/>
  <c r="D120" i="15"/>
  <c r="C60" i="15"/>
  <c r="E55" i="15"/>
  <c r="E57" i="15" s="1"/>
  <c r="E61" i="15"/>
  <c r="E60" i="15"/>
  <c r="D55" i="15"/>
  <c r="D57" i="15" s="1"/>
  <c r="D61" i="15"/>
  <c r="D101" i="15"/>
  <c r="D102" i="15" s="1"/>
  <c r="C101" i="15"/>
  <c r="C102" i="15" s="1"/>
  <c r="E101" i="15"/>
  <c r="E102" i="15" s="1"/>
  <c r="L14" i="14"/>
  <c r="C64" i="15" l="1"/>
  <c r="C65" i="15"/>
  <c r="C68" i="15"/>
  <c r="C70" i="15" s="1"/>
  <c r="C66" i="15"/>
  <c r="E75" i="15"/>
  <c r="E68" i="15"/>
  <c r="E70" i="15" s="1"/>
  <c r="D69" i="15"/>
  <c r="E83" i="15" s="1" a="1"/>
  <c r="E83" i="15" s="1"/>
  <c r="F89" i="15" s="1"/>
  <c r="D68" i="15"/>
  <c r="D65" i="15"/>
  <c r="D64" i="15"/>
  <c r="E65" i="15"/>
  <c r="E64" i="15"/>
  <c r="F111" i="15"/>
  <c r="E104" i="15"/>
  <c r="C161" i="15" s="1"/>
  <c r="F109" i="15"/>
  <c r="C104" i="15"/>
  <c r="F110" i="15"/>
  <c r="D104" i="15"/>
  <c r="E142" i="15" s="1"/>
  <c r="E143" i="15" s="1"/>
  <c r="E145" i="15" s="1"/>
  <c r="D121" i="15"/>
  <c r="F124" i="15" s="1"/>
  <c r="E123" i="15" s="1"/>
  <c r="C221" i="14"/>
  <c r="D202" i="14"/>
  <c r="E201" i="14"/>
  <c r="E200" i="14"/>
  <c r="D197" i="14"/>
  <c r="E163" i="14"/>
  <c r="F164" i="14"/>
  <c r="D139" i="14"/>
  <c r="C115" i="14"/>
  <c r="E125" i="14"/>
  <c r="F126" i="14" s="1"/>
  <c r="C112" i="14"/>
  <c r="E121" i="14" s="1"/>
  <c r="F122" i="14" s="1"/>
  <c r="E82" i="14"/>
  <c r="G19" i="14" s="1"/>
  <c r="C80" i="14"/>
  <c r="D77" i="14"/>
  <c r="D62" i="14"/>
  <c r="E61" i="14"/>
  <c r="E60" i="14"/>
  <c r="E64" i="14" s="1"/>
  <c r="E56" i="14"/>
  <c r="D30" i="14"/>
  <c r="D29" i="14"/>
  <c r="F23" i="13"/>
  <c r="E24" i="13"/>
  <c r="C89" i="13"/>
  <c r="C78" i="13"/>
  <c r="C90" i="13" s="1"/>
  <c r="E82" i="13"/>
  <c r="F83" i="13" s="1"/>
  <c r="E43" i="13"/>
  <c r="E50" i="13" s="1"/>
  <c r="C15" i="13"/>
  <c r="E102" i="11"/>
  <c r="F103" i="11" s="1"/>
  <c r="C87" i="11"/>
  <c r="D80" i="11"/>
  <c r="C80" i="11"/>
  <c r="F52" i="11"/>
  <c r="E51" i="11" s="1"/>
  <c r="C20" i="11"/>
  <c r="E22" i="11" s="1"/>
  <c r="F23" i="11" s="1"/>
  <c r="E78" i="11"/>
  <c r="E80" i="11" s="1"/>
  <c r="E74" i="11"/>
  <c r="E75" i="11"/>
  <c r="E76" i="11"/>
  <c r="E77" i="11"/>
  <c r="E73" i="11"/>
  <c r="D79" i="11"/>
  <c r="C79" i="11"/>
  <c r="E58" i="11"/>
  <c r="F59" i="11" s="1"/>
  <c r="F116" i="8"/>
  <c r="D113" i="8"/>
  <c r="E113" i="8"/>
  <c r="E116" i="8" s="1"/>
  <c r="F117" i="8"/>
  <c r="E117" i="8"/>
  <c r="F135" i="8"/>
  <c r="E122" i="8"/>
  <c r="E126" i="8" s="1"/>
  <c r="D120" i="8"/>
  <c r="E120" i="8"/>
  <c r="C120" i="8"/>
  <c r="E131" i="8"/>
  <c r="E101" i="8"/>
  <c r="C101" i="8"/>
  <c r="D101" i="8"/>
  <c r="D110" i="8"/>
  <c r="D112" i="8" s="1"/>
  <c r="E110" i="8"/>
  <c r="E112" i="8" s="1"/>
  <c r="C110" i="8"/>
  <c r="C112" i="8" s="1"/>
  <c r="D84" i="8"/>
  <c r="D83" i="8"/>
  <c r="D82" i="8"/>
  <c r="E68" i="8"/>
  <c r="F69" i="8" s="1"/>
  <c r="E51" i="8"/>
  <c r="F52" i="8" s="1"/>
  <c r="D43" i="8"/>
  <c r="D41" i="8"/>
  <c r="D24" i="8"/>
  <c r="E24" i="8" s="1"/>
  <c r="D23" i="8"/>
  <c r="D16" i="8"/>
  <c r="D15" i="8"/>
  <c r="E62" i="7"/>
  <c r="F63" i="7"/>
  <c r="D57" i="7"/>
  <c r="D56" i="7"/>
  <c r="D55" i="7"/>
  <c r="D52" i="7"/>
  <c r="D51" i="7"/>
  <c r="F46" i="7"/>
  <c r="E45" i="7"/>
  <c r="D43" i="7"/>
  <c r="D42" i="7"/>
  <c r="D41" i="7"/>
  <c r="D40" i="7"/>
  <c r="D39" i="7"/>
  <c r="D36" i="7"/>
  <c r="D35" i="7"/>
  <c r="D34" i="7"/>
  <c r="D17" i="7"/>
  <c r="A2" i="6"/>
  <c r="C2" i="6" s="1"/>
  <c r="F55" i="6"/>
  <c r="F29" i="6"/>
  <c r="E45" i="6"/>
  <c r="E47" i="6"/>
  <c r="F48" i="6" s="1"/>
  <c r="E125" i="6"/>
  <c r="F126" i="6" s="1"/>
  <c r="F109" i="6"/>
  <c r="G105" i="6"/>
  <c r="F106" i="6"/>
  <c r="H102" i="6"/>
  <c r="F102" i="6"/>
  <c r="E78" i="6"/>
  <c r="F79" i="6" s="1"/>
  <c r="C71" i="6"/>
  <c r="E74" i="6" s="1"/>
  <c r="F75" i="6" s="1"/>
  <c r="H106" i="6" l="1"/>
  <c r="G108" i="6"/>
  <c r="D70" i="15"/>
  <c r="E82" i="15"/>
  <c r="F88" i="15" s="1"/>
  <c r="E76" i="15"/>
  <c r="E78" i="15" s="1"/>
  <c r="E80" i="15" s="1"/>
  <c r="E84" i="15" s="1"/>
  <c r="F90" i="15" s="1"/>
  <c r="E66" i="15"/>
  <c r="D66" i="15"/>
  <c r="C162" i="15"/>
  <c r="C164" i="15" s="1"/>
  <c r="F168" i="15" s="1"/>
  <c r="E166" i="15" s="1"/>
  <c r="E107" i="15"/>
  <c r="D141" i="14"/>
  <c r="D143" i="14" s="1"/>
  <c r="F160" i="14" s="1"/>
  <c r="E158" i="14" s="1"/>
  <c r="C177" i="14"/>
  <c r="F179" i="14" s="1"/>
  <c r="E178" i="14" s="1"/>
  <c r="C116" i="14"/>
  <c r="C118" i="14" s="1"/>
  <c r="E129" i="14" s="1"/>
  <c r="F130" i="14" s="1"/>
  <c r="D33" i="14"/>
  <c r="E202" i="14"/>
  <c r="C144" i="14"/>
  <c r="D144" i="14" s="1"/>
  <c r="D148" i="14" s="1"/>
  <c r="F83" i="14"/>
  <c r="E62" i="14"/>
  <c r="E68" i="14" s="1"/>
  <c r="F69" i="14" s="1"/>
  <c r="D80" i="14"/>
  <c r="E86" i="14" s="1"/>
  <c r="F87" i="14" s="1"/>
  <c r="H21" i="14" s="1"/>
  <c r="D31" i="14"/>
  <c r="F24" i="13"/>
  <c r="F26" i="13"/>
  <c r="C91" i="13"/>
  <c r="E93" i="13" s="1"/>
  <c r="F94" i="13" s="1"/>
  <c r="F51" i="13"/>
  <c r="C81" i="11"/>
  <c r="D81" i="11"/>
  <c r="E26" i="11"/>
  <c r="F27" i="11" s="1"/>
  <c r="E79" i="11"/>
  <c r="D86" i="8"/>
  <c r="E89" i="8" s="1"/>
  <c r="F91" i="8" s="1"/>
  <c r="D87" i="8"/>
  <c r="E90" i="8" s="1"/>
  <c r="F92" i="8" s="1"/>
  <c r="E23" i="8"/>
  <c r="E25" i="8" s="1"/>
  <c r="E27" i="8" s="1"/>
  <c r="F28" i="8" s="1"/>
  <c r="D44" i="8"/>
  <c r="E72" i="8" s="1"/>
  <c r="F73" i="8" s="1"/>
  <c r="D53" i="7"/>
  <c r="E97" i="11" l="1"/>
  <c r="F98" i="11" s="1"/>
  <c r="E87" i="15"/>
  <c r="F282" i="15" s="1"/>
  <c r="F287" i="15" s="1"/>
  <c r="E289" i="15" s="1"/>
  <c r="E85" i="15"/>
  <c r="E40" i="14"/>
  <c r="D35" i="14"/>
  <c r="D36" i="14" s="1"/>
  <c r="D38" i="14" s="1"/>
  <c r="I18" i="14"/>
  <c r="I234" i="14"/>
  <c r="I238" i="14" s="1"/>
  <c r="E241" i="14" s="1"/>
  <c r="F242" i="14" s="1"/>
  <c r="E150" i="14"/>
  <c r="F151" i="14" s="1"/>
  <c r="D154" i="14"/>
  <c r="D156" i="14" s="1"/>
  <c r="F25" i="13"/>
  <c r="F27" i="13" s="1"/>
  <c r="E30" i="13"/>
  <c r="E81" i="11"/>
  <c r="E55" i="8"/>
  <c r="F56" i="8" s="1"/>
  <c r="H109" i="6"/>
  <c r="F112" i="6" s="1"/>
  <c r="E111" i="6"/>
  <c r="F81" i="11" l="1"/>
  <c r="C88" i="11" s="1"/>
  <c r="C89" i="11" s="1"/>
  <c r="F290" i="15"/>
  <c r="H11" i="15"/>
  <c r="J11" i="15" s="1"/>
  <c r="L11" i="15" s="1"/>
  <c r="F65" i="14"/>
  <c r="F41" i="14"/>
  <c r="H20" i="14" s="1"/>
  <c r="J20" i="14" s="1"/>
  <c r="K20" i="14" s="1"/>
  <c r="D34" i="14"/>
  <c r="E31" i="13"/>
  <c r="F32" i="13"/>
  <c r="F46" i="6"/>
  <c r="E13" i="6"/>
  <c r="C14" i="6"/>
  <c r="C16" i="6"/>
  <c r="F28" i="6"/>
  <c r="F92" i="11" l="1"/>
  <c r="E91" i="11"/>
  <c r="E44" i="14"/>
  <c r="F45" i="14" s="1"/>
  <c r="H18" i="14" s="1"/>
  <c r="J18" i="14" s="1"/>
  <c r="K18" i="14" s="1"/>
  <c r="L20" i="14" s="1"/>
  <c r="L25" i="14" s="1"/>
  <c r="C17" i="6"/>
  <c r="H45" i="6"/>
  <c r="E27" i="6" l="1"/>
  <c r="A2" i="5"/>
  <c r="C2" i="5" s="1"/>
  <c r="E112" i="5"/>
  <c r="F192" i="5"/>
  <c r="F198" i="5"/>
  <c r="F190" i="5"/>
  <c r="F177" i="5" l="1"/>
  <c r="F188" i="5" s="1"/>
  <c r="D180" i="5"/>
  <c r="D181" i="5" s="1"/>
  <c r="E180" i="5"/>
  <c r="E181" i="5" s="1"/>
  <c r="C180" i="5"/>
  <c r="D165" i="5"/>
  <c r="C139" i="5"/>
  <c r="C140" i="5" s="1"/>
  <c r="C148" i="5" s="1"/>
  <c r="F181" i="5" l="1"/>
  <c r="F143" i="5"/>
  <c r="E142" i="5"/>
  <c r="F144" i="5" s="1"/>
  <c r="F191" i="5" l="1"/>
  <c r="F193" i="5" s="1"/>
  <c r="F197" i="5" s="1"/>
  <c r="E196" i="5" s="1"/>
  <c r="G181" i="5"/>
  <c r="D162" i="5" l="1"/>
  <c r="D163" i="5"/>
  <c r="D164" i="5"/>
  <c r="C161" i="5"/>
  <c r="E161" i="5" s="1"/>
  <c r="E156" i="5" s="1"/>
  <c r="F157" i="5" s="1"/>
  <c r="E136" i="5"/>
  <c r="F137" i="5" s="1"/>
  <c r="C129" i="5"/>
  <c r="C149" i="5" s="1"/>
  <c r="C150" i="5" s="1"/>
  <c r="E152" i="5" s="1"/>
  <c r="F153" i="5" s="1"/>
  <c r="E113" i="5"/>
  <c r="E106" i="5"/>
  <c r="F108" i="5"/>
  <c r="E105" i="5"/>
  <c r="E97" i="5"/>
  <c r="F98" i="5" s="1"/>
  <c r="D80" i="5"/>
  <c r="D81" i="5" s="1"/>
  <c r="E107" i="5" s="1"/>
  <c r="C72" i="5"/>
  <c r="C73" i="5"/>
  <c r="E119" i="5" s="1"/>
  <c r="F120" i="5" s="1"/>
  <c r="C68" i="5"/>
  <c r="C67" i="5"/>
  <c r="C65" i="5"/>
  <c r="E48" i="5"/>
  <c r="E50" i="5" s="1"/>
  <c r="E53" i="5" s="1"/>
  <c r="F54" i="5" s="1"/>
  <c r="F37" i="5"/>
  <c r="E34" i="5"/>
  <c r="C30" i="5"/>
  <c r="D28" i="5"/>
  <c r="C26" i="5"/>
  <c r="C25" i="5"/>
  <c r="D29" i="5" s="1"/>
  <c r="E35" i="5" s="1"/>
  <c r="D13" i="5"/>
  <c r="E22" i="5" s="1"/>
  <c r="F23" i="5" s="1"/>
  <c r="E42" i="5" s="1"/>
  <c r="F164" i="4"/>
  <c r="F165" i="4" s="1"/>
  <c r="F166" i="4" s="1"/>
  <c r="C172" i="4"/>
  <c r="D181" i="4" s="1"/>
  <c r="E171" i="4"/>
  <c r="E170" i="4"/>
  <c r="E169" i="4"/>
  <c r="E168" i="4"/>
  <c r="E167" i="4"/>
  <c r="E166" i="4"/>
  <c r="E165" i="4"/>
  <c r="E164" i="4"/>
  <c r="C69" i="5" l="1"/>
  <c r="E172" i="4"/>
  <c r="D178" i="4" s="1"/>
  <c r="C87" i="5"/>
  <c r="E89" i="5" s="1"/>
  <c r="F90" i="5" s="1"/>
  <c r="F161" i="5"/>
  <c r="F114" i="5"/>
  <c r="E93" i="5"/>
  <c r="F94" i="5" s="1"/>
  <c r="F44" i="5"/>
  <c r="E41" i="5"/>
  <c r="F43" i="5" s="1"/>
  <c r="F36" i="5"/>
  <c r="D30" i="5"/>
  <c r="D32" i="5" s="1"/>
  <c r="F167" i="4"/>
  <c r="G165" i="4"/>
  <c r="I165" i="4" s="1"/>
  <c r="H165" i="4"/>
  <c r="D179" i="4"/>
  <c r="D180" i="4" s="1"/>
  <c r="D182" i="4" s="1"/>
  <c r="G164" i="4"/>
  <c r="H164" i="4"/>
  <c r="C162" i="5" l="1"/>
  <c r="E162" i="5"/>
  <c r="F162" i="5" s="1"/>
  <c r="C163" i="5" s="1"/>
  <c r="E163" i="5" s="1"/>
  <c r="F163" i="5" s="1"/>
  <c r="C164" i="5" s="1"/>
  <c r="F168" i="4"/>
  <c r="H168" i="4" s="1"/>
  <c r="H167" i="4"/>
  <c r="G167" i="4"/>
  <c r="I167" i="4" s="1"/>
  <c r="I164" i="4"/>
  <c r="H166" i="4"/>
  <c r="G166" i="4"/>
  <c r="I166" i="4" s="1"/>
  <c r="F169" i="4" l="1"/>
  <c r="F170" i="4" s="1"/>
  <c r="G168" i="4"/>
  <c r="I168" i="4" s="1"/>
  <c r="C168" i="5"/>
  <c r="C169" i="5" s="1"/>
  <c r="E164" i="5"/>
  <c r="F164" i="5" s="1"/>
  <c r="C165" i="5" s="1"/>
  <c r="E165" i="5" s="1"/>
  <c r="F165" i="5" s="1"/>
  <c r="H169" i="4"/>
  <c r="G169" i="4"/>
  <c r="I169" i="4" s="1"/>
  <c r="F171" i="4" l="1"/>
  <c r="F172" i="4" s="1"/>
  <c r="H170" i="4"/>
  <c r="G170" i="4"/>
  <c r="I170" i="4" s="1"/>
  <c r="H171" i="4" l="1"/>
  <c r="H172" i="4" s="1"/>
  <c r="G171" i="4"/>
  <c r="I171" i="4" s="1"/>
  <c r="I172" i="4" s="1"/>
  <c r="D184" i="4" s="1"/>
  <c r="D186" i="4" s="1"/>
  <c r="E188" i="4" s="1"/>
  <c r="F189" i="4" s="1"/>
  <c r="G172" i="4" l="1"/>
  <c r="C132" i="4"/>
  <c r="C107" i="4"/>
  <c r="C40" i="4"/>
  <c r="C34" i="4"/>
  <c r="E32" i="4"/>
  <c r="D31" i="4"/>
  <c r="D30" i="4"/>
  <c r="C22" i="4"/>
  <c r="C136" i="4" l="1"/>
  <c r="C131" i="4"/>
  <c r="C99" i="4"/>
  <c r="C115" i="4"/>
  <c r="C116" i="4"/>
  <c r="C102" i="4"/>
  <c r="C113" i="4" s="1"/>
  <c r="C101" i="4"/>
  <c r="C112" i="4" s="1"/>
  <c r="C114" i="4"/>
  <c r="C108" i="4"/>
  <c r="C106" i="4"/>
  <c r="C97" i="4"/>
  <c r="C76" i="4"/>
  <c r="E53" i="4"/>
  <c r="E49" i="4"/>
  <c r="F66" i="4"/>
  <c r="F64" i="4"/>
  <c r="E48" i="4"/>
  <c r="D63" i="4"/>
  <c r="D64" i="4" s="1"/>
  <c r="C50" i="4"/>
  <c r="F38" i="1"/>
  <c r="E38" i="1"/>
  <c r="D38" i="1"/>
  <c r="C38" i="1"/>
  <c r="E36" i="1"/>
  <c r="D36" i="1"/>
  <c r="C36" i="1"/>
  <c r="C141" i="4" l="1"/>
  <c r="C133" i="4"/>
  <c r="C140" i="4" s="1"/>
  <c r="C30" i="4"/>
  <c r="E30" i="4" s="1"/>
  <c r="G64" i="4"/>
  <c r="C31" i="4"/>
  <c r="E31" i="4" s="1"/>
  <c r="C26" i="4"/>
  <c r="G66" i="4"/>
  <c r="C24" i="4"/>
  <c r="C117" i="4"/>
  <c r="C119" i="4" s="1"/>
  <c r="C103" i="4"/>
  <c r="C109" i="4"/>
  <c r="C54" i="4"/>
  <c r="F222" i="3"/>
  <c r="E221" i="3"/>
  <c r="C100" i="3"/>
  <c r="F96" i="3"/>
  <c r="E71" i="3"/>
  <c r="D63" i="3"/>
  <c r="D64" i="3" s="1"/>
  <c r="C44" i="3"/>
  <c r="C14" i="3"/>
  <c r="C13" i="3"/>
  <c r="C32" i="3" s="1"/>
  <c r="C31" i="3"/>
  <c r="E27" i="3"/>
  <c r="F28" i="3" s="1"/>
  <c r="C121" i="4" l="1"/>
  <c r="C127" i="4" s="1"/>
  <c r="E33" i="4"/>
  <c r="C35" i="4" s="1"/>
  <c r="C36" i="4" s="1"/>
  <c r="C41" i="4" s="1"/>
  <c r="C42" i="4" s="1"/>
  <c r="E47" i="4"/>
  <c r="E50" i="4" s="1"/>
  <c r="E58" i="4" s="1"/>
  <c r="E59" i="4" s="1"/>
  <c r="G67" i="4"/>
  <c r="C25" i="4" s="1"/>
  <c r="C27" i="4" s="1"/>
  <c r="C58" i="4" s="1"/>
  <c r="C59" i="4" s="1"/>
  <c r="E82" i="4" s="1"/>
  <c r="C101" i="3"/>
  <c r="C102" i="3" s="1"/>
  <c r="E104" i="3" s="1"/>
  <c r="F105" i="3" s="1"/>
  <c r="C33" i="3"/>
  <c r="C34" i="3" s="1"/>
  <c r="E36" i="3" s="1"/>
  <c r="F37" i="3" s="1"/>
  <c r="C45" i="3"/>
  <c r="C46" i="3" s="1"/>
  <c r="C186" i="3"/>
  <c r="C197" i="3"/>
  <c r="E197" i="3" s="1"/>
  <c r="E196" i="3"/>
  <c r="E195" i="3"/>
  <c r="E194" i="3"/>
  <c r="E193" i="3"/>
  <c r="E146" i="3"/>
  <c r="E147" i="3"/>
  <c r="E148" i="3"/>
  <c r="E145" i="3"/>
  <c r="D168" i="3"/>
  <c r="E203" i="3"/>
  <c r="E202" i="3"/>
  <c r="D204" i="3"/>
  <c r="C183" i="3" s="1"/>
  <c r="C204" i="3"/>
  <c r="C132" i="3"/>
  <c r="C133" i="3" s="1"/>
  <c r="C124" i="3"/>
  <c r="C123" i="3"/>
  <c r="C114" i="3"/>
  <c r="C112" i="3"/>
  <c r="D88" i="3"/>
  <c r="D87" i="3"/>
  <c r="C92" i="3"/>
  <c r="C56" i="3"/>
  <c r="D56" i="3" s="1"/>
  <c r="D57" i="3" s="1"/>
  <c r="D59" i="3" s="1"/>
  <c r="E40" i="3"/>
  <c r="F41" i="3" s="1"/>
  <c r="C21" i="3"/>
  <c r="E54" i="4" l="1"/>
  <c r="C73" i="4"/>
  <c r="C78" i="4" s="1"/>
  <c r="F83" i="4"/>
  <c r="C143" i="4"/>
  <c r="E145" i="4" s="1"/>
  <c r="F146" i="4" s="1"/>
  <c r="E173" i="3"/>
  <c r="F177" i="3" s="1"/>
  <c r="C152" i="3"/>
  <c r="D67" i="3"/>
  <c r="C47" i="3"/>
  <c r="E49" i="3" s="1"/>
  <c r="F50" i="3" s="1"/>
  <c r="C187" i="3"/>
  <c r="E206" i="3" s="1"/>
  <c r="F207" i="3" s="1"/>
  <c r="E198" i="3"/>
  <c r="C185" i="3" s="1"/>
  <c r="E149" i="3"/>
  <c r="C154" i="3" s="1"/>
  <c r="C155" i="3" s="1"/>
  <c r="C87" i="3"/>
  <c r="E204" i="3"/>
  <c r="E212" i="3" s="1"/>
  <c r="C125" i="3"/>
  <c r="C156" i="3" l="1"/>
  <c r="E161" i="3" s="1"/>
  <c r="C88" i="3"/>
  <c r="E94" i="3" s="1"/>
  <c r="E95" i="3"/>
  <c r="D68" i="3"/>
  <c r="F73" i="3" s="1"/>
  <c r="F74" i="3"/>
  <c r="E160" i="3" l="1"/>
  <c r="E162" i="3" s="1"/>
  <c r="E174" i="3" s="1"/>
  <c r="D69" i="3"/>
  <c r="E72" i="3" s="1"/>
  <c r="E176" i="3" l="1"/>
  <c r="E213" i="3" s="1"/>
  <c r="E215" i="3" s="1"/>
  <c r="E217" i="3" s="1"/>
  <c r="E172" i="3"/>
  <c r="F178" i="3" s="1"/>
  <c r="E54" i="6" l="1"/>
  <c r="D121" i="8"/>
  <c r="D123" i="8" l="1"/>
  <c r="E118" i="8"/>
  <c r="E123" i="8" s="1"/>
  <c r="E121" i="8" s="1"/>
  <c r="E125" i="8" s="1"/>
  <c r="E127" i="8" l="1"/>
  <c r="E133" i="8" s="1"/>
  <c r="F134" i="8"/>
  <c r="E55" i="20" l="1"/>
  <c r="E41" i="25" l="1"/>
  <c r="E40" i="25"/>
  <c r="E42" i="25" l="1"/>
  <c r="F29" i="51" l="1"/>
  <c r="C30" i="51" l="1"/>
  <c r="D30" i="51" s="1"/>
  <c r="F40" i="51"/>
  <c r="F30" i="51" l="1"/>
  <c r="C31" i="51" s="1"/>
  <c r="D31" i="51" s="1"/>
  <c r="F31" i="51" s="1"/>
  <c r="C32" i="51" s="1"/>
  <c r="D32" i="51" s="1"/>
  <c r="F32" i="51" l="1"/>
  <c r="C33" i="51" s="1"/>
  <c r="D33" i="51" s="1"/>
  <c r="F33" i="5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<sst xmlns="http://schemas.openxmlformats.org/spreadsheetml/2006/main" count="5613" uniqueCount="3230">
  <si>
    <t>Main</t>
  </si>
  <si>
    <t>AMQ38</t>
  </si>
  <si>
    <t>AMQ35</t>
  </si>
  <si>
    <t>Module</t>
  </si>
  <si>
    <t>Nesbo</t>
  </si>
  <si>
    <t>YE</t>
  </si>
  <si>
    <t>two new contracts</t>
  </si>
  <si>
    <t>finance manager unsure if therse constitute leases</t>
  </si>
  <si>
    <t>consider the impairments in appx 3</t>
  </si>
  <si>
    <t>R1</t>
  </si>
  <si>
    <t>workings and JE to account correctly for PPE matters</t>
  </si>
  <si>
    <t xml:space="preserve">depr policy </t>
  </si>
  <si>
    <t>Property</t>
  </si>
  <si>
    <t>SL</t>
  </si>
  <si>
    <t>P&amp;M</t>
  </si>
  <si>
    <t>Belfast factory</t>
  </si>
  <si>
    <t>damages</t>
  </si>
  <si>
    <t>repairs cost</t>
  </si>
  <si>
    <t>repairs completed</t>
  </si>
  <si>
    <t>capitalised</t>
  </si>
  <si>
    <t>admin exp</t>
  </si>
  <si>
    <t>dr</t>
  </si>
  <si>
    <t>HSE guards</t>
  </si>
  <si>
    <t>&lt;&lt;&lt;need to be capitalised as part of HSE requirement</t>
  </si>
  <si>
    <t>HSE installed</t>
  </si>
  <si>
    <t>debited to admin incorrectly.  This will need ot be corrected</t>
  </si>
  <si>
    <t xml:space="preserve"> </t>
  </si>
  <si>
    <t>need to corrct the HSE journal out of admin expenses and into building cost</t>
  </si>
  <si>
    <t>dr - factory cost</t>
  </si>
  <si>
    <t>dr - SPL admin expenses</t>
  </si>
  <si>
    <t>being correction to correctly capitalise the improvement necessitated by health and safety</t>
  </si>
  <si>
    <t>Edinburgh head office</t>
  </si>
  <si>
    <t>FV</t>
  </si>
  <si>
    <t>CA</t>
  </si>
  <si>
    <t>Cost</t>
  </si>
  <si>
    <t>AD</t>
  </si>
  <si>
    <t>dr - SPL impairment loss</t>
  </si>
  <si>
    <t>Liverpool site</t>
  </si>
  <si>
    <t>NCAHFS</t>
  </si>
  <si>
    <t>the boards have decided to sell the asset - agreement at jan22</t>
  </si>
  <si>
    <t>property went on the market at 30/09/2022</t>
  </si>
  <si>
    <t>they have already had interest from potential committed buyers</t>
  </si>
  <si>
    <t>This asset qualifies as a NCAHFS as of 30/09/22</t>
  </si>
  <si>
    <t>this should be reclassified at year end and depreciation not be charged.</t>
  </si>
  <si>
    <t>£'000</t>
  </si>
  <si>
    <t>LCTS</t>
  </si>
  <si>
    <t>FVLCTS</t>
  </si>
  <si>
    <t>dr - NCAHFS</t>
  </si>
  <si>
    <t>cr - cost</t>
  </si>
  <si>
    <t>R2</t>
  </si>
  <si>
    <t>Mankel</t>
  </si>
  <si>
    <t>udeful life</t>
  </si>
  <si>
    <t>months</t>
  </si>
  <si>
    <t>=to the present value of payments due under the contract</t>
  </si>
  <si>
    <t>term</t>
  </si>
  <si>
    <t>annual payment</t>
  </si>
  <si>
    <t>a lease arrangement is certainly in action here</t>
  </si>
  <si>
    <t>a right of use asset will need to be created.</t>
  </si>
  <si>
    <t>and a lease liabilty which will unwind over the term of the lease</t>
  </si>
  <si>
    <t>the finance cost element of the lease will also need to be accouted for</t>
  </si>
  <si>
    <t>this finance element will be equal to th edifference between the nominal value and the PV of future payments over the life of the lease</t>
  </si>
  <si>
    <t>nominal</t>
  </si>
  <si>
    <t>PV</t>
  </si>
  <si>
    <t>finance cost</t>
  </si>
  <si>
    <t>Holt</t>
  </si>
  <si>
    <t xml:space="preserve">This is not a long term leasing arrangement.  </t>
  </si>
  <si>
    <t>we do not have control or possesion of the machines</t>
  </si>
  <si>
    <t>this represents a contract for usage</t>
  </si>
  <si>
    <t>Fixed cost</t>
  </si>
  <si>
    <t>variable cost</t>
  </si>
  <si>
    <t>There is not lease contract here.  But a cost contract does appear to exist.  Can add a CL/NCL elemeent to the  balance sheet to reflect this or just recognise the cost as they accrue</t>
  </si>
  <si>
    <t>as the mojority of the expense is from the incremental variable cost and there is not punishment for failure to meet the contract.  A contract does not exist in this instance.  No adjustments to financial statements needed.</t>
  </si>
  <si>
    <t>R3</t>
  </si>
  <si>
    <t>Helsinki</t>
  </si>
  <si>
    <t>Turku</t>
  </si>
  <si>
    <t>I-NCA</t>
  </si>
  <si>
    <t>tang. NCA</t>
  </si>
  <si>
    <t>GW</t>
  </si>
  <si>
    <t>FVLCOD</t>
  </si>
  <si>
    <t>impairment loss</t>
  </si>
  <si>
    <t>cr - GW</t>
  </si>
  <si>
    <t>Tangible</t>
  </si>
  <si>
    <t xml:space="preserve">restricted IA impairment </t>
  </si>
  <si>
    <t>VU</t>
  </si>
  <si>
    <t>higher of Vu and FVLCOD</t>
  </si>
  <si>
    <t>cr - IA acc Amor.</t>
  </si>
  <si>
    <t>being impairment loss on intangible assets</t>
  </si>
  <si>
    <t>need to take out the future restructuring.  This cannot be included.</t>
  </si>
  <si>
    <t>1,104 - 701</t>
  </si>
  <si>
    <t>higher of VU and FVLCOD</t>
  </si>
  <si>
    <t>dr- SPL impairment loss</t>
  </si>
  <si>
    <t>cr - Turku AD</t>
  </si>
  <si>
    <t>ROUA</t>
  </si>
  <si>
    <t>dr - SPL repairs and maintenance expenses</t>
  </si>
  <si>
    <t>cr - property cost</t>
  </si>
  <si>
    <t>beign correct classification of repairs and maintenacne expense</t>
  </si>
  <si>
    <t>Depreciation</t>
  </si>
  <si>
    <t>dr - property - accumulated depreciation</t>
  </si>
  <si>
    <t>cr - SPL depreciation charge</t>
  </si>
  <si>
    <t>being reduction in depreciation after reclassifying repairs and maintenance</t>
  </si>
  <si>
    <t>&lt;&lt;&lt;got this bit right</t>
  </si>
  <si>
    <t>&lt;&lt;&lt;&lt;missed the journals to correct the main cost in the questoins</t>
  </si>
  <si>
    <t>&lt;&lt;&lt;&lt;and then the journal to depreciate costs which should have been capitalised</t>
  </si>
  <si>
    <t>Depreciation charge</t>
  </si>
  <si>
    <t>months to charge</t>
  </si>
  <si>
    <t>dr - SPL - depreciation charge</t>
  </si>
  <si>
    <t>cr - P&amp;M AD</t>
  </si>
  <si>
    <t>being increase in depreciation after reclassifying safety equipment</t>
  </si>
  <si>
    <t>&lt;&lt;&lt;45 years as this is the remaining life following the revaluation</t>
  </si>
  <si>
    <t>reval increase</t>
  </si>
  <si>
    <t>Theoretical carrying amount had no revaluation occurred</t>
  </si>
  <si>
    <t>Theory CA</t>
  </si>
  <si>
    <t>Allocation of revlauation increase</t>
  </si>
  <si>
    <t>reversal of revaluation decrease to profit or loss</t>
  </si>
  <si>
    <t>revaluatoin increase to revaluation surplus</t>
  </si>
  <si>
    <t>Total revaluatoin increase</t>
  </si>
  <si>
    <t>&lt;&lt;&lt;restricted to theoretical carrying value</t>
  </si>
  <si>
    <t>&lt;&lt;&lt;then the rest goes to the revaluation surplus</t>
  </si>
  <si>
    <t>dr - property - cost</t>
  </si>
  <si>
    <t>dr - property - AD</t>
  </si>
  <si>
    <t>cr - reval surplus</t>
  </si>
  <si>
    <t>cr - SPL - reversal of revaluation decrease</t>
  </si>
  <si>
    <t>being reversal of revaluation decreae and revaluation increasee to revaluation surplus</t>
  </si>
  <si>
    <t>&lt;&lt;&lt;got all this bit right</t>
  </si>
  <si>
    <t>dr - property AD</t>
  </si>
  <si>
    <t>being transfer of property to NCAHFS</t>
  </si>
  <si>
    <t>Depreciation adjustment</t>
  </si>
  <si>
    <t>dr - AD</t>
  </si>
  <si>
    <t>being removal of last three months of depr'n charge after reclassifying property</t>
  </si>
  <si>
    <t>this is a contract for services and any expenses should go directly into SPL</t>
  </si>
  <si>
    <t>Assets are held at the lower of their carrying amount and recoverable amount with the recoverable amount calculated as the higher of the assets' value in use and fair valur less costs of disposal</t>
  </si>
  <si>
    <t>Impairment</t>
  </si>
  <si>
    <t>Allocation</t>
  </si>
  <si>
    <t>the impairment would ordinarily be written off pro-rata:</t>
  </si>
  <si>
    <t>Intang.</t>
  </si>
  <si>
    <t>2890/3490*1303</t>
  </si>
  <si>
    <t>600/3490*1303</t>
  </si>
  <si>
    <t>However, as the individual intangible asset has a fair value of £450k, the maximum impairment that can be written offf to intangible assets is £150k,</t>
  </si>
  <si>
    <t>The remaining impairment must be allocated to tangible NCA and so it will exceed £1079 of apportioned impairment</t>
  </si>
  <si>
    <t>cr - tang AD</t>
  </si>
  <si>
    <t>being recognition of impairment loss when measuring value in use.</t>
  </si>
  <si>
    <t>Impairment of goodwill</t>
  </si>
  <si>
    <t>&lt;&lt;&lt;got down to here all fine for the TURKU section</t>
  </si>
  <si>
    <t>CA incl. GW</t>
  </si>
  <si>
    <t>impairment of GW</t>
  </si>
  <si>
    <t>As the individual factories have been reviewed for impairment already, the remaining impairment must relate to GW</t>
  </si>
  <si>
    <t>being impairment of goodwill over both factories</t>
  </si>
  <si>
    <t>&lt;&lt;&lt;&lt;Chapter 5 needs revisiting.  And goodwilll impairments following asset impairments</t>
  </si>
  <si>
    <t>Smyth LLP</t>
  </si>
  <si>
    <t>1: Accounting principles and the Conceptual Framework</t>
  </si>
  <si>
    <t>2: Presentation of financial statements</t>
  </si>
  <si>
    <t>3: Accounting policies, changes in accounting estimates and errors</t>
  </si>
  <si>
    <t>4: Discontinued operations</t>
  </si>
  <si>
    <t>5: Non-current assets: Property, plant and equipment</t>
  </si>
  <si>
    <t>6: Non-current assets: Investment property</t>
  </si>
  <si>
    <t>7: Non-current assets: Held for sale</t>
  </si>
  <si>
    <t>8: Non-current assets: Leases</t>
  </si>
  <si>
    <t>9: Non-current assets: Intangible assets</t>
  </si>
  <si>
    <t>10: Non-current assets: Impairment</t>
  </si>
  <si>
    <t>11: Inventories</t>
  </si>
  <si>
    <t>12: Financial instruments: Presentation, classification and measurement</t>
  </si>
  <si>
    <t>13: Financial instruments: Impairment of financial assets</t>
  </si>
  <si>
    <t>14: Financial instruments: Derecognition</t>
  </si>
  <si>
    <t>15: Share capital</t>
  </si>
  <si>
    <t>16: Retained earnings and distributable profits</t>
  </si>
  <si>
    <t>17: Share-based payment</t>
  </si>
  <si>
    <t>18: Employee benefits</t>
  </si>
  <si>
    <t>19: Taxation: Current tax</t>
  </si>
  <si>
    <t>20: Taxation: Deferred tax</t>
  </si>
  <si>
    <t>21: Provisions, contingent liabilities and contingent assets</t>
  </si>
  <si>
    <t>22: Events after the reporting period</t>
  </si>
  <si>
    <t>23: Revenue from contracts with customers</t>
  </si>
  <si>
    <t>24: Statement of cash flows</t>
  </si>
  <si>
    <t>26: Consolidated financial statements: Acquisition accounting</t>
  </si>
  <si>
    <t>27: Consolidated financial statements: Intercompany transactions and balances</t>
  </si>
  <si>
    <t>28: Consolidated financial statements: Fair values and goodwill</t>
  </si>
  <si>
    <t>29: Consolidated financial statements: Changes in ownership</t>
  </si>
  <si>
    <t>31: Consolidated financial statements: Associates and joint ventures</t>
  </si>
  <si>
    <t>32: Consolidated financial statements: Accounting requirements</t>
  </si>
  <si>
    <t>35: Disclosure: Statement of profit or loss and other comprehensive income</t>
  </si>
  <si>
    <t>37: Disclosure: Corporate Reporting</t>
  </si>
  <si>
    <t>0: Assumed knowledge</t>
  </si>
  <si>
    <t>inventories and journals required</t>
  </si>
  <si>
    <t>Standard cost</t>
  </si>
  <si>
    <t>adjustments</t>
  </si>
  <si>
    <t>gen admin</t>
  </si>
  <si>
    <t>SGA</t>
  </si>
  <si>
    <t>Variable</t>
  </si>
  <si>
    <t>D. mat</t>
  </si>
  <si>
    <t>d. lab</t>
  </si>
  <si>
    <t>d - exp</t>
  </si>
  <si>
    <t>Fixed</t>
  </si>
  <si>
    <t>P. o/h</t>
  </si>
  <si>
    <t>closing inventories</t>
  </si>
  <si>
    <t>unadjusted standard cost</t>
  </si>
  <si>
    <t>adjusted standard cost</t>
  </si>
  <si>
    <t>reduction in inventory value</t>
  </si>
  <si>
    <t>cr - inventory FG</t>
  </si>
  <si>
    <t>variances</t>
  </si>
  <si>
    <t>A</t>
  </si>
  <si>
    <t>F</t>
  </si>
  <si>
    <t>d mat</t>
  </si>
  <si>
    <t>d lab</t>
  </si>
  <si>
    <t>d exp</t>
  </si>
  <si>
    <t>var/unit</t>
  </si>
  <si>
    <t>abnormal var</t>
  </si>
  <si>
    <t>total d mat</t>
  </si>
  <si>
    <t>adj. d mat</t>
  </si>
  <si>
    <t>throughtout year</t>
  </si>
  <si>
    <t>throughout the year</t>
  </si>
  <si>
    <t>production is 200 units per month from april to end of august</t>
  </si>
  <si>
    <t>then 300 pm to YE</t>
  </si>
  <si>
    <t>only need to condise the 300 untis per month figure as the closing inventory is 450 so represent prioduction from mid-Feb to end of March</t>
  </si>
  <si>
    <t>cost</t>
  </si>
  <si>
    <t>NRV</t>
  </si>
  <si>
    <t>retail</t>
  </si>
  <si>
    <t>uniot</t>
  </si>
  <si>
    <t>Closing inventory</t>
  </si>
  <si>
    <t>recvoerable amount</t>
  </si>
  <si>
    <t>no adjustment to carry amount needed</t>
  </si>
  <si>
    <t>Journals</t>
  </si>
  <si>
    <t>dr - admin expense</t>
  </si>
  <si>
    <t>being correction of SGA costs incorrectly included in inventory cost and write down of inventory carry amount</t>
  </si>
  <si>
    <t>Vibee</t>
  </si>
  <si>
    <t>admin</t>
  </si>
  <si>
    <t>rent</t>
  </si>
  <si>
    <t>depr</t>
  </si>
  <si>
    <t>power</t>
  </si>
  <si>
    <t>Power</t>
  </si>
  <si>
    <t>p exp</t>
  </si>
  <si>
    <t>adjusted</t>
  </si>
  <si>
    <t>&lt;&lt;&lt;5% of rent is SGA</t>
  </si>
  <si>
    <t>derp</t>
  </si>
  <si>
    <t>&lt;&lt;&lt;non-prodcution rent (10%)</t>
  </si>
  <si>
    <t>&lt;&lt;&lt;non allowable.  260k relates to production so it allowable</t>
  </si>
  <si>
    <t>p expe</t>
  </si>
  <si>
    <t>selling cost</t>
  </si>
  <si>
    <t>Direct cost</t>
  </si>
  <si>
    <t>actual prod</t>
  </si>
  <si>
    <t>budget</t>
  </si>
  <si>
    <t>need to use actual numbers.  To use the budgeted production as the denominator would lead to an overstatement of inventory</t>
  </si>
  <si>
    <t>up to feb 23</t>
  </si>
  <si>
    <t>retial</t>
  </si>
  <si>
    <t>from feb 23</t>
  </si>
  <si>
    <t>units</t>
  </si>
  <si>
    <t>monthly actual productoin</t>
  </si>
  <si>
    <t>so all closing inventories have been incurred in March therefore the only selling price we need to consider is £117.</t>
  </si>
  <si>
    <t xml:space="preserve">unit cost </t>
  </si>
  <si>
    <t>£</t>
  </si>
  <si>
    <t>recoverable amount</t>
  </si>
  <si>
    <t>being reduction in inventory under IFRS, and correction of expenses incurred.</t>
  </si>
  <si>
    <t>inventory</t>
  </si>
  <si>
    <t>31/9/22</t>
  </si>
  <si>
    <t>FIFO</t>
  </si>
  <si>
    <t>Gen admin, overhead and distriubtion costs are not permitted costs under IAS 2 inventories</t>
  </si>
  <si>
    <t>standard costs should be adjusted for variances relating to closing inventoreis unless they relate to abnormal events</t>
  </si>
  <si>
    <t>the selling and distribution variance is irrelevant in arriving at the cost of inventories as the underlying expense is not permitted.</t>
  </si>
  <si>
    <t>D mat variance</t>
  </si>
  <si>
    <t>Selling and distribution</t>
  </si>
  <si>
    <t>units sold</t>
  </si>
  <si>
    <t>variances are applied to the total standard cost rather than just the fixed costs</t>
  </si>
  <si>
    <t>Variance</t>
  </si>
  <si>
    <t>Selling price</t>
  </si>
  <si>
    <t>VAT</t>
  </si>
  <si>
    <t>Selling cost</t>
  </si>
  <si>
    <t>Restrcitic on fixed costs</t>
  </si>
  <si>
    <t>total allowable costs of production</t>
  </si>
  <si>
    <t>Less Selling cost</t>
  </si>
  <si>
    <t>dr - inventories</t>
  </si>
  <si>
    <t>cr  - SPL cost of sale</t>
  </si>
  <si>
    <t>It is permissable under IAS 2 Inventories to use either the FIFO method or the average cost method</t>
  </si>
  <si>
    <t># of Units Sold</t>
  </si>
  <si>
    <t>&lt;&lt;&lt;Watch out for cut off dates</t>
  </si>
  <si>
    <t>Purchase Date</t>
  </si>
  <si>
    <t>Units Purchased</t>
  </si>
  <si>
    <t>Price per Unit</t>
  </si>
  <si>
    <t>Cost of Goods Purchased</t>
  </si>
  <si>
    <t>Units Sold</t>
  </si>
  <si>
    <t>Units Remaining</t>
  </si>
  <si>
    <t>Cost of Goods Sold</t>
  </si>
  <si>
    <t>Inventory Value</t>
  </si>
  <si>
    <t>Total</t>
  </si>
  <si>
    <t>Average cost</t>
  </si>
  <si>
    <t>Cost of goods purchase</t>
  </si>
  <si>
    <t>units purchased</t>
  </si>
  <si>
    <t>Closing inventoru</t>
  </si>
  <si>
    <t>Decrease in inventories and profit</t>
  </si>
  <si>
    <t>&lt;&lt;&lt;if this is a negative number then there is an increase in inventories and profit</t>
  </si>
  <si>
    <t>dr - COGS</t>
  </si>
  <si>
    <t>cr - RM</t>
  </si>
  <si>
    <t>bit sketchy in places.   Need to work on inventory variances.  Revenues mostly ok.  Have created a solver for FIFO and AVCO now so that is taken care of.</t>
  </si>
  <si>
    <t>Sally Supermarkets</t>
  </si>
  <si>
    <t>monthly straight line</t>
  </si>
  <si>
    <t>investment property under fair value model</t>
  </si>
  <si>
    <t>useful life</t>
  </si>
  <si>
    <t>residual value</t>
  </si>
  <si>
    <t>moved from PPE to investment property</t>
  </si>
  <si>
    <t>journals to correct</t>
  </si>
  <si>
    <t>dr - SPL depr</t>
  </si>
  <si>
    <t>cr -property AD</t>
  </si>
  <si>
    <t>months to charge PPE depreciation</t>
  </si>
  <si>
    <t>months to YE</t>
  </si>
  <si>
    <t>NBV</t>
  </si>
  <si>
    <t>revaluation increase</t>
  </si>
  <si>
    <t>cr - reval reserve</t>
  </si>
  <si>
    <t>dr - investment property</t>
  </si>
  <si>
    <t>dr - PPE Cost</t>
  </si>
  <si>
    <t>cr - PPE AD</t>
  </si>
  <si>
    <t>being revaluation of PPE and transfer to investment property as the change of use made form being used in the business to being let out as investments</t>
  </si>
  <si>
    <t>depreciation charge up to 30/04/22</t>
  </si>
  <si>
    <t>dr - SPL depr charge</t>
  </si>
  <si>
    <t>cr- PPE AD</t>
  </si>
  <si>
    <t>being correct depreciation charge</t>
  </si>
  <si>
    <t>cr - depr</t>
  </si>
  <si>
    <t>dr - Property AD</t>
  </si>
  <si>
    <t>550*5/600</t>
  </si>
  <si>
    <t>Investmemt propery</t>
  </si>
  <si>
    <t>fV increase</t>
  </si>
  <si>
    <t>recognise the increase as fair value model used to value investment property</t>
  </si>
  <si>
    <t>cr - SPL FV revaluatioin gain</t>
  </si>
  <si>
    <t>being increase in fair value of investment property</t>
  </si>
  <si>
    <t>Stirling</t>
  </si>
  <si>
    <t>Edinburgh</t>
  </si>
  <si>
    <t>No depreciation charge as FV model used</t>
  </si>
  <si>
    <t>refurb cost</t>
  </si>
  <si>
    <t>F&amp;F</t>
  </si>
  <si>
    <t>HSE</t>
  </si>
  <si>
    <t>staff training</t>
  </si>
  <si>
    <t>adjustment</t>
  </si>
  <si>
    <t>training costs cannot be capitalised</t>
  </si>
  <si>
    <t>HSE required expenditure can be capitalised</t>
  </si>
  <si>
    <t>revised refurb cost</t>
  </si>
  <si>
    <t>New F&amp;F</t>
  </si>
  <si>
    <t>Old F&amp;F</t>
  </si>
  <si>
    <t>proceeds</t>
  </si>
  <si>
    <t>cr - PPE</t>
  </si>
  <si>
    <t>dr - bank</t>
  </si>
  <si>
    <t>incorrect deprn jounrla</t>
  </si>
  <si>
    <t>343-5 * 9/180</t>
  </si>
  <si>
    <t>dr - SPL derp</t>
  </si>
  <si>
    <t>cr - F&amp;F</t>
  </si>
  <si>
    <t>cr - F&amp;F AD</t>
  </si>
  <si>
    <t>payments recorded in suspense account</t>
  </si>
  <si>
    <t>dr - suspense</t>
  </si>
  <si>
    <t>cr - bank</t>
  </si>
  <si>
    <t>receipts</t>
  </si>
  <si>
    <t>cr - SPL other income</t>
  </si>
  <si>
    <t>need to do the disposal</t>
  </si>
  <si>
    <t>then the acquisitoin</t>
  </si>
  <si>
    <t>then the correcting journals</t>
  </si>
  <si>
    <t>diposal</t>
  </si>
  <si>
    <t>dr - loss on sale</t>
  </si>
  <si>
    <t>Loss on salr</t>
  </si>
  <si>
    <t>dr SPL</t>
  </si>
  <si>
    <t>dr - SPL other income</t>
  </si>
  <si>
    <t>being the loss on disposal of old F&amp;F and correction of original posting</t>
  </si>
  <si>
    <t>acquisition</t>
  </si>
  <si>
    <t>dr - F&amp;F cost</t>
  </si>
  <si>
    <t>dr - SPL training</t>
  </si>
  <si>
    <t>cr - suspense</t>
  </si>
  <si>
    <t>correct depreciation charge for new assets</t>
  </si>
  <si>
    <t>dr - SPL charge</t>
  </si>
  <si>
    <t>Dr - F&amp;F AD</t>
  </si>
  <si>
    <t>no depr on training as SPL expense</t>
  </si>
  <si>
    <t>Office equipment</t>
  </si>
  <si>
    <t>commencement</t>
  </si>
  <si>
    <t>payments</t>
  </si>
  <si>
    <t>pa in advance</t>
  </si>
  <si>
    <t>first payment</t>
  </si>
  <si>
    <t>initial direct cost</t>
  </si>
  <si>
    <t xml:space="preserve">interest </t>
  </si>
  <si>
    <t>pa</t>
  </si>
  <si>
    <t>PV factor</t>
  </si>
  <si>
    <t>dr - SPL - lease charges</t>
  </si>
  <si>
    <t>cr - cash</t>
  </si>
  <si>
    <t>payment</t>
  </si>
  <si>
    <t>interest</t>
  </si>
  <si>
    <t>Lease payable</t>
  </si>
  <si>
    <t>dr - ROUA</t>
  </si>
  <si>
    <t>cr - lease payable</t>
  </si>
  <si>
    <t>cr - lease charges</t>
  </si>
  <si>
    <t>being correction of incorrect recognition of lease</t>
  </si>
  <si>
    <t>Depreciation of ROUA</t>
  </si>
  <si>
    <t>lesser of term and useful life</t>
  </si>
  <si>
    <t>depr - charge</t>
  </si>
  <si>
    <t>cr - ROUA AD</t>
  </si>
  <si>
    <t>being depr charge for the year on ROUA</t>
  </si>
  <si>
    <t>15185*12/60</t>
  </si>
  <si>
    <t>closing lease payable</t>
  </si>
  <si>
    <t>opening lease payable</t>
  </si>
  <si>
    <t>Finance cost</t>
  </si>
  <si>
    <t>CL</t>
  </si>
  <si>
    <t>NCL</t>
  </si>
  <si>
    <t>Glasgow Supermarkets</t>
  </si>
  <si>
    <t>Shares</t>
  </si>
  <si>
    <t>higher of FVLCTS and VU</t>
  </si>
  <si>
    <t>Central</t>
  </si>
  <si>
    <t>East</t>
  </si>
  <si>
    <t>West</t>
  </si>
  <si>
    <t>impairment</t>
  </si>
  <si>
    <t>Going to impair the East and West supermarkets to their recoverable amounts</t>
  </si>
  <si>
    <t>Will impair to GW first but are limited to £550k as this is the overall impairment</t>
  </si>
  <si>
    <t>the remaining impairment will have to go to AD</t>
  </si>
  <si>
    <t>Carrying amount of cash-generating units</t>
  </si>
  <si>
    <t>Impairment of cash-generating units</t>
  </si>
  <si>
    <t>Goodwill</t>
  </si>
  <si>
    <t>Carrying amount prior to impairment of goodwill</t>
  </si>
  <si>
    <t>Recoverable amount of cash-generating units</t>
  </si>
  <si>
    <t>being impairment of Glasgow Supermarkets</t>
  </si>
  <si>
    <t>being depreciation on F&amp;F purchase and HSE training</t>
  </si>
  <si>
    <t>dr - finance cahrge</t>
  </si>
  <si>
    <t>cr - lease lease payable</t>
  </si>
  <si>
    <t>being effective interest incurred for the year ended 31/12/22</t>
  </si>
  <si>
    <t>Good job on this one.  Definitely &gt;50% of marks achieved.</t>
  </si>
  <si>
    <t>being correction to refurbishmen expenditure</t>
  </si>
  <si>
    <t>3.037*5k</t>
  </si>
  <si>
    <t>lease liab plus payments made in advance plus the direct cost</t>
  </si>
  <si>
    <t>Diamond Sharp Ltd</t>
  </si>
  <si>
    <t>explanations, workings and journal entries</t>
  </si>
  <si>
    <t>Pep's</t>
  </si>
  <si>
    <t>contract entered</t>
  </si>
  <si>
    <t>delivery</t>
  </si>
  <si>
    <t>either</t>
  </si>
  <si>
    <t>on delivery</t>
  </si>
  <si>
    <t>or</t>
  </si>
  <si>
    <t>per 6m</t>
  </si>
  <si>
    <t>cr - Inventory</t>
  </si>
  <si>
    <t>so there is a nominal price and a financing element here</t>
  </si>
  <si>
    <t>Dr - AR</t>
  </si>
  <si>
    <t>cr - revenue</t>
  </si>
  <si>
    <t>cr - finance income</t>
  </si>
  <si>
    <t>Finance element</t>
  </si>
  <si>
    <t>months later</t>
  </si>
  <si>
    <t>6/30 * 175k</t>
  </si>
  <si>
    <t>finance income to YE</t>
  </si>
  <si>
    <t>being stand alone selling price recognised on the delivery of the machine and finance income for the six months to 31/02/2022</t>
  </si>
  <si>
    <t>Premium</t>
  </si>
  <si>
    <t>contract date</t>
  </si>
  <si>
    <t>silver price</t>
  </si>
  <si>
    <t>£/oz</t>
  </si>
  <si>
    <t>incentive</t>
  </si>
  <si>
    <t>oz</t>
  </si>
  <si>
    <t>incentive price</t>
  </si>
  <si>
    <t>refund issues in subsequent year</t>
  </si>
  <si>
    <t>exactly 100k ounces ordered in YE 31/12/22</t>
  </si>
  <si>
    <t>dr - AR</t>
  </si>
  <si>
    <t>cr - Rev</t>
  </si>
  <si>
    <t>cr - AR</t>
  </si>
  <si>
    <t>need to create a refund liability as we are going to have to pay premium back £1/oz for the 100k ounces they bought</t>
  </si>
  <si>
    <t>cr - refund liability</t>
  </si>
  <si>
    <t>dr - revenue</t>
  </si>
  <si>
    <t>Smitherby</t>
  </si>
  <si>
    <t>sold to Smitherby</t>
  </si>
  <si>
    <t>services from Smitherby</t>
  </si>
  <si>
    <t>COGS to Smitherby</t>
  </si>
  <si>
    <t>no accounting has taken place</t>
  </si>
  <si>
    <t>cr - rev</t>
  </si>
  <si>
    <t>cr - inventory</t>
  </si>
  <si>
    <t>establish the transaction price</t>
  </si>
  <si>
    <t>FV of the non-cash consideration</t>
  </si>
  <si>
    <t>COS is also the cost of the exchanged goods</t>
  </si>
  <si>
    <t>Dr - SPL valuation services</t>
  </si>
  <si>
    <t>cr - SPL revenue</t>
  </si>
  <si>
    <t>being revenue recognised at the fair value of services received and corresponding expense</t>
  </si>
  <si>
    <t>Dr - SPL COS</t>
  </si>
  <si>
    <t>cr - inventories</t>
  </si>
  <si>
    <t>being the cost of the exchanged goods</t>
  </si>
  <si>
    <t>Rubinrot GmbH</t>
  </si>
  <si>
    <t>entered</t>
  </si>
  <si>
    <t>invoice in Euro</t>
  </si>
  <si>
    <t>correctly accounted</t>
  </si>
  <si>
    <t>dr - spl COGS</t>
  </si>
  <si>
    <t>FX</t>
  </si>
  <si>
    <t>EUR/GBP</t>
  </si>
  <si>
    <t>rev and AR at transaction date</t>
  </si>
  <si>
    <t>EUR</t>
  </si>
  <si>
    <t>GBP</t>
  </si>
  <si>
    <t>rev and AR at YE</t>
  </si>
  <si>
    <t>cr - gain on FX</t>
  </si>
  <si>
    <t>dr AR</t>
  </si>
  <si>
    <t>being increase to AR and gain on FX due to currency movements from transaction date to YE</t>
  </si>
  <si>
    <t>Smartcuts</t>
  </si>
  <si>
    <t>trans. Date</t>
  </si>
  <si>
    <t>bonus</t>
  </si>
  <si>
    <t>dr - contract asset</t>
  </si>
  <si>
    <t>being recognition of likely bonus due based on performance of machine</t>
  </si>
  <si>
    <t>The transaction price includes a significant financing component</t>
  </si>
  <si>
    <t>There is no evidence the variable consideration will be reversed,  it must be esimated and included in the transaction price</t>
  </si>
  <si>
    <t>Diamond was entitled to 12/oz up to 100k oz so correctly invoiced for this amount</t>
  </si>
  <si>
    <t>being prov'n for refunds which will have to be paid out.  And reduction in revenue recognised at year end</t>
  </si>
  <si>
    <t>goods are exchanged for services, there is commercial substance to this agreement</t>
  </si>
  <si>
    <t>determined to be the the Fv of the valuation services received</t>
  </si>
  <si>
    <t>The AR balance is a foreign currency monetary asset and must be retranslated at the year end</t>
  </si>
  <si>
    <t>the foreign currency gain</t>
  </si>
  <si>
    <t>the transaction price includes a variable consideration -  the performance bonues</t>
  </si>
  <si>
    <t>most lilkey outcome should be used</t>
  </si>
  <si>
    <t>most likely that as at YE, the conditions are met</t>
  </si>
  <si>
    <t>AMQ17</t>
  </si>
  <si>
    <t>AMQ18</t>
  </si>
  <si>
    <t>Powertools</t>
  </si>
  <si>
    <t>The omission to not account for payroll will mean overstating bank and understating expenses</t>
  </si>
  <si>
    <t>this will make the total asset and total profits appear higher than is accurate</t>
  </si>
  <si>
    <t>correcting journals</t>
  </si>
  <si>
    <t>Profit share scheme accrual</t>
  </si>
  <si>
    <t>entitlement</t>
  </si>
  <si>
    <t>EE count</t>
  </si>
  <si>
    <t>leavers</t>
  </si>
  <si>
    <t>opening EE count</t>
  </si>
  <si>
    <t>average gross salary</t>
  </si>
  <si>
    <t>pp</t>
  </si>
  <si>
    <t>NIC applies to the profit share payment</t>
  </si>
  <si>
    <t>ER pension scheme contrib</t>
  </si>
  <si>
    <t>EE pension scheme contrib</t>
  </si>
  <si>
    <t>ER NIC</t>
  </si>
  <si>
    <t>EE NIC</t>
  </si>
  <si>
    <t>Net salaries paid</t>
  </si>
  <si>
    <t>Eligible Ees</t>
  </si>
  <si>
    <t>ineligible Ees whoi joined during the year</t>
  </si>
  <si>
    <t>Expectation of EE's to leave before bonues</t>
  </si>
  <si>
    <t>EE to leave before bonues</t>
  </si>
  <si>
    <t>per month</t>
  </si>
  <si>
    <t>Eligible EE for YE 31/5/22</t>
  </si>
  <si>
    <t>Bonus</t>
  </si>
  <si>
    <t>Required profit-share scheme accrual</t>
  </si>
  <si>
    <t>Profit share scheeme accrual recognised</t>
  </si>
  <si>
    <t>increase in profit share scheme accrual</t>
  </si>
  <si>
    <t>dr - SPL staff cost</t>
  </si>
  <si>
    <t>cr - accrued expenses</t>
  </si>
  <si>
    <t>being increase in profit share scheme accrual</t>
  </si>
  <si>
    <t>Salaries</t>
  </si>
  <si>
    <t>deduction s from EE salaries and ER contributions</t>
  </si>
  <si>
    <t>HMRC payable</t>
  </si>
  <si>
    <t>EE pension</t>
  </si>
  <si>
    <t>ER pension</t>
  </si>
  <si>
    <t>Explanations and advice</t>
  </si>
  <si>
    <t>The omission of deductions from EE salary and ER contributions has led to an understaement of oth staff costs in th eSPL and the relateed liabilities on the SOFP</t>
  </si>
  <si>
    <t>dr - staff cost</t>
  </si>
  <si>
    <t>cr - HMRC payable</t>
  </si>
  <si>
    <t>cr - pension liability</t>
  </si>
  <si>
    <t>pension liability</t>
  </si>
  <si>
    <t>being correctin to omitted staff costs and related liabilities</t>
  </si>
  <si>
    <t>Smokehead ltd</t>
  </si>
  <si>
    <t>explain, workings and journals</t>
  </si>
  <si>
    <t>Patent</t>
  </si>
  <si>
    <t>AA</t>
  </si>
  <si>
    <t>original useful life</t>
  </si>
  <si>
    <t>updated useful life</t>
  </si>
  <si>
    <t>so this is definitely intagnible asset.  It is seperable and known and will provide future economic benfeift</t>
  </si>
  <si>
    <t>recognise the amortisation pre-reval and then post-reval</t>
  </si>
  <si>
    <t>pre-reval</t>
  </si>
  <si>
    <t>post-reval</t>
  </si>
  <si>
    <t>dr - SPL amortisation</t>
  </si>
  <si>
    <t>cr - acc'd amortisation</t>
  </si>
  <si>
    <t>being recognition of change in estimate for amortisation of intangible asset</t>
  </si>
  <si>
    <t>600*6/24</t>
  </si>
  <si>
    <t>1000k*6/120</t>
  </si>
  <si>
    <t>Development cost</t>
  </si>
  <si>
    <t>finalisation cost</t>
  </si>
  <si>
    <t>safety testing</t>
  </si>
  <si>
    <t>new prodn equipment</t>
  </si>
  <si>
    <t>legal fees for patent</t>
  </si>
  <si>
    <t>cost of stall at trade fair</t>
  </si>
  <si>
    <t>cost for final protype</t>
  </si>
  <si>
    <t>recruit new dev mgr</t>
  </si>
  <si>
    <t>R&amp;D protoypes</t>
  </si>
  <si>
    <t>june</t>
  </si>
  <si>
    <t>jan</t>
  </si>
  <si>
    <t>feb</t>
  </si>
  <si>
    <t>may</t>
  </si>
  <si>
    <t>jul</t>
  </si>
  <si>
    <t>aug</t>
  </si>
  <si>
    <t>adjust for disallowed development expenses</t>
  </si>
  <si>
    <t>research cannot be captialised into an intangible asset</t>
  </si>
  <si>
    <t>once and asset it as the development stage it can be classified as an intangible asset</t>
  </si>
  <si>
    <t>all cost incurred to completion within the year so no cut-off for date needed</t>
  </si>
  <si>
    <t>directly attributable cost</t>
  </si>
  <si>
    <t>as emplyed just for this IA.  Then can be capitalised as part of cost</t>
  </si>
  <si>
    <t>advertising and promotion cost cannot be capitalised</t>
  </si>
  <si>
    <t>patent fees definitely allowed</t>
  </si>
  <si>
    <t>allowed as used to create to IA</t>
  </si>
  <si>
    <t>Adjusted capital cost</t>
  </si>
  <si>
    <t>dr - SPL admin exp</t>
  </si>
  <si>
    <t>cr - IA cost</t>
  </si>
  <si>
    <t>cr - development cost</t>
  </si>
  <si>
    <t>to correct the disallowed marketing expense which was incorrectly capitalised</t>
  </si>
  <si>
    <t>dr - IA cost</t>
  </si>
  <si>
    <t>recognition of intangible asset</t>
  </si>
  <si>
    <t>Oven dev</t>
  </si>
  <si>
    <t>started</t>
  </si>
  <si>
    <t>completed</t>
  </si>
  <si>
    <t>HFS date</t>
  </si>
  <si>
    <t>the IA become held for sale at 31/5/2022 as a serious offer to buy was made.  The asset will be sold in the next 12 months so it is reasonable to carry this asset as held for sale</t>
  </si>
  <si>
    <t>IA</t>
  </si>
  <si>
    <t>dr - IA HFS</t>
  </si>
  <si>
    <t>movement to AHFS from IA as at 31/5/22.  Only these costs had been incurred to this point</t>
  </si>
  <si>
    <t>dr - AHFS</t>
  </si>
  <si>
    <t>cr - Balance sheet</t>
  </si>
  <si>
    <t>being increase to FV of AHFS at year end following remaining development costs</t>
  </si>
  <si>
    <t>6.  Patent</t>
  </si>
  <si>
    <t>internally generated IA cannot be capitalised until sold</t>
  </si>
  <si>
    <t>7.  Prodn equipment</t>
  </si>
  <si>
    <t xml:space="preserve">useful life </t>
  </si>
  <si>
    <t>PPE</t>
  </si>
  <si>
    <t>IA amor'n</t>
  </si>
  <si>
    <t>PPE depr'n</t>
  </si>
  <si>
    <t>Dr  -amortisation</t>
  </si>
  <si>
    <t>dr - depr</t>
  </si>
  <si>
    <t>cr - acc'd amor</t>
  </si>
  <si>
    <t>being split of amortisation and depreciation for the productoin  equipment purchased</t>
  </si>
  <si>
    <t>Antrim</t>
  </si>
  <si>
    <t>Down</t>
  </si>
  <si>
    <t>Tyrone</t>
  </si>
  <si>
    <t>head office</t>
  </si>
  <si>
    <t>IA NBV</t>
  </si>
  <si>
    <t>AMQ42</t>
  </si>
  <si>
    <t>Pro rating</t>
  </si>
  <si>
    <t>Restriction</t>
  </si>
  <si>
    <t>Intangible</t>
  </si>
  <si>
    <t>restrict IA impairmetn to the attributable IA imapairment</t>
  </si>
  <si>
    <t>Total PPE Impairment</t>
  </si>
  <si>
    <t>Total IA impairment</t>
  </si>
  <si>
    <t>Total impairment</t>
  </si>
  <si>
    <t>dr - SPL impairment</t>
  </si>
  <si>
    <t>cr - IA AD</t>
  </si>
  <si>
    <t>being impairment of three divisions and goodwill</t>
  </si>
  <si>
    <t xml:space="preserve">Pro-rate in terms of the PPE to IA.  </t>
  </si>
  <si>
    <t xml:space="preserve">Then restrict the IA by the individual amount. </t>
  </si>
  <si>
    <t>The rest goes back to AD</t>
  </si>
  <si>
    <t>Investment property measured at fair value</t>
  </si>
  <si>
    <t>all other PPE measured at depreciated historical cost</t>
  </si>
  <si>
    <t>other entitie use FV to value property</t>
  </si>
  <si>
    <t>Historical depreciated cost</t>
  </si>
  <si>
    <t>the asset is held at cost and a depreciation charge is recognised on this asset and charged aginst taxable profits through the statement of profit and loss.</t>
  </si>
  <si>
    <t>for assets such as property which have very long useful lives and a commonly refurbished to extend the useful life.  It is common to mark the asset to the market fair price</t>
  </si>
  <si>
    <t>when assets are held at fair value, depreciation is not charged but the asset must undergo annual revaluatoins by and independent valuer.</t>
  </si>
  <si>
    <t>benefits to holding at fair value</t>
  </si>
  <si>
    <t>always have an accurate and recent vlauatoin for porperty</t>
  </si>
  <si>
    <t>do not have to depreciate property so have higher profits</t>
  </si>
  <si>
    <t>impariments on property can come suddenly is th emarket value drops - this if often due to external factors beyond the control of the company</t>
  </si>
  <si>
    <t>Fair value is the price which would be received to sell and asset in an orderly transactoin between two market participants at the measurement date</t>
  </si>
  <si>
    <t>takes into account the changing value of an asset from a seller's perspective throuhg recording any unreaslied gains or losses as they arise</t>
  </si>
  <si>
    <t>four enhancing qualitative characteristics in the Conceptual Framework for Financial reporting are comparability, verifiability, timeliness and understandibility</t>
  </si>
  <si>
    <t>one of the advangtages of having all property measured at FV is it would allow Storm to compare simliar assets held wihtin the company more easily and would also enable the compnay to have greater comparability with other companies in the same industry</t>
  </si>
  <si>
    <t>verifiability</t>
  </si>
  <si>
    <t>cost and usegul life is arguabluy more verifiable as based off solid documenteatoin such as purchased price and the only guess work is around estimated usefyl life.  FV would rely on more asssumptions and jusgements</t>
  </si>
  <si>
    <t>but provided an dindepenedant professional appraiser was used to claue the porperyies then is should be realiable enough</t>
  </si>
  <si>
    <t>FV is arguable more understandable than DHC</t>
  </si>
  <si>
    <t>AMQ20</t>
  </si>
  <si>
    <t>relevance</t>
  </si>
  <si>
    <t>faithful represenation</t>
  </si>
  <si>
    <t>accruals basis of accounting</t>
  </si>
  <si>
    <t>information used in the financial sattemetns needs to be relevant financial information</t>
  </si>
  <si>
    <t>faithful representation means financial statements should present a true and fair assesment of the finances of a company.  They should be prepared to the highest standard of accuracy</t>
  </si>
  <si>
    <t>accruals baisis of accounting is the idea that icome and expenses should be recognised in the period they occour rather than when cash is exchange.  This conecept alllws accouns to present a true and fair assesment of the financial state of a business</t>
  </si>
  <si>
    <t>relevant information</t>
  </si>
  <si>
    <t>the period the cost was incurrred - as this will be recoded as a purchase and payable account</t>
  </si>
  <si>
    <t>Delivery was when the transaction occoured.  A contract did not exist until title changed hands - this was on th edelivery date</t>
  </si>
  <si>
    <t>so the expense should be recorded in the year ended 30/06/2022</t>
  </si>
  <si>
    <t>this means a payable liability existed at year ended 30/06/2022</t>
  </si>
  <si>
    <t>It is good the invoice was pasid post year end as we know this liabilty was met</t>
  </si>
  <si>
    <t>we need to accrue an expense for the value of the goods received</t>
  </si>
  <si>
    <t>this expense accrual will reverse when we pay the invoice</t>
  </si>
  <si>
    <t>relevant information is capable of making a difference in the decision made by users</t>
  </si>
  <si>
    <t>this the case if it has either or both:</t>
  </si>
  <si>
    <t>predictive value (can help predict future outcomes)</t>
  </si>
  <si>
    <t>confirmatory value (confirms or changes previous evaluations)</t>
  </si>
  <si>
    <t>information is materail if omitting or misttating it could influence the decisions of the primary users</t>
  </si>
  <si>
    <t>Faithful representatoion has three characteristics</t>
  </si>
  <si>
    <t>complete</t>
  </si>
  <si>
    <t>neutral</t>
  </si>
  <si>
    <t>free from error</t>
  </si>
  <si>
    <t>to be complete, financial information must include all informationo necessart for an understanding, including narrative</t>
  </si>
  <si>
    <t>to be neitral, financial information must be selected and presented without bias and spported by prudence</t>
  </si>
  <si>
    <t>to be free from error, financial infomrations must have no errors in processes used or descriptions given (although estimattions can never be perfectly accurate)</t>
  </si>
  <si>
    <t>the expected sale price is also relevant for valuing inventories at the lower of cost and NRV</t>
  </si>
  <si>
    <t>By including the full number of widgets received in inventories using the value on the invoice (third-party evidence) and the full amount of the obligation to pay in creditors, this ensures that the transaction recorded in the financial statements is complete, neutral and free from error.</t>
  </si>
  <si>
    <t>The obligation to pay for those widgets should be recorded as an accrual for the same amount as the invoice was not received until after the year end and has a post year-end date.</t>
  </si>
  <si>
    <t>AMQ22</t>
  </si>
  <si>
    <t>&lt;&lt;&lt;remove from standard cost</t>
  </si>
  <si>
    <t>one-off  /abonormal costs are written off to SPL.  Cannot account for that in standard cost</t>
  </si>
  <si>
    <t>state the obvious.  Inventories must be stated at the lower of cost and net realisable value</t>
  </si>
  <si>
    <t>As cost is lower then NRV, inventories must be recorded at the lower value</t>
  </si>
  <si>
    <t>&lt;&lt;&lt;excluding general admin and SGA costs</t>
  </si>
  <si>
    <t>3 marks right away in stated obvious chat.  Lower of cost NRV.  Abnormal events.  Gen admin and selling cost excluded</t>
  </si>
  <si>
    <t>Briar Ridge</t>
  </si>
  <si>
    <t>explanations, working, JE</t>
  </si>
  <si>
    <t>contract agreed</t>
  </si>
  <si>
    <t>contract price</t>
  </si>
  <si>
    <t xml:space="preserve">does not need to pay until </t>
  </si>
  <si>
    <t xml:space="preserve">contract price includes a financing component of </t>
  </si>
  <si>
    <t>finance expense</t>
  </si>
  <si>
    <t>dr - rev</t>
  </si>
  <si>
    <t>being correction to revnue to account for the financing element of this unusual payment term which has extended more than 12m tso therefore invoices a financing element uner IFRS 23</t>
  </si>
  <si>
    <t>price</t>
  </si>
  <si>
    <t>per unit</t>
  </si>
  <si>
    <t xml:space="preserve">more than </t>
  </si>
  <si>
    <t>the price</t>
  </si>
  <si>
    <t>retrpospectively</t>
  </si>
  <si>
    <t>as the threshold for rebate has been hit we need to adjust our revnue figure down by the amount of the rebate</t>
  </si>
  <si>
    <t>cr - rebate liability</t>
  </si>
  <si>
    <t>being adjustment of revenue to factor in the incentive owes to Maggie as incentives target hit</t>
  </si>
  <si>
    <t>sold 5 dishwashers already</t>
  </si>
  <si>
    <t>being revenue for 5 sales</t>
  </si>
  <si>
    <t>record a normal sales journal.  The refund is accounted for in the above journal</t>
  </si>
  <si>
    <t>Hudson vet care</t>
  </si>
  <si>
    <t>C2C</t>
  </si>
  <si>
    <t>incurred</t>
  </si>
  <si>
    <t>total (est.)</t>
  </si>
  <si>
    <t>labour</t>
  </si>
  <si>
    <t>mat</t>
  </si>
  <si>
    <t>fees</t>
  </si>
  <si>
    <t>associated depr</t>
  </si>
  <si>
    <t>sub contract</t>
  </si>
  <si>
    <t>if before 15/04</t>
  </si>
  <si>
    <t>expected we will qualify for that incentive payment</t>
  </si>
  <si>
    <t>transaction price</t>
  </si>
  <si>
    <t>POC</t>
  </si>
  <si>
    <t>cr - SPL finance income</t>
  </si>
  <si>
    <t>being finance income for the one month to 31/12/2022</t>
  </si>
  <si>
    <t>adjust for disallowed expenditure</t>
  </si>
  <si>
    <t>&lt;&lt;&lt;&lt;general admin disallowed expense</t>
  </si>
  <si>
    <t>revenue not earned should be treated as a contract asset</t>
  </si>
  <si>
    <t>being revenue earned</t>
  </si>
  <si>
    <t>allowable costs to fulfil the contract should have been recorded in COS and not administrative expenses</t>
  </si>
  <si>
    <t>dr - SPL cost of sales</t>
  </si>
  <si>
    <t>cr - SPL admin expenses</t>
  </si>
  <si>
    <t>reallocation of allowable costs to fulfil contract</t>
  </si>
  <si>
    <t>dr - SPL revenue</t>
  </si>
  <si>
    <t>cr - contract asset</t>
  </si>
  <si>
    <t>being correction to record invoice in AR, adjust revenue and correctly reduce the contract asset.</t>
  </si>
  <si>
    <t>AMQ24</t>
  </si>
  <si>
    <t>Affogato Ices</t>
  </si>
  <si>
    <t>Question</t>
  </si>
  <si>
    <t>Marks</t>
  </si>
  <si>
    <t>AMQ23</t>
  </si>
  <si>
    <t>Unbreakable Group</t>
  </si>
  <si>
    <t>explain, working, journals</t>
  </si>
  <si>
    <t>Provision 1</t>
  </si>
  <si>
    <t>Provision</t>
  </si>
  <si>
    <t>opening balance</t>
  </si>
  <si>
    <t>years</t>
  </si>
  <si>
    <t>total useful life</t>
  </si>
  <si>
    <t>obligation not transferable</t>
  </si>
  <si>
    <t>remaining useful life</t>
  </si>
  <si>
    <t>new provision estimate</t>
  </si>
  <si>
    <t>increase to provsions</t>
  </si>
  <si>
    <t>cr - decomm. Provision liability</t>
  </si>
  <si>
    <t>DR</t>
  </si>
  <si>
    <t>dr - finance cost</t>
  </si>
  <si>
    <t>2.  Employeee</t>
  </si>
  <si>
    <t>court case</t>
  </si>
  <si>
    <t>likely to lose</t>
  </si>
  <si>
    <t>probable cash outflow</t>
  </si>
  <si>
    <t>present obligation</t>
  </si>
  <si>
    <t>reliable estimate</t>
  </si>
  <si>
    <t>damages estimtae</t>
  </si>
  <si>
    <t>indidental legal costs</t>
  </si>
  <si>
    <t>cr - legal prov'n</t>
  </si>
  <si>
    <t>being provision for legal cost likely to be paid at year end</t>
  </si>
  <si>
    <t>3. restructuring</t>
  </si>
  <si>
    <t>4. destroyed</t>
  </si>
  <si>
    <t>5. Bad debt</t>
  </si>
  <si>
    <t>This bankruptcy of a key debtor need to be disclosed as a post balance sheet event</t>
  </si>
  <si>
    <t xml:space="preserve">the recvoerablility of asset held at YE has been imparied. </t>
  </si>
  <si>
    <t>this needs to be disclosed and financial impact adjusted for</t>
  </si>
  <si>
    <t>AR</t>
  </si>
  <si>
    <t>invenotry cost</t>
  </si>
  <si>
    <t>non-direct cost</t>
  </si>
  <si>
    <t>The AR value needs to be adjusted to the estimated recvoerable amount - or written off as bad debt</t>
  </si>
  <si>
    <t>reducing assets and profits</t>
  </si>
  <si>
    <t>Inventory needs to be held at the lower of cost and nrv</t>
  </si>
  <si>
    <t>dr  -SPL bad debt</t>
  </si>
  <si>
    <t>Bad debt written off</t>
  </si>
  <si>
    <t>the recvoerabillity of the inventory has been impaired as a key customer has gone beankrupt</t>
  </si>
  <si>
    <t>cpost</t>
  </si>
  <si>
    <t>nrv</t>
  </si>
  <si>
    <t>inventory reval loss</t>
  </si>
  <si>
    <t>dr - SPL COS</t>
  </si>
  <si>
    <t>being write down of inventory to the lower of cost and nrv</t>
  </si>
  <si>
    <t>As the effect of the time value of money is material, the present value of expected ex[penditure is recorded as a provision</t>
  </si>
  <si>
    <t>the obligaroin for decommissionoing cannot be avoided as it is in the planning permission and is not transferable</t>
  </si>
  <si>
    <t>the unwidning of the discount must be calculated first and this represents and finance cost</t>
  </si>
  <si>
    <t>the change in the relaible estimate must be calculated and this represents decommissiong costs, which should be capitalised</t>
  </si>
  <si>
    <t xml:space="preserve">Preovision </t>
  </si>
  <si>
    <t>Unwinding of discount</t>
  </si>
  <si>
    <t>beofre changeq</t>
  </si>
  <si>
    <t>after change</t>
  </si>
  <si>
    <t>Change in estimate</t>
  </si>
  <si>
    <t>dr - Oilwell cost</t>
  </si>
  <si>
    <t>The oil platform fire is an example of a non-adjusting event after the reporting period.</t>
  </si>
  <si>
    <t>Details of the oil platform fire, including the £2,700k estimated loss on plant and equipment and the £705k of damage to the platform, should be disclosed in the notes to the financial statements.</t>
  </si>
  <si>
    <t>Dividends are recognised only if they are declared by the reporting date and, therefore, this is a non-adjusting event after the reporting period.</t>
  </si>
  <si>
    <t>The dividend should be disclosed in the notes to the financial statements along with the amount.</t>
  </si>
  <si>
    <t>6. Dividends</t>
  </si>
  <si>
    <t>Changes in management structure, of which removing a layer of management is an example, constitute restructuring.</t>
  </si>
  <si>
    <t>Although a detailed formal plan exists, a valid expectation has not been created as the line managers were not informed at 31 March 2022 of their redundancy.</t>
  </si>
  <si>
    <t>Therefore, a constructive obligation does not exist and, furthermore, there is no legal obligation to restructure.</t>
  </si>
  <si>
    <t>No provision should be recognised at 31 March 2022 and, instead, this is a non-adjusting event after the reporting period.</t>
  </si>
  <si>
    <t>Details of the restructuring, including the estimate of £360k, should be disclosed in the notes to the financial statements.</t>
  </si>
  <si>
    <t>A legal obligation has been created through court action, from the accident at head office (a past event).</t>
  </si>
  <si>
    <t>It is probable that there will be an outflow of resource as damages and legal costs will need to be paid to settle the obligation.</t>
  </si>
  <si>
    <t>The legal counsel has provided reliable estimates to calculate a provision.</t>
  </si>
  <si>
    <t>Legal costs incurred to date are already paid and, therefore, do not require to be provided for.</t>
  </si>
  <si>
    <t>being finance cost in the year and increase in decomm. Liability at year end</t>
  </si>
  <si>
    <t>&lt;&lt;&lt;&lt;got the provision unwind and reval wrong.  Got all the other bit correct.  Need to focus more on the chat as I am not getting these marks</t>
  </si>
  <si>
    <t>&lt;&lt;&lt;&lt;get into the habit of writing out the chat first and doing the table and journals at the end</t>
  </si>
  <si>
    <t>the amount of the damage requires disclose as the amount is material (£3m)</t>
  </si>
  <si>
    <t>Worldwide Digital plc</t>
  </si>
  <si>
    <t>Extracts from the trial balance as at 30 September 2022</t>
  </si>
  <si>
    <t>Trial balance (extracts)</t>
  </si>
  <si>
    <t>As at 30 September 2022</t>
  </si>
  <si>
    <t>Property, plant and equipment – cost</t>
  </si>
  <si>
    <t>Property, plant and equipment – accumulated depreciation</t>
  </si>
  <si>
    <t>Intangible assets – cost</t>
  </si>
  <si>
    <t>Investment property</t>
  </si>
  <si>
    <t>Capital work in progress</t>
  </si>
  <si>
    <t>cr</t>
  </si>
  <si>
    <t>Property, plant and equipment – AD</t>
  </si>
  <si>
    <t>Intangible assets – AA</t>
  </si>
  <si>
    <t>Appx. 2</t>
  </si>
  <si>
    <t>opening IA balace</t>
  </si>
  <si>
    <t>Amor. Charge</t>
  </si>
  <si>
    <t xml:space="preserve">FV </t>
  </si>
  <si>
    <t>cr - Acc'd amortisation</t>
  </si>
  <si>
    <t>being amortisation charge in the year</t>
  </si>
  <si>
    <t>dr - loss on FV impairment</t>
  </si>
  <si>
    <t>cr - IC cost</t>
  </si>
  <si>
    <t>being FV adjustment at year end</t>
  </si>
  <si>
    <t>Open</t>
  </si>
  <si>
    <t>Ajdustments</t>
  </si>
  <si>
    <t>dr -  SPL Amortisation charge</t>
  </si>
  <si>
    <t>Peoplesoft cost</t>
  </si>
  <si>
    <t>staff cost</t>
  </si>
  <si>
    <t>advertising and promotion</t>
  </si>
  <si>
    <t xml:space="preserve">market testing </t>
  </si>
  <si>
    <t>specialised computer hardware</t>
  </si>
  <si>
    <t>comsumables and materials</t>
  </si>
  <si>
    <t>time on IA job</t>
  </si>
  <si>
    <t>cr - admin expenses</t>
  </si>
  <si>
    <t>being correctoin to admin expenses to account for IA capitialisation</t>
  </si>
  <si>
    <t>Brechin</t>
  </si>
  <si>
    <t>dr  -  SPL Amortisation</t>
  </si>
  <si>
    <t>Dr - IA Cost</t>
  </si>
  <si>
    <t>cr - IA AA</t>
  </si>
  <si>
    <t>being depr for 9 months to 30/09/23</t>
  </si>
  <si>
    <t>cr- cost of sales</t>
  </si>
  <si>
    <t>being correction to account for purchase of IA</t>
  </si>
  <si>
    <t>Close</t>
  </si>
  <si>
    <t>Date of purchase</t>
  </si>
  <si>
    <t>Purchase price</t>
  </si>
  <si>
    <t>Estimated useful life at date of purchase</t>
  </si>
  <si>
    <t>Residual value</t>
  </si>
  <si>
    <t>Perth</t>
  </si>
  <si>
    <t>Stirling property</t>
  </si>
  <si>
    <t>ceased being investment property on 30/06/22 and became PPE</t>
  </si>
  <si>
    <t>dr - investment propety FV</t>
  </si>
  <si>
    <t>cr - SPL gain on revaluatoin</t>
  </si>
  <si>
    <t>being recognition of FV as disposal date</t>
  </si>
  <si>
    <t>dr - PPE</t>
  </si>
  <si>
    <t>dr - PPE cost</t>
  </si>
  <si>
    <t>cr - investment proprty FV</t>
  </si>
  <si>
    <t>being change to PPE from FV</t>
  </si>
  <si>
    <t>motnhs</t>
  </si>
  <si>
    <t>useful life used</t>
  </si>
  <si>
    <t>monthly depr charge</t>
  </si>
  <si>
    <t>depr charge</t>
  </si>
  <si>
    <t>cr - Stirling property AD</t>
  </si>
  <si>
    <t>being depre charge for 3m ended 30/09/22</t>
  </si>
  <si>
    <t>was PPE and moved to investment</t>
  </si>
  <si>
    <t>there will be a reval surplus opening balance</t>
  </si>
  <si>
    <t xml:space="preserve">NBV </t>
  </si>
  <si>
    <t>reval surplus</t>
  </si>
  <si>
    <t>Remaining useful life</t>
  </si>
  <si>
    <t>dr - depr charge to 30/06/2021</t>
  </si>
  <si>
    <t>monthst</t>
  </si>
  <si>
    <t xml:space="preserve">  </t>
  </si>
  <si>
    <t>being depr charge on revalued PPE for 6m to 30/06/2022</t>
  </si>
  <si>
    <t>nbv</t>
  </si>
  <si>
    <t>fv</t>
  </si>
  <si>
    <t>cr - reval reservce</t>
  </si>
  <si>
    <t>being FV reval of PPE before change of use</t>
  </si>
  <si>
    <t>cr - PPE cost</t>
  </si>
  <si>
    <t>being change of use from PPE used in the business to tenanted investment property</t>
  </si>
  <si>
    <t>reval at YE</t>
  </si>
  <si>
    <t>dr - loss on reval</t>
  </si>
  <si>
    <t>cr - investment property asset</t>
  </si>
  <si>
    <t>being impairment to investment property at year end</t>
  </si>
  <si>
    <t>note - the revaluation reserve remaing with the property until disposal</t>
  </si>
  <si>
    <t>it would then be swept to RE</t>
  </si>
  <si>
    <t>property built during the year 30/09/2022</t>
  </si>
  <si>
    <t>became operational</t>
  </si>
  <si>
    <t>costs which have gone into AUC</t>
  </si>
  <si>
    <t>total</t>
  </si>
  <si>
    <t>External costs of site preparation</t>
  </si>
  <si>
    <t>Professional architects’ fees</t>
  </si>
  <si>
    <t>Net instalment to contractor</t>
  </si>
  <si>
    <t>Final net instalment to contractor</t>
  </si>
  <si>
    <t>Training staff on new equipment</t>
  </si>
  <si>
    <t>Costs of opening party event</t>
  </si>
  <si>
    <t>staff training cannot be capitalised</t>
  </si>
  <si>
    <t>contractor fee</t>
  </si>
  <si>
    <t>retainer</t>
  </si>
  <si>
    <t>net</t>
  </si>
  <si>
    <t>so the fee is upfront and the retainer fee forms a contract liability</t>
  </si>
  <si>
    <t>as the retainer fee is expected to be signed within 12m of the operatoinal date, not financing element exists</t>
  </si>
  <si>
    <t>dr - Capital WIP</t>
  </si>
  <si>
    <t>recognise the full cost and create a separate contract liability</t>
  </si>
  <si>
    <t>creation of a contract liability in relation to the fees due based on completion of certificate</t>
  </si>
  <si>
    <t>dr - admin cost</t>
  </si>
  <si>
    <t>laon payment arrangements in relation to AUC</t>
  </si>
  <si>
    <t>term loan</t>
  </si>
  <si>
    <t>first payments</t>
  </si>
  <si>
    <t>interest payment</t>
  </si>
  <si>
    <t>dr - short term borrowings -&gt; need to split this out between NCA and CA</t>
  </si>
  <si>
    <t>Opening payable</t>
  </si>
  <si>
    <t>Borrowing costs:</t>
  </si>
  <si>
    <t>Reporting /capitalisation end date</t>
  </si>
  <si>
    <t>Expense</t>
  </si>
  <si>
    <t>Amount</t>
  </si>
  <si>
    <t>Payment date</t>
  </si>
  <si>
    <t>Periods of inactivity</t>
  </si>
  <si>
    <t>Interest rate</t>
  </si>
  <si>
    <t>Months</t>
  </si>
  <si>
    <t>Capitalised interest</t>
  </si>
  <si>
    <t>Potentially allowable borrowing costs</t>
  </si>
  <si>
    <t>Actual borrowing costs</t>
  </si>
  <si>
    <t>Less finance income</t>
  </si>
  <si>
    <t>cr - SPL finance cost</t>
  </si>
  <si>
    <t>being capitalisation of interest cost on loan taken specifically to finance capital WIP</t>
  </si>
  <si>
    <t>dr - Depr - charge</t>
  </si>
  <si>
    <t>cr - PPE ad</t>
  </si>
  <si>
    <t>being depr charge on AUC</t>
  </si>
  <si>
    <t>IAS 37 - post year end dates</t>
  </si>
  <si>
    <t>No condition</t>
  </si>
  <si>
    <t>it is non adjusting</t>
  </si>
  <si>
    <t>the staff costs are inconsequential</t>
  </si>
  <si>
    <t>no disclosure required</t>
  </si>
  <si>
    <t>prior event leading to future outgoings</t>
  </si>
  <si>
    <t>can be accurately estimats</t>
  </si>
  <si>
    <t>given the cetainty around the amount</t>
  </si>
  <si>
    <t>this is a payable, not a provison</t>
  </si>
  <si>
    <t>dr - legal cost</t>
  </si>
  <si>
    <t>cr - AP</t>
  </si>
  <si>
    <t>Dividend</t>
  </si>
  <si>
    <t>non-adjsuting event</t>
  </si>
  <si>
    <t>disclouse in notes to FS required</t>
  </si>
  <si>
    <t>with declared amount</t>
  </si>
  <si>
    <t>Fraud</t>
  </si>
  <si>
    <t>Restatement required</t>
  </si>
  <si>
    <t>and detailed disclosure needed</t>
  </si>
  <si>
    <t>loss of 101k to fraud</t>
  </si>
  <si>
    <t>dr - losses to fraud</t>
  </si>
  <si>
    <t>being correction to recognise losses to fraud</t>
  </si>
  <si>
    <t>New brand</t>
  </si>
  <si>
    <t>not certain economic benefits will flow from this project.  So do not capitalise</t>
  </si>
  <si>
    <t>Dr - SPL depr charge</t>
  </si>
  <si>
    <t>cr - PPE Ad</t>
  </si>
  <si>
    <t>being depr for 3m ended 30/09/2022</t>
  </si>
  <si>
    <t>reverse incorrectly charged impairment for last 3 months of the year</t>
  </si>
  <si>
    <t>dr - PPE AD</t>
  </si>
  <si>
    <t>being retainer payments</t>
  </si>
  <si>
    <t>AMQ10</t>
  </si>
  <si>
    <t>Stripe Rocket plc</t>
  </si>
  <si>
    <t>Extract from the trial balance as at 30 June 2022</t>
  </si>
  <si>
    <t>As at 30 June 2022</t>
  </si>
  <si>
    <t>Profit for the year ended 30 June 2022</t>
  </si>
  <si>
    <t>Dividends paid during the year ended 30 June 2022</t>
  </si>
  <si>
    <t>Other intangible assets – cost</t>
  </si>
  <si>
    <t>Other intangible assets – accumulated amortisation</t>
  </si>
  <si>
    <t>Inventories</t>
  </si>
  <si>
    <t>Trade receivables</t>
  </si>
  <si>
    <t>Other current assets</t>
  </si>
  <si>
    <t>Cash and cash equivalents</t>
  </si>
  <si>
    <t>Share capital</t>
  </si>
  <si>
    <t>Share premium</t>
  </si>
  <si>
    <t>Retained earnings as at 30 June 2021</t>
  </si>
  <si>
    <t>Revaluation surplus</t>
  </si>
  <si>
    <t>Long-term borrowings</t>
  </si>
  <si>
    <t>Deferred tax</t>
  </si>
  <si>
    <t>Long-term provisions as at 30 June 2021</t>
  </si>
  <si>
    <t>Trade and other payables</t>
  </si>
  <si>
    <t>Current tax payable</t>
  </si>
  <si>
    <t>Short-term provisions as at 30 June 2021</t>
  </si>
  <si>
    <t>General</t>
  </si>
  <si>
    <t>Impairment to realise</t>
  </si>
  <si>
    <t>put to GW first</t>
  </si>
  <si>
    <t>allocate this around according to the split of PPE</t>
  </si>
  <si>
    <t>no impairment on intangibles</t>
  </si>
  <si>
    <t>impairments</t>
  </si>
  <si>
    <t>journal</t>
  </si>
  <si>
    <t>dr - impairment loss</t>
  </si>
  <si>
    <t>dr - goodwill</t>
  </si>
  <si>
    <t>dr - PPE Cost - Tractor</t>
  </si>
  <si>
    <t>dr - PPE Cost - Harvester</t>
  </si>
  <si>
    <t>dr - PPE Cost - Balers</t>
  </si>
  <si>
    <t>being recognition of the impairment loss to Stripe and the apportionment of the loss across all CGUs</t>
  </si>
  <si>
    <t>Tractors</t>
  </si>
  <si>
    <t>costs of dale</t>
  </si>
  <si>
    <t>write down required</t>
  </si>
  <si>
    <t>cr - Tractor PPE</t>
  </si>
  <si>
    <t>dr - SPL loss on reval</t>
  </si>
  <si>
    <t>being impairment loss on revaluation</t>
  </si>
  <si>
    <t>Harvesters</t>
  </si>
  <si>
    <t>new carrying values</t>
  </si>
  <si>
    <t>Tractor</t>
  </si>
  <si>
    <t>Harvester</t>
  </si>
  <si>
    <t>Baler</t>
  </si>
  <si>
    <t>impairment write down</t>
  </si>
  <si>
    <t>write down to higher of FV and VU when lower than NBV</t>
  </si>
  <si>
    <t>cr - PPE cost Harvesters</t>
  </si>
  <si>
    <t>being impairment loss on harvester</t>
  </si>
  <si>
    <t>&lt;&lt;restrict impairment losses allocated to IA to this number</t>
  </si>
  <si>
    <t>being impairment loss.  Impairment allocated to IA restricted</t>
  </si>
  <si>
    <t>&lt;&lt;higher of FV and VU</t>
  </si>
  <si>
    <t>Warranty Provision</t>
  </si>
  <si>
    <t>sales</t>
  </si>
  <si>
    <t>p(warranty LT)</t>
  </si>
  <si>
    <t>p(warranty ST)</t>
  </si>
  <si>
    <t>Short term actual</t>
  </si>
  <si>
    <t>repari cost/product</t>
  </si>
  <si>
    <t>Budget</t>
  </si>
  <si>
    <t>actual</t>
  </si>
  <si>
    <t>Short term</t>
  </si>
  <si>
    <t>Long term</t>
  </si>
  <si>
    <t>Prob</t>
  </si>
  <si>
    <t>Cost/item</t>
  </si>
  <si>
    <t>Sales</t>
  </si>
  <si>
    <t>Long term 24</t>
  </si>
  <si>
    <t>Provision YE</t>
  </si>
  <si>
    <t>dr - COS</t>
  </si>
  <si>
    <t>being chang to warranty provsion at YE2022</t>
  </si>
  <si>
    <t>cr - ST prov'n</t>
  </si>
  <si>
    <t>cr - LT prov'n</t>
  </si>
  <si>
    <t>cr - COS</t>
  </si>
  <si>
    <t>dr - ST prov'n</t>
  </si>
  <si>
    <t>being correction to allocate part of the warranty cost against the existing provision</t>
  </si>
  <si>
    <t>3. 24m contract</t>
  </si>
  <si>
    <t>per tonne</t>
  </si>
  <si>
    <t>no resale value</t>
  </si>
  <si>
    <t>tonnes per month</t>
  </si>
  <si>
    <t>dr - RM, cr - AP</t>
  </si>
  <si>
    <t>cancellation charge</t>
  </si>
  <si>
    <t>onerous contract</t>
  </si>
  <si>
    <t>create a provision at year end to reflect this</t>
  </si>
  <si>
    <t>cr - onerous contract prov'n</t>
  </si>
  <si>
    <t xml:space="preserve">being provision for onerous contract </t>
  </si>
  <si>
    <t>Restructuring</t>
  </si>
  <si>
    <t>as the plan was announced to the managers and shareholders before year end</t>
  </si>
  <si>
    <t>there is an probabale cash outflow</t>
  </si>
  <si>
    <t>and this can be reliably estimated</t>
  </si>
  <si>
    <t>a restructuring provision should be created</t>
  </si>
  <si>
    <t>future saving</t>
  </si>
  <si>
    <t>not required</t>
  </si>
  <si>
    <t>merger cost</t>
  </si>
  <si>
    <t>fine</t>
  </si>
  <si>
    <t>break contracts</t>
  </si>
  <si>
    <t>staff</t>
  </si>
  <si>
    <t>not allowed for staff relocation</t>
  </si>
  <si>
    <t>Distributoin network</t>
  </si>
  <si>
    <t>not allowed for restructure</t>
  </si>
  <si>
    <t xml:space="preserve">so just the </t>
  </si>
  <si>
    <t>to provide for</t>
  </si>
  <si>
    <t>cr - restructure prov'n</t>
  </si>
  <si>
    <t>being resturcuting prov'n</t>
  </si>
  <si>
    <t>&lt;&lt;&lt;not good enough.  Need to figure out the impairment with CGU questions</t>
  </si>
  <si>
    <t>cost of disposal</t>
  </si>
  <si>
    <t>Carrying amount</t>
  </si>
  <si>
    <t>Recoverable amount</t>
  </si>
  <si>
    <t>The impairment allocated to Baler's patent is restricted to £10k.  The remaining £2k impairment within Balers division is allocated to PPE</t>
  </si>
  <si>
    <t>Carrying amount of CGUs</t>
  </si>
  <si>
    <t>Impairment of CGUs</t>
  </si>
  <si>
    <t>Carrying amount prior to impairment of GW</t>
  </si>
  <si>
    <t>Recoverable amount of CGU</t>
  </si>
  <si>
    <t>impairment of goodwill</t>
  </si>
  <si>
    <t>Total impairment of IA</t>
  </si>
  <si>
    <t>Total impairment of PPE</t>
  </si>
  <si>
    <t>Total impairment of GW</t>
  </si>
  <si>
    <t>dr - Profit for the YE 30/06/22</t>
  </si>
  <si>
    <t>OPEN</t>
  </si>
  <si>
    <t>ADJ.</t>
  </si>
  <si>
    <t>Warranty relating to the YE</t>
  </si>
  <si>
    <t>Estimate</t>
  </si>
  <si>
    <t>ST prov'n</t>
  </si>
  <si>
    <t>LT prov'n</t>
  </si>
  <si>
    <t>Opening prov'n</t>
  </si>
  <si>
    <t>Utilised during year</t>
  </si>
  <si>
    <t>adjusted opening prov'n</t>
  </si>
  <si>
    <t>Increaese/(decrease)</t>
  </si>
  <si>
    <t>Dr - ST prov'n</t>
  </si>
  <si>
    <t>cr - profit for the year ended 30/06/22</t>
  </si>
  <si>
    <t>being correction to utilise existing warranty prov'n</t>
  </si>
  <si>
    <t>dr - profit for the year ended 30/06/22</t>
  </si>
  <si>
    <t>dr - LT prov'n</t>
  </si>
  <si>
    <t>being decrease in ST provisions and increase in LT provisions</t>
  </si>
  <si>
    <t>months used</t>
  </si>
  <si>
    <t>cost of cancellation is lower than the cost to continue with the contract for the remaining 14 months</t>
  </si>
  <si>
    <t>allowed</t>
  </si>
  <si>
    <t>transfer to retained earnings</t>
  </si>
  <si>
    <t>unadjusted profit for the year ended 30/06/22</t>
  </si>
  <si>
    <t>Impairment of three divisions and goodwill</t>
  </si>
  <si>
    <t>correction to utilise existing warranty prov'n</t>
  </si>
  <si>
    <t>decrease in short term prov'n and increae in Lt prov'n</t>
  </si>
  <si>
    <t>recognition of prov'n for onerous contract</t>
  </si>
  <si>
    <t>dr - profit YE 30/06/22</t>
  </si>
  <si>
    <t>recognition of prov'n for restructuring</t>
  </si>
  <si>
    <t>cr - RE</t>
  </si>
  <si>
    <t>being transfer to RE</t>
  </si>
  <si>
    <t>Dividends</t>
  </si>
  <si>
    <t>dr - RE</t>
  </si>
  <si>
    <t>cr - dividends paid during the year ended 30/06/22</t>
  </si>
  <si>
    <t>being correctoin to dividends paid during the year ended 30/06/22</t>
  </si>
  <si>
    <t>2,4,5</t>
  </si>
  <si>
    <t>6,7</t>
  </si>
  <si>
    <t>#</t>
  </si>
  <si>
    <t>NCA</t>
  </si>
  <si>
    <t>Inventory</t>
  </si>
  <si>
    <t>Equity</t>
  </si>
  <si>
    <t>Total asset</t>
  </si>
  <si>
    <t>Total equity and liabilities</t>
  </si>
  <si>
    <t>Can capitalise the replacement F7F</t>
  </si>
  <si>
    <t>cr - Cost</t>
  </si>
  <si>
    <t>Status</t>
  </si>
  <si>
    <t>Modules</t>
  </si>
  <si>
    <t>Can it be done?</t>
  </si>
  <si>
    <t>Marks Available</t>
  </si>
  <si>
    <t>Details</t>
  </si>
  <si>
    <t>Yes</t>
  </si>
  <si>
    <t>No</t>
  </si>
  <si>
    <t>0: Assumed knowledge
8: Non-current assets: Leases</t>
  </si>
  <si>
    <t>In Progress</t>
  </si>
  <si>
    <t>10: Impairment
19: Taxation: current tax
26: Consolidation: Acquisition accounting
27: Consolidation: Intercompany transactions and balances
32: Consolidation: Accounting requirements</t>
  </si>
  <si>
    <t>0: Assumed knowledge 
1: Accounting principles and the Conceptual Framework</t>
  </si>
  <si>
    <t xml:space="preserve">3: Accounting policies, changes in accounting estimates and errors
4: Leases
19: Current tax
</t>
  </si>
  <si>
    <t>17: Share based payment</t>
  </si>
  <si>
    <t>5: PPE
6: Investment property
9: Intangible assets</t>
  </si>
  <si>
    <t>4: Discontinued Operations
26: Consolidation: Acquisition accounting
27: Consolidation: Intercompany transactions and balances
29: Consolidation: Changes in ownership</t>
  </si>
  <si>
    <t>26: Consolidation: Acquisition accounting
27: Consolidation: Intercompany transactions and balances</t>
  </si>
  <si>
    <t xml:space="preserve">2: Presentation of financial statements
10: Impairment
21: Provisions, contingent liabilities and contingent assets
</t>
  </si>
  <si>
    <t>20: Deferred tax</t>
  </si>
  <si>
    <t>12: Intangible assets
37: Disclosure: Corporate reporting</t>
  </si>
  <si>
    <t>8: Leases</t>
  </si>
  <si>
    <t xml:space="preserve">2: Presentation of financial statements
12: Financial instruments: Presentation, classification and measurement
14: Financial instruments: Derecognition
15: Share capital
24: Statement of cash flows
37: Disclosure: Corporate Reporting
</t>
  </si>
  <si>
    <t xml:space="preserve">3: Accounting policies, changes in accounting estimates and errors
26: Consolidation: Acquisition accounting
28: Consolidation: Fair values and goodwill
31: Consolidation: Accounting requirements
</t>
  </si>
  <si>
    <t>5: PPE
6: Investment Property
8: Leases
10: Impairment</t>
  </si>
  <si>
    <t>0: Assumed Knowledge
23: Revenue from contracts with customers</t>
  </si>
  <si>
    <t>2: Presentation of financial statements
21: provisions, contingent liabilities and contingent assets
22: events after the reporting period
26: Consolidation: Acquisition accounting
27: Consolidation: intercompany transactions and balances
28: Consolidation: Fair values and goodwill</t>
  </si>
  <si>
    <t>0: Assumed knowledge
1: Accounting principles and the Conceptual Framework</t>
  </si>
  <si>
    <t>2: Presentation of financial statements
5: PPE
6: Investment Property
15: Share capital</t>
  </si>
  <si>
    <t>21: Provisions, contingent liabilities and contingent assets
22: Events after the reporting period</t>
  </si>
  <si>
    <t>9: Intangible assets</t>
  </si>
  <si>
    <t xml:space="preserve">4: Discontinued Operations </t>
  </si>
  <si>
    <t>17: Share-based payments</t>
  </si>
  <si>
    <t>2: Presentation of financial statements
3: Accounting policies, changes in accounting estimates and errors
37: Disclosure: Corporate reporting</t>
  </si>
  <si>
    <t xml:space="preserve">15: Share capital
16: Retained earnings and distributable profits
24: Statement of cash flows
</t>
  </si>
  <si>
    <t>0: Assumed Knowledge
19: Current tax
26: Consolidation: Acquisition accounting
27: Consolidation: Intercompany transactions and balances
31: Consolidation: Associates and joint ventures</t>
  </si>
  <si>
    <t>12: Financial instruments: Presentation, classification and measurement
13: Financial instruments: Impairment of financial assets
14: Financial instruments: Derecognition
37: Disclosure: Corporate reporting</t>
  </si>
  <si>
    <t>0: Assumed Knowledge
3: Accounting policies, changes in accounting estimates and errors
11: Inventories</t>
  </si>
  <si>
    <t>12: Financial instruments: Presentation, classification and measurement
21: Statement of cash flows</t>
  </si>
  <si>
    <t>5: PPE
7: Held for sale
8: Leases
10: Impairment</t>
  </si>
  <si>
    <t>7: Held for sale
21: Provisions, contingent liabilities and contingent assets</t>
  </si>
  <si>
    <t>29: Consolidation: Changes in ownership</t>
  </si>
  <si>
    <t>11: Inventories
26: Consolidation: Acquisition accounting
27: Consolidation: Intercompany transactions and balances
29: Consolidation: Changes in ownership</t>
  </si>
  <si>
    <t>5: PPE
9: Intangible assets
10: Impairment</t>
  </si>
  <si>
    <t xml:space="preserve">2: Presentation of financial statements
12: Financial instruments: presentation, classification and measurement
26: Consolidation: Acquisition accounting
27: Consolidation: intercompany transactions and balances
31: Consolidation: Associates and joint ventures
27: Disclosure: Corporate reporting
</t>
  </si>
  <si>
    <t>2: Presentation of financial statements
5: PPE
6: Investment Property
7: Held for sale
15: Share capital</t>
  </si>
  <si>
    <t>27: Consolidation: intercompany transactions and balances
28: Consolidation: Fair values and goodwill</t>
  </si>
  <si>
    <t>5: PPE
15: Share capital</t>
  </si>
  <si>
    <t>14: Financial instruments: Derecognition
15: Share capital</t>
  </si>
  <si>
    <t>Day</t>
  </si>
  <si>
    <t>Read Module/ made notes?</t>
  </si>
  <si>
    <t>WSE Status</t>
  </si>
  <si>
    <t>Comment</t>
  </si>
  <si>
    <t>Module 1</t>
  </si>
  <si>
    <t>Accounting principles and the Conceptual Framework</t>
  </si>
  <si>
    <t>Pre-course</t>
  </si>
  <si>
    <t>Module 2</t>
  </si>
  <si>
    <t>Presentation of financial statements</t>
  </si>
  <si>
    <t>Module 3</t>
  </si>
  <si>
    <t>Accounting policies, changes in accounting estimates and errors</t>
  </si>
  <si>
    <t>Module 4</t>
  </si>
  <si>
    <t>Discontinued operations</t>
  </si>
  <si>
    <t>Self-Study</t>
  </si>
  <si>
    <t>Module 5</t>
  </si>
  <si>
    <t>Non-current assets: Property, pland and equipment</t>
  </si>
  <si>
    <t>Module 6</t>
  </si>
  <si>
    <t>Non-current assets: Investment property</t>
  </si>
  <si>
    <t>Module 7</t>
  </si>
  <si>
    <t>Non-current assets: Held for sale</t>
  </si>
  <si>
    <t>Module 8</t>
  </si>
  <si>
    <t>Non-current assets: Leases</t>
  </si>
  <si>
    <t>Module 9</t>
  </si>
  <si>
    <t>Non-current assets: Intangible assets</t>
  </si>
  <si>
    <t>Module 10</t>
  </si>
  <si>
    <t>Module 11</t>
  </si>
  <si>
    <t>Module 12</t>
  </si>
  <si>
    <t>Financial Instruments</t>
  </si>
  <si>
    <t>Module 13</t>
  </si>
  <si>
    <t>Financial Instruments: Impairment of financial assets</t>
  </si>
  <si>
    <t>Module 14</t>
  </si>
  <si>
    <t>Financial Instruments: Derecognition</t>
  </si>
  <si>
    <t>Module 15</t>
  </si>
  <si>
    <t>Share Capital</t>
  </si>
  <si>
    <t>Module 16</t>
  </si>
  <si>
    <t>Retained earnings and distributable profits</t>
  </si>
  <si>
    <t>very short</t>
  </si>
  <si>
    <t>Module 17</t>
  </si>
  <si>
    <t>Share-based payment</t>
  </si>
  <si>
    <t>short</t>
  </si>
  <si>
    <t>Module 18</t>
  </si>
  <si>
    <t>Employee benefits</t>
  </si>
  <si>
    <t>Module 19</t>
  </si>
  <si>
    <t>Taxation: Current Tax</t>
  </si>
  <si>
    <t>v shot</t>
  </si>
  <si>
    <t>Module 20</t>
  </si>
  <si>
    <t>Taxation: Deferred tax</t>
  </si>
  <si>
    <t>Module 21</t>
  </si>
  <si>
    <t>Provisions, contingent liabilities and contingent assets</t>
  </si>
  <si>
    <t>Module 22</t>
  </si>
  <si>
    <t>Events after the reporting period</t>
  </si>
  <si>
    <t>v short</t>
  </si>
  <si>
    <t>Module 23</t>
  </si>
  <si>
    <t>Revenue from contracts with customers</t>
  </si>
  <si>
    <t>Module 24</t>
  </si>
  <si>
    <t>Statement of cash flows</t>
  </si>
  <si>
    <t>Module 25</t>
  </si>
  <si>
    <t>Consolidated financial statements: Introduction</t>
  </si>
  <si>
    <t>Module 26</t>
  </si>
  <si>
    <t>Consolidated financial statements: Acquisition accounting</t>
  </si>
  <si>
    <t>Module 27</t>
  </si>
  <si>
    <t>Consolidated financial statements: Intercompany transactions and balances</t>
  </si>
  <si>
    <t>Module 28</t>
  </si>
  <si>
    <t>Consolidated financial statements: Fair values and goodwill</t>
  </si>
  <si>
    <t>Module 29</t>
  </si>
  <si>
    <t>Consolidated financial statements: changes in ownership</t>
  </si>
  <si>
    <t>Module 30</t>
  </si>
  <si>
    <t>Consolidated Financial Statements: Foreign Subsidiaries</t>
  </si>
  <si>
    <t>out of scope</t>
  </si>
  <si>
    <t>Module 31</t>
  </si>
  <si>
    <t>Consolidated financial statements: Associates and joint ventures</t>
  </si>
  <si>
    <t>Module 32</t>
  </si>
  <si>
    <t>Consolidated financial statements: Accounting requirements</t>
  </si>
  <si>
    <t>Module 33</t>
  </si>
  <si>
    <t> Disclosure: Earnings per Share</t>
  </si>
  <si>
    <t>Module 34</t>
  </si>
  <si>
    <t> Disclosure: Related Parties</t>
  </si>
  <si>
    <t>Module 35</t>
  </si>
  <si>
    <t>Disclosure: Statement of profit or loss and other comprehensive income</t>
  </si>
  <si>
    <t>Module 36</t>
  </si>
  <si>
    <t xml:space="preserve"> Disclosure: Micro-entities, Small Companies &amp; Medium Companies </t>
  </si>
  <si>
    <t>Module 37</t>
  </si>
  <si>
    <t>Disclosure: Corporate reporting</t>
  </si>
  <si>
    <t>done WSE 1-6, need to do 7-13</t>
  </si>
  <si>
    <t>Need to revisit</t>
  </si>
  <si>
    <t>WSE 1 done</t>
  </si>
  <si>
    <t>AMQ34</t>
  </si>
  <si>
    <t>AMQ15</t>
  </si>
  <si>
    <t>Step 2: account for gw</t>
  </si>
  <si>
    <t>investment in Oliver</t>
  </si>
  <si>
    <t>consideration paid for investment</t>
  </si>
  <si>
    <t>cash</t>
  </si>
  <si>
    <t xml:space="preserve">PV of fure </t>
  </si>
  <si>
    <t>NCI</t>
  </si>
  <si>
    <t>SC</t>
  </si>
  <si>
    <t>SP</t>
  </si>
  <si>
    <t>RE</t>
  </si>
  <si>
    <t>RVS</t>
  </si>
  <si>
    <t>gw</t>
  </si>
  <si>
    <t>property</t>
  </si>
  <si>
    <t>write down</t>
  </si>
  <si>
    <t>PPE impairmenet</t>
  </si>
  <si>
    <t>can't put the reorg aginst GW</t>
  </si>
  <si>
    <t>dr - SC</t>
  </si>
  <si>
    <t>dr - SP</t>
  </si>
  <si>
    <t>Dr - RVS</t>
  </si>
  <si>
    <t>dr - gw</t>
  </si>
  <si>
    <t>cr - investmen in Oliver</t>
  </si>
  <si>
    <t>cr - SFP NCI</t>
  </si>
  <si>
    <t>dr - investment in subsidiary</t>
  </si>
  <si>
    <t>cr - trade and other payables</t>
  </si>
  <si>
    <t>being recognition of deferred payemnt</t>
  </si>
  <si>
    <t>Fari value of net assets</t>
  </si>
  <si>
    <t>Fari value decrease in property</t>
  </si>
  <si>
    <t>identified brands and name and customer list</t>
  </si>
  <si>
    <t>Fair value of net assets</t>
  </si>
  <si>
    <t>being elimination of investment and recognition of goodwill and NCI</t>
  </si>
  <si>
    <t>Uniformity of accounting policies in group accounts</t>
  </si>
  <si>
    <t>IFRS 10 Consolidated Financial Statements requires that a parent shall prepare consolidated financial statements using uniform accounting policies for like transactions and other events in similar circumstances.</t>
  </si>
  <si>
    <t>This means that, as Oliver uses different accounting policies for the valuation of property from those adopted by the rest of the group, then appropriate adjustments should be made to Oliver’s financial statements during the consolidation to ensure uniformity.</t>
  </si>
  <si>
    <t>Oliver does not have to change its accounting policy when preparing its own individual financial statements as any adjustment is made at the consolidation stage.</t>
  </si>
  <si>
    <t>Changes in accounting policy</t>
  </si>
  <si>
    <t>Where changes to accounting policies arise because of the implementation of a new accounting standard, the accounting transition provisions in the new standard should be followed, where there are any; otherwise, the changes should be applied retrospectively.</t>
  </si>
  <si>
    <t>This means that the accounts should be presented as if the new accounting policy had always been in operation and, therefore, it should be applied to comparative information for prior periods as far back as is practicable.</t>
  </si>
  <si>
    <t>The amount of the resulting adjustment relating to periods before those presented in the financial statements is made to the opening balances of each affected component of equity of the earliest prior period presented.</t>
  </si>
  <si>
    <t>One exception to this is where the change in accounting policy relates to property, plant and equipment where the change is to move from the cost model to the fair value model; the changes should be applied prospectively rather than retrospectively.</t>
  </si>
  <si>
    <t>Marz</t>
  </si>
  <si>
    <t>no. bonds</t>
  </si>
  <si>
    <t xml:space="preserve">par </t>
  </si>
  <si>
    <t>nominal rate</t>
  </si>
  <si>
    <t>effecitve interest</t>
  </si>
  <si>
    <t>interest paid in arrears</t>
  </si>
  <si>
    <t>open</t>
  </si>
  <si>
    <t>eff. Rate</t>
  </si>
  <si>
    <t>nom. Rate</t>
  </si>
  <si>
    <t xml:space="preserve">bought back </t>
  </si>
  <si>
    <t xml:space="preserve">for </t>
  </si>
  <si>
    <t>cr - bond liability</t>
  </si>
  <si>
    <t>beign correction to finance cost</t>
  </si>
  <si>
    <t>The redeemed debentures shoud be derecognised as they have been cancelled, this extinguishing the obligation</t>
  </si>
  <si>
    <t>The gain on redemption should be reccorded in profit or loss</t>
  </si>
  <si>
    <t>Proceeds</t>
  </si>
  <si>
    <t>gain on redemption</t>
  </si>
  <si>
    <t>dr - debentures</t>
  </si>
  <si>
    <t>cr - SPL gain on redemptio</t>
  </si>
  <si>
    <t>cr - investments</t>
  </si>
  <si>
    <t>being correction to redemption of debentures</t>
  </si>
  <si>
    <t>Debentures</t>
  </si>
  <si>
    <t>108/309</t>
  </si>
  <si>
    <t>Future currency contract</t>
  </si>
  <si>
    <t>buy</t>
  </si>
  <si>
    <t>USD</t>
  </si>
  <si>
    <t>at</t>
  </si>
  <si>
    <t>no recognition in FS.  Arrangement cost goes into admin.  Not asset</t>
  </si>
  <si>
    <t>dr - admin expenses</t>
  </si>
  <si>
    <t>cr - financial assets</t>
  </si>
  <si>
    <t>being correction to account for arrangement fees</t>
  </si>
  <si>
    <t>being recognirion of the contract liability</t>
  </si>
  <si>
    <t>dr - fair value loss</t>
  </si>
  <si>
    <t>cr - derivative liability</t>
  </si>
  <si>
    <t>Convertible bonds</t>
  </si>
  <si>
    <t xml:space="preserve">issued </t>
  </si>
  <si>
    <t>par</t>
  </si>
  <si>
    <t xml:space="preserve">nominal </t>
  </si>
  <si>
    <t>cr - convertible bonds</t>
  </si>
  <si>
    <t>dr - bond suspense</t>
  </si>
  <si>
    <t>beign write down to fair value of the bonds</t>
  </si>
  <si>
    <t>cr - reserve for convertible bonds</t>
  </si>
  <si>
    <t>share price</t>
  </si>
  <si>
    <t>no. shares</t>
  </si>
  <si>
    <t>net proceeds</t>
  </si>
  <si>
    <t>dr - asset</t>
  </si>
  <si>
    <t>cr - rvs</t>
  </si>
  <si>
    <t>dr - rvs</t>
  </si>
  <si>
    <t>cr - asset</t>
  </si>
  <si>
    <t>DR - other income</t>
  </si>
  <si>
    <t>being FV asjustments arn sale of revalued asset</t>
  </si>
  <si>
    <t>Loan</t>
  </si>
  <si>
    <t>short term loan</t>
  </si>
  <si>
    <t>amount</t>
  </si>
  <si>
    <t>issued</t>
  </si>
  <si>
    <t>redem'n</t>
  </si>
  <si>
    <t>ECL</t>
  </si>
  <si>
    <t>effecgive</t>
  </si>
  <si>
    <t>ER</t>
  </si>
  <si>
    <t>Shortfall</t>
  </si>
  <si>
    <t>cr  -loss allce</t>
  </si>
  <si>
    <t>beign ECL at YE</t>
  </si>
  <si>
    <t>Existing ECL</t>
  </si>
  <si>
    <t>increase in ECL</t>
  </si>
  <si>
    <t>Loan receivable</t>
  </si>
  <si>
    <t>Loss allce</t>
  </si>
  <si>
    <t>Net loan receivable</t>
  </si>
  <si>
    <t>&lt;&lt;&lt;ECL  - PV for 1 yeat ou is nominal over 1+ER.</t>
  </si>
  <si>
    <t>&lt;&lt;&lt;increase ECL against existing allce</t>
  </si>
  <si>
    <t>Requirement 2</t>
  </si>
  <si>
    <t>2020 interim report</t>
  </si>
  <si>
    <t>The interim report should be treated as a separate accounting period and is not simply half of a full year. Normal accounting rules and the company’s normal accounting policies apply for the six-month period.</t>
  </si>
  <si>
    <t>(½ mark)</t>
  </si>
  <si>
    <t>The items in profit or loss will, therefore, represent six months of transactions rather than half of the estimated annual amounts.</t>
  </si>
  <si>
    <t>Some items which are determined on an annual basis should be included in the interim report as a proportion of the final expected amount.</t>
  </si>
  <si>
    <t>An example of this is taxation as the taxation expense is based on final profit for the year.</t>
  </si>
  <si>
    <t>(1 mark)</t>
  </si>
  <si>
    <t>2021 interim report</t>
  </si>
  <si>
    <t>The interim report is published within 60 days of the period end and so the possible disposal, as currently indicated, will not fall within this period and disclosure may not be required.</t>
  </si>
  <si>
    <t>However, if during these 60 days there was a valid expectation that the disposal was to occur, a disclosure would be required as an event after the reporting period.</t>
  </si>
  <si>
    <t>Total marks (3½ marks)</t>
  </si>
  <si>
    <t>AMQ01</t>
  </si>
  <si>
    <t>AMQ06</t>
  </si>
  <si>
    <t>AMQ07</t>
  </si>
  <si>
    <t>AMQ03</t>
  </si>
  <si>
    <t>forward contract and an example of a non-hedging derivative</t>
  </si>
  <si>
    <t>derivative goes into current liabilities as it is due w/i 12m</t>
  </si>
  <si>
    <t>shares should be dercognised as they have been sold and so n further economic benefit will be received</t>
  </si>
  <si>
    <t>Prior to disposal, one final valuation of the shares is made based on th e selling price</t>
  </si>
  <si>
    <t>as ther shares are classigied as FVTOCI, the related revaluation surplus must be released to retained earnings to realise the full gain on disposal</t>
  </si>
  <si>
    <t>&lt;&lt;&lt;1, .5 and 1 mark available for these lines alone</t>
  </si>
  <si>
    <t>Bear</t>
  </si>
  <si>
    <t>identify when control was obtained</t>
  </si>
  <si>
    <t>AMQ14</t>
  </si>
  <si>
    <t>Rainbow</t>
  </si>
  <si>
    <t>cr - SC</t>
  </si>
  <si>
    <t>cr - SP</t>
  </si>
  <si>
    <t>dr - SPL trans cost</t>
  </si>
  <si>
    <t>dr - financial asset</t>
  </si>
  <si>
    <t>dr - revaluatoin deficit</t>
  </si>
  <si>
    <t>dr - RVS</t>
  </si>
  <si>
    <t>&lt;&lt;&lt;not done yet</t>
  </si>
  <si>
    <t>AMQ44</t>
  </si>
  <si>
    <t>AMQ26</t>
  </si>
  <si>
    <t>Its sale has correctly been identified as a discontinued operation, in accordance with IFRS 5 Non-current Assets Held for Sale and Discontinued Operations.</t>
  </si>
  <si>
    <t>Tax</t>
  </si>
  <si>
    <t>PBT</t>
  </si>
  <si>
    <t>admin expenses</t>
  </si>
  <si>
    <t>distribution cost</t>
  </si>
  <si>
    <t>GP</t>
  </si>
  <si>
    <t>COS</t>
  </si>
  <si>
    <t>Revenue</t>
  </si>
  <si>
    <t>net assets</t>
  </si>
  <si>
    <t>gain on sale</t>
  </si>
  <si>
    <t>Discontinued</t>
  </si>
  <si>
    <t>Continueing</t>
  </si>
  <si>
    <t>&lt;&lt;&lt;goes to the discountinued entity</t>
  </si>
  <si>
    <t>Profit on disposal</t>
  </si>
  <si>
    <t>Profit for the year drom continuing operations</t>
  </si>
  <si>
    <t>Loss for the year from discontinued operations</t>
  </si>
  <si>
    <t>Profit for the year</t>
  </si>
  <si>
    <t>Profit/(loss) for the year</t>
  </si>
  <si>
    <t>AMQ40</t>
  </si>
  <si>
    <t>Long &amp; Humphrey</t>
  </si>
  <si>
    <t>consideration</t>
  </si>
  <si>
    <t>Step 2:</t>
  </si>
  <si>
    <t>cr - investment in Humprhey</t>
  </si>
  <si>
    <t>being elimination of investment in subsiduary and recognitoin of gw and NCI</t>
  </si>
  <si>
    <t>Step 3:   impair gw</t>
  </si>
  <si>
    <t>cr - gw</t>
  </si>
  <si>
    <t>being write off of goodwill in 2014</t>
  </si>
  <si>
    <t>Step 7: disposal</t>
  </si>
  <si>
    <t>cr rev</t>
  </si>
  <si>
    <t>cr - investment</t>
  </si>
  <si>
    <t>dr - SFP NCI</t>
  </si>
  <si>
    <t>cr - gain on disposal</t>
  </si>
  <si>
    <t>carrying amount of goodwill</t>
  </si>
  <si>
    <t>gain on disposal</t>
  </si>
  <si>
    <t>being correction to disposal of subsidiary</t>
  </si>
  <si>
    <t>AMQ45</t>
  </si>
  <si>
    <t>Fees</t>
  </si>
  <si>
    <t>Salary</t>
  </si>
  <si>
    <t>Directors</t>
  </si>
  <si>
    <t>Benefits</t>
  </si>
  <si>
    <t>Other</t>
  </si>
  <si>
    <t>LTIS</t>
  </si>
  <si>
    <t>Gains on share options</t>
  </si>
  <si>
    <t>Total emoluments</t>
  </si>
  <si>
    <t>Loss of office payments</t>
  </si>
  <si>
    <t>Pension contributions - defined contribution</t>
  </si>
  <si>
    <t>Accrued pension - defined benefit</t>
  </si>
  <si>
    <t>Mx Brooklyn</t>
  </si>
  <si>
    <t>Mx Cruz</t>
  </si>
  <si>
    <t>Mx Romeo</t>
  </si>
  <si>
    <t>Highest paid director</t>
  </si>
  <si>
    <t>Mx Harper</t>
  </si>
  <si>
    <t>Don’t include remuneration for defined benefit employees</t>
  </si>
  <si>
    <t>Workings:</t>
  </si>
  <si>
    <t>Emoluments</t>
  </si>
  <si>
    <t>Benefits in kind</t>
  </si>
  <si>
    <t>Aggregate emoluments :</t>
  </si>
  <si>
    <t>Share option schemes - expense in year is allocated to each director (remember if in question)</t>
  </si>
  <si>
    <t>Fee from subsidiary company</t>
  </si>
  <si>
    <t>(remuneration + LTIS + gains on share options)</t>
  </si>
  <si>
    <t>Highest paid director's emoluments</t>
  </si>
  <si>
    <t>Details of the highest paid director should be disclosed if aggregate emoluments are in excess of £200,000:</t>
  </si>
  <si>
    <t>Total emoluments exceed £200,000?</t>
  </si>
  <si>
    <t>Conclusion</t>
  </si>
  <si>
    <t>Gains on exercise on share options</t>
  </si>
  <si>
    <t>Long-term incentive scheme</t>
  </si>
  <si>
    <t>Other - NAME</t>
  </si>
  <si>
    <t>Disclosure notes</t>
  </si>
  <si>
    <t>Directors remuneration comprised:</t>
  </si>
  <si>
    <t>Remuneration</t>
  </si>
  <si>
    <t>Long term incentive scheme</t>
  </si>
  <si>
    <t>Pension costs</t>
  </si>
  <si>
    <t>Defined contribution</t>
  </si>
  <si>
    <t>Aggregate directors remuneration</t>
  </si>
  <si>
    <t>The remuneration of the highest paid director included:</t>
  </si>
  <si>
    <t>Remuneration of highest paid director</t>
  </si>
  <si>
    <t>The highest paid director exercised 150 share options of the company [- these were received under an LTIS]</t>
  </si>
  <si>
    <t>AMQ11</t>
  </si>
  <si>
    <r>
      <t xml:space="preserve">The transaction price includes a </t>
    </r>
    <r>
      <rPr>
        <b/>
        <sz val="9"/>
        <color theme="1"/>
        <rFont val="Calibri"/>
        <family val="2"/>
        <scheme val="minor"/>
      </rPr>
      <t>variable consideration</t>
    </r>
    <r>
      <rPr>
        <sz val="9"/>
        <color theme="1"/>
        <rFont val="Calibri"/>
        <family val="2"/>
        <scheme val="minor"/>
      </rPr>
      <t>, being the £50k bonus payment.</t>
    </r>
  </si>
  <si>
    <r>
      <t xml:space="preserve">It is </t>
    </r>
    <r>
      <rPr>
        <b/>
        <sz val="9"/>
        <color theme="1"/>
        <rFont val="Calibri"/>
        <family val="2"/>
        <scheme val="minor"/>
      </rPr>
      <t>most likely</t>
    </r>
    <r>
      <rPr>
        <sz val="9"/>
        <color theme="1"/>
        <rFont val="Calibri"/>
        <family val="2"/>
        <scheme val="minor"/>
      </rPr>
      <t xml:space="preserve"> that Briar will complete construction of the asset before 15 April 2023 and so the incentive is included in the contract price.</t>
    </r>
  </si>
  <si>
    <r>
      <t xml:space="preserve">The </t>
    </r>
    <r>
      <rPr>
        <b/>
        <sz val="9"/>
        <color theme="1"/>
        <rFont val="Calibri"/>
        <family val="2"/>
        <scheme val="minor"/>
      </rPr>
      <t>expected value of revenue</t>
    </r>
    <r>
      <rPr>
        <sz val="9"/>
        <color theme="1"/>
        <rFont val="Calibri"/>
        <family val="2"/>
        <scheme val="minor"/>
      </rPr>
      <t xml:space="preserve"> to recognise is estimated using stage of completion which is calculated on </t>
    </r>
    <r>
      <rPr>
        <b/>
        <sz val="9"/>
        <color theme="1"/>
        <rFont val="Calibri"/>
        <family val="2"/>
        <scheme val="minor"/>
      </rPr>
      <t>costs incurred to date as a proportion of total allowable costs</t>
    </r>
    <r>
      <rPr>
        <sz val="9"/>
        <color theme="1"/>
        <rFont val="Calibri"/>
        <family val="2"/>
        <scheme val="minor"/>
      </rPr>
      <t>.</t>
    </r>
  </si>
  <si>
    <r>
      <rPr>
        <b/>
        <sz val="9"/>
        <color theme="1"/>
        <rFont val="Calibri"/>
        <family val="2"/>
        <scheme val="minor"/>
      </rPr>
      <t>General administration costs are not allowable costs</t>
    </r>
    <r>
      <rPr>
        <sz val="9"/>
        <color theme="1"/>
        <rFont val="Calibri"/>
        <family val="2"/>
        <scheme val="minor"/>
      </rPr>
      <t xml:space="preserve"> to fulfil a contract and should remain expensed as they are incurred.</t>
    </r>
  </si>
  <si>
    <t>&lt;&lt;POC</t>
  </si>
  <si>
    <t>Revenue and trade receivables must be decreased to their present value and then finance income is recognised monthly until final receipt, gradually increasing the trade receivable.</t>
  </si>
  <si>
    <r>
      <t xml:space="preserve">The transaction price includes a </t>
    </r>
    <r>
      <rPr>
        <b/>
        <sz val="9"/>
        <color theme="1"/>
        <rFont val="Calibri"/>
        <family val="2"/>
        <scheme val="minor"/>
      </rPr>
      <t>significant financing component.</t>
    </r>
  </si>
  <si>
    <r>
      <t xml:space="preserve">The transaction price should reflect the cash price on 31 December 2022 and the </t>
    </r>
    <r>
      <rPr>
        <b/>
        <sz val="9"/>
        <color theme="1"/>
        <rFont val="Calibri"/>
        <family val="2"/>
        <scheme val="minor"/>
      </rPr>
      <t>consideration is adjusted for the time value of money</t>
    </r>
    <r>
      <rPr>
        <sz val="9"/>
        <color theme="1"/>
        <rFont val="Calibri"/>
        <family val="2"/>
        <scheme val="minor"/>
      </rPr>
      <t>.</t>
    </r>
  </si>
  <si>
    <t>Maggie's Diner Ltd</t>
  </si>
  <si>
    <t>Revenue, a trade receivable and a refund liability should be recognised for the five dishwashers sold in December 2022.</t>
  </si>
  <si>
    <t>Bedford Oil plc</t>
  </si>
  <si>
    <r>
      <t xml:space="preserve">The transaction price includes </t>
    </r>
    <r>
      <rPr>
        <b/>
        <sz val="9"/>
        <color theme="1"/>
        <rFont val="Calibri"/>
        <family val="2"/>
        <scheme val="minor"/>
      </rPr>
      <t>variable consideration</t>
    </r>
    <r>
      <rPr>
        <sz val="9"/>
        <color theme="1"/>
        <rFont val="Calibri"/>
        <family val="2"/>
        <scheme val="minor"/>
      </rPr>
      <t>, being the volume discount.</t>
    </r>
  </si>
  <si>
    <r>
      <t xml:space="preserve">It is </t>
    </r>
    <r>
      <rPr>
        <b/>
        <sz val="9"/>
        <color theme="1"/>
        <rFont val="Calibri"/>
        <family val="2"/>
        <scheme val="minor"/>
      </rPr>
      <t>most likely</t>
    </r>
    <r>
      <rPr>
        <sz val="9"/>
        <color theme="1"/>
        <rFont val="Calibri"/>
        <family val="2"/>
        <scheme val="minor"/>
      </rPr>
      <t xml:space="preserve"> that Maggie’s Diner </t>
    </r>
    <r>
      <rPr>
        <b/>
        <sz val="9"/>
        <color theme="1"/>
        <rFont val="Calibri"/>
        <family val="2"/>
        <scheme val="minor"/>
      </rPr>
      <t>will meet the criteria</t>
    </r>
    <r>
      <rPr>
        <sz val="9"/>
        <color theme="1"/>
        <rFont val="Calibri"/>
        <family val="2"/>
        <scheme val="minor"/>
      </rPr>
      <t xml:space="preserve"> required for some of the consideration to be refunded and so the transaction price per dishwasher will be £1,800 per unit.</t>
    </r>
  </si>
  <si>
    <r>
      <rPr>
        <b/>
        <sz val="9"/>
        <color theme="1"/>
        <rFont val="Calibri"/>
        <family val="2"/>
        <scheme val="minor"/>
      </rPr>
      <t xml:space="preserve">Trade receivables should be recognised </t>
    </r>
    <r>
      <rPr>
        <sz val="9"/>
        <color theme="1"/>
        <rFont val="Calibri"/>
        <family val="2"/>
        <scheme val="minor"/>
      </rPr>
      <t xml:space="preserve">at £2,200 per unit as there is an </t>
    </r>
    <r>
      <rPr>
        <b/>
        <sz val="9"/>
        <color theme="1"/>
        <rFont val="Calibri"/>
        <family val="2"/>
        <scheme val="minor"/>
      </rPr>
      <t xml:space="preserve">enforceable right to payment </t>
    </r>
    <r>
      <rPr>
        <sz val="9"/>
        <color theme="1"/>
        <rFont val="Calibri"/>
        <family val="2"/>
        <scheme val="minor"/>
      </rPr>
      <t>at this amount.</t>
    </r>
  </si>
  <si>
    <r>
      <t xml:space="preserve">A </t>
    </r>
    <r>
      <rPr>
        <b/>
        <sz val="9"/>
        <color theme="1"/>
        <rFont val="Calibri"/>
        <family val="2"/>
        <scheme val="minor"/>
      </rPr>
      <t xml:space="preserve">refund liability </t>
    </r>
    <r>
      <rPr>
        <sz val="9"/>
        <color theme="1"/>
        <rFont val="Calibri"/>
        <family val="2"/>
        <scheme val="minor"/>
      </rPr>
      <t xml:space="preserve">should be recognised for the </t>
    </r>
    <r>
      <rPr>
        <b/>
        <sz val="9"/>
        <color theme="1"/>
        <rFont val="Calibri"/>
        <family val="2"/>
        <scheme val="minor"/>
      </rPr>
      <t xml:space="preserve">consideration expected </t>
    </r>
    <r>
      <rPr>
        <sz val="9"/>
        <color theme="1"/>
        <rFont val="Calibri"/>
        <family val="2"/>
        <scheme val="minor"/>
      </rPr>
      <t>to be refunded.</t>
    </r>
  </si>
  <si>
    <t>AMQ33</t>
  </si>
  <si>
    <t>Nexo</t>
  </si>
  <si>
    <t>CT</t>
  </si>
  <si>
    <t>opening creditor</t>
  </si>
  <si>
    <t>CT liab (est.)</t>
  </si>
  <si>
    <t>refund</t>
  </si>
  <si>
    <t>cr - other income</t>
  </si>
  <si>
    <t>losses - elected to carry back</t>
  </si>
  <si>
    <t>tax effect of losses</t>
  </si>
  <si>
    <t>Opening creditor</t>
  </si>
  <si>
    <t>current tax</t>
  </si>
  <si>
    <t>under prov'n</t>
  </si>
  <si>
    <t>dr - SPL current tax</t>
  </si>
  <si>
    <t>cr - current tax payable</t>
  </si>
  <si>
    <t>being underprov'n charge</t>
  </si>
  <si>
    <t>CY</t>
  </si>
  <si>
    <t>2 quarters</t>
  </si>
  <si>
    <t>dr - other income</t>
  </si>
  <si>
    <t>cr - current tax</t>
  </si>
  <si>
    <t>being correction to tax refund transaction</t>
  </si>
  <si>
    <t>carry back of tax lossrs</t>
  </si>
  <si>
    <t>asset in this year</t>
  </si>
  <si>
    <t>dr - tax receivable</t>
  </si>
  <si>
    <t>beign recognition of carry back losses</t>
  </si>
  <si>
    <t>cr - SPL taxation</t>
  </si>
  <si>
    <t>being unwind of tax payable</t>
  </si>
  <si>
    <t>104/307</t>
  </si>
  <si>
    <t>revenue from credit sales</t>
  </si>
  <si>
    <t>excl. VAT</t>
  </si>
  <si>
    <t>incl. VAT</t>
  </si>
  <si>
    <t>Purchases</t>
  </si>
  <si>
    <t>Excl. VAT</t>
  </si>
  <si>
    <t>VAT must be included in trade receivables and exluded from purchases (cost of sales)</t>
  </si>
  <si>
    <t>output VAT</t>
  </si>
  <si>
    <t>Input VAT</t>
  </si>
  <si>
    <t>dr - trade receivables</t>
  </si>
  <si>
    <t>cr - SPL cost of sales</t>
  </si>
  <si>
    <t>cr  -Trade and other payables</t>
  </si>
  <si>
    <t>being correction to VAT accounting</t>
  </si>
  <si>
    <t>AMQ28</t>
  </si>
  <si>
    <t>AMQ29</t>
  </si>
  <si>
    <t>AMQ48</t>
  </si>
  <si>
    <t>AMQ30</t>
  </si>
  <si>
    <t>AMQ46</t>
  </si>
  <si>
    <t>AMQ27</t>
  </si>
  <si>
    <t>AMQ36</t>
  </si>
  <si>
    <t>AMQ12</t>
  </si>
  <si>
    <t>AMQ16</t>
  </si>
  <si>
    <t>AMQ25</t>
  </si>
  <si>
    <t>AMQ13</t>
  </si>
  <si>
    <t>AMQ31</t>
  </si>
  <si>
    <t>AMQ47</t>
  </si>
  <si>
    <t>AMQ39</t>
  </si>
  <si>
    <t>AMQ51</t>
  </si>
  <si>
    <t>AMQ50</t>
  </si>
  <si>
    <t>AMQ41</t>
  </si>
  <si>
    <t>AMQ21</t>
  </si>
  <si>
    <t>AMQ49</t>
  </si>
  <si>
    <t>AMQ32</t>
  </si>
  <si>
    <t>AMQ37</t>
  </si>
  <si>
    <t>AMQ43</t>
  </si>
  <si>
    <t>AMQ19</t>
  </si>
  <si>
    <t>AMQ02</t>
  </si>
  <si>
    <t>AMQ04</t>
  </si>
  <si>
    <t>AMQ05</t>
  </si>
  <si>
    <t>AMQ08</t>
  </si>
  <si>
    <t>AMQ09</t>
  </si>
  <si>
    <t>Any unpaid tax for the current period is a liability.</t>
  </si>
  <si>
    <t>The tax refund represents an over-provision of a prior year taxation expense.</t>
  </si>
  <si>
    <t>The adjustment is a result of a change in estimate and is not an error – a correction must be made in the current year to reclassify the tax refund.</t>
  </si>
  <si>
    <t>Model cars</t>
  </si>
  <si>
    <t>An asset should be recognised in the current year with a corresponding reduction in the taxation expense.</t>
  </si>
  <si>
    <r>
      <t>An e</t>
    </r>
    <r>
      <rPr>
        <b/>
        <sz val="9"/>
        <color theme="1"/>
        <rFont val="Calibri"/>
        <family val="2"/>
        <scheme val="minor"/>
      </rPr>
      <t xml:space="preserve">lection has been made to carry back the loss and, as the directors are confident it will be successful, </t>
    </r>
    <r>
      <rPr>
        <sz val="9"/>
        <color theme="1"/>
        <rFont val="Calibri"/>
        <family val="2"/>
        <scheme val="minor"/>
      </rPr>
      <t>the refund on the tax loss should be recognised.</t>
    </r>
  </si>
  <si>
    <t>Shoogly</t>
  </si>
  <si>
    <t>Aberdeen</t>
  </si>
  <si>
    <t>Elgin</t>
  </si>
  <si>
    <t>Redidual value</t>
  </si>
  <si>
    <t>usefull life (months)</t>
  </si>
  <si>
    <t>Aberdeen change of use</t>
  </si>
  <si>
    <t>dr - FV Aberdeen</t>
  </si>
  <si>
    <t>cr - AD</t>
  </si>
  <si>
    <t>FV gain on date of derecognition</t>
  </si>
  <si>
    <t>cr - revaluation surplus - Aberdeen</t>
  </si>
  <si>
    <t>beign increase on date of derecognition</t>
  </si>
  <si>
    <t>dr - PPE cost  -Aberdeen</t>
  </si>
  <si>
    <t>cr - FV invesment Aberdeen</t>
  </si>
  <si>
    <t>being transfer from IP to PPE</t>
  </si>
  <si>
    <t>remaining usefull life (months)</t>
  </si>
  <si>
    <t>dr - SPL loss on revaluatoin</t>
  </si>
  <si>
    <t>being write down at year end for revalued amount</t>
  </si>
  <si>
    <t>being annual depr charge</t>
  </si>
  <si>
    <t>Disposal of Elgin</t>
  </si>
  <si>
    <t>Change to NCA HFS</t>
  </si>
  <si>
    <t>Gain of reval</t>
  </si>
  <si>
    <t>cr - FV investment - Elgin</t>
  </si>
  <si>
    <t>cr - gain on revalation</t>
  </si>
  <si>
    <t>being reval on date of dercgonition and transfer to NCAHFS</t>
  </si>
  <si>
    <t>buyer agreed at 820</t>
  </si>
  <si>
    <t>cr - NCAHFS</t>
  </si>
  <si>
    <t>cr - SPL - increase in FV of NCAHFS</t>
  </si>
  <si>
    <t>beign increase in FV of asset held for sale as at year end</t>
  </si>
  <si>
    <t>acuired</t>
  </si>
  <si>
    <t>Land</t>
  </si>
  <si>
    <t>Buildings</t>
  </si>
  <si>
    <t>Glasgow</t>
  </si>
  <si>
    <t>FV increase on land</t>
  </si>
  <si>
    <t>dr - land - cost</t>
  </si>
  <si>
    <t>cr - land revaluation reserve</t>
  </si>
  <si>
    <t>being increase on land values at revaluatoin date</t>
  </si>
  <si>
    <t>dr - depr charge</t>
  </si>
  <si>
    <t>being depr charge in the year</t>
  </si>
  <si>
    <t>E</t>
  </si>
  <si>
    <t>no. of shares</t>
  </si>
  <si>
    <t>&lt;&lt;&lt;&lt;Up to here</t>
  </si>
  <si>
    <t>147/</t>
  </si>
  <si>
    <t>&lt;&lt;&lt;missed this bit of nuance</t>
  </si>
  <si>
    <t>annual transfer</t>
  </si>
  <si>
    <t>reval decrease to profit or loss</t>
  </si>
  <si>
    <t>Annual transfers</t>
  </si>
  <si>
    <t>being annual transfer for the year ended 30/11/2022</t>
  </si>
  <si>
    <t>net decrease in revaluatoin surplus</t>
  </si>
  <si>
    <t>removal of AD</t>
  </si>
  <si>
    <t>Net increase in valuation</t>
  </si>
  <si>
    <t>dr - SPL revaluatoin decrease</t>
  </si>
  <si>
    <t>dr - Land and buildings - AD</t>
  </si>
  <si>
    <t>cr - Land and buildings - valuatioin</t>
  </si>
  <si>
    <t>being revaluation of other land and buildings</t>
  </si>
  <si>
    <t>&lt;&lt;&lt;&lt;&lt;redo this section.  The last part does not make sense</t>
  </si>
  <si>
    <t>Chuck</t>
  </si>
  <si>
    <t>issue date</t>
  </si>
  <si>
    <t>redemption date</t>
  </si>
  <si>
    <t>issue preimum</t>
  </si>
  <si>
    <t>similary bonds</t>
  </si>
  <si>
    <t>each</t>
  </si>
  <si>
    <t>Conversion of bonds</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</si>
  <si>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</si>
  <si>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</si>
  <si>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Reserve for convertible bonds</t>
  </si>
  <si>
    <t>The reserve for convertible bonds is recorded as the difference between the issue price and FV of similar bond without conversion rights</t>
  </si>
  <si>
    <t>Convertible bonds carrying amount</t>
  </si>
  <si>
    <t>The original value for the bond is measured as the FV of a similar bond without conversion rights</t>
  </si>
  <si>
    <t>% of bonds converted</t>
  </si>
  <si>
    <t>Derecognise when right is converted or lapsed</t>
  </si>
  <si>
    <t>Upon conversion, a correction must be made to record the equity elements and eliminate the repayment in cash recorded.</t>
  </si>
  <si>
    <t>Share value</t>
  </si>
  <si>
    <t>The convertible bond reserve must be released to retained earnings in accordance with accounting policy.</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</si>
  <si>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</si>
  <si>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</si>
  <si>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DR bond liability</t>
  </si>
  <si>
    <t>CR share capital</t>
  </si>
  <si>
    <t>CR share premium</t>
  </si>
  <si>
    <t>At the maturity date, the reserve for convertible bonds is transferred to retained earnings:</t>
  </si>
  <si>
    <t>DR Reserve for convertible bonds</t>
  </si>
  <si>
    <t>CR Retained earnings</t>
  </si>
  <si>
    <t>Amortised Cost</t>
  </si>
  <si>
    <t>Loan - through AC</t>
  </si>
  <si>
    <t>Principal amount</t>
  </si>
  <si>
    <t>Issue amount (at discount/premium)</t>
  </si>
  <si>
    <t>Capitalised fees</t>
  </si>
  <si>
    <t>Nominal interest</t>
  </si>
  <si>
    <t>The amortised cost method requires effective interest to be added to the opening liability, and nominal payments made against the bonds deducted from this.</t>
  </si>
  <si>
    <t>Effective interest</t>
  </si>
  <si>
    <t>Effective interest is calculated by multiplying the outstanding liability by the effective interest rate (show calc)</t>
  </si>
  <si>
    <t>Payable in</t>
  </si>
  <si>
    <t>arrears</t>
  </si>
  <si>
    <t>Should be prorated if issued throughout the year.</t>
  </si>
  <si>
    <t>Year ended</t>
  </si>
  <si>
    <t>Opening balance</t>
  </si>
  <si>
    <t>Nominal Interest/ dividends</t>
  </si>
  <si>
    <t>Closing balance</t>
  </si>
  <si>
    <t>Non-current loan payable</t>
  </si>
  <si>
    <t>Current loan payable</t>
  </si>
  <si>
    <t>SHOW CALC</t>
  </si>
  <si>
    <t xml:space="preserve">Adjustment required = </t>
  </si>
  <si>
    <t>CR bonds</t>
  </si>
  <si>
    <t>DR SPL - finance expense</t>
  </si>
  <si>
    <t>(Better to post as one entry)</t>
  </si>
  <si>
    <t>CR cash</t>
  </si>
  <si>
    <t>DR mortgage bonds</t>
  </si>
  <si>
    <t>Redemption:</t>
  </si>
  <si>
    <t>Dr bond liability</t>
  </si>
  <si>
    <t>DR/CR gain on redemption</t>
  </si>
  <si>
    <t xml:space="preserve">The redeemed debentures/bonds should be derecognised as they have been cancelled, thus extinguishing the obligation. </t>
  </si>
  <si>
    <t>The gain/loss on redemption should be recorded in profit or loss.</t>
  </si>
  <si>
    <t>initial recognition</t>
  </si>
  <si>
    <t>being ourchase of non-hedging future currency contract</t>
  </si>
  <si>
    <t>cr - finance suspense account</t>
  </si>
  <si>
    <t>cr - derivative liabilty</t>
  </si>
  <si>
    <t>dr - SPL - admin expenses</t>
  </si>
  <si>
    <t>being fair value loss on derivative</t>
  </si>
  <si>
    <t>CR Share premium (or cash  - delete as appropriate)</t>
  </si>
  <si>
    <t>CR finance suspense account</t>
  </si>
  <si>
    <t>cr SPL - finance income</t>
  </si>
  <si>
    <t>DR financial assets</t>
  </si>
  <si>
    <t>Convertible Bonds</t>
  </si>
  <si>
    <t xml:space="preserve">Mortgare </t>
  </si>
  <si>
    <t>Derivative Contract</t>
  </si>
  <si>
    <t>2463-2412</t>
  </si>
  <si>
    <t>Receipts from mortgages are cash flows of solely principal (i.e., final repayment) and interest and it is the intention to hold them until maturity and so the asset is classified as amortised cost.</t>
  </si>
  <si>
    <t>At initial recognition, the mortgages are recognised at the fair value plus the acquisition costs and must be removed from the finance suspense account.</t>
  </si>
  <si>
    <t>The calculation of finance income should be based on the total cost and any payments received should be credited to the asset.</t>
  </si>
  <si>
    <t>Opening balance = £2,500k + £13k = £2,513k</t>
  </si>
  <si>
    <t>this become a liability when the value chagnes.  Intial recognition is not required</t>
  </si>
  <si>
    <t>Non-hedging derivatives are classified as fair value through profit or loss.</t>
  </si>
  <si>
    <t>Transaction costs must be written off to the statement of profit or loss and removed from the finance suspense account.</t>
  </si>
  <si>
    <t>A fair value loss is recognised in profit or loss as the movement in exchange rates is unfavourable.</t>
  </si>
  <si>
    <t>Monkey</t>
  </si>
  <si>
    <t>DT rate</t>
  </si>
  <si>
    <t>Tax base</t>
  </si>
  <si>
    <t>Taxable/ (deductible) temporary difference</t>
  </si>
  <si>
    <t>(DTA)/Liability</t>
  </si>
  <si>
    <t>PPE - Historical cost</t>
  </si>
  <si>
    <t>Land - rollover gain</t>
  </si>
  <si>
    <t>PPE CA v TWDW</t>
  </si>
  <si>
    <t>Cash settled SBP liabilities</t>
  </si>
  <si>
    <t>Pension liabilities</t>
  </si>
  <si>
    <t>Pension surplus</t>
  </si>
  <si>
    <t>Tax loss</t>
  </si>
  <si>
    <t>Closing revaluation surplus</t>
  </si>
  <si>
    <t>PY DTL in respect of revaluation surplus</t>
  </si>
  <si>
    <t>Adjustment to DTL relating to revaluation surplus</t>
  </si>
  <si>
    <t>Total DTL/(DTA)</t>
  </si>
  <si>
    <t>Balance as at start of year (DTL /(DTA))</t>
  </si>
  <si>
    <t xml:space="preserve">Movement </t>
  </si>
  <si>
    <t>CR SPL  - Taxation</t>
  </si>
  <si>
    <t>Pussycat</t>
  </si>
  <si>
    <t>EE share option scheme</t>
  </si>
  <si>
    <t>Service conditions</t>
  </si>
  <si>
    <t>This is an equity settled share based payment, with options to purchase shares being granted to [employees/directors] in exchange for their services to the company (providing they remain in employment until xx/xx/xx)</t>
  </si>
  <si>
    <t>As the fair value of the service of the employees cannot be measured reliably the cost is measured using the FV of the share options at the grant date, being …</t>
  </si>
  <si>
    <t xml:space="preserve">The asset/expense should be value at the fair value of the goods/services received. If unable to determine reliably (i.e. staff services) then should measure at FV of instruments granted at the grant date. </t>
  </si>
  <si>
    <t>Six employees are expected to remain with the company, so the fair value should be calculated based on option accruing to .. employees. At YE, the total fair value of the options is:</t>
  </si>
  <si>
    <t>As we cannot estimate the fair value of the service to the company we should measure the transaction at the fair value of the equity instruments.</t>
  </si>
  <si>
    <t>Changes in fair value of the options should not be accounted for.</t>
  </si>
  <si>
    <t>Number of employees</t>
  </si>
  <si>
    <t>x employees * no. of options * FV = xxx</t>
  </si>
  <si>
    <t>Number of share options granted per employee</t>
  </si>
  <si>
    <t>Vesting period</t>
  </si>
  <si>
    <t>Value at grant date</t>
  </si>
  <si>
    <t>*calc*</t>
  </si>
  <si>
    <t>Value of options recognised per year</t>
  </si>
  <si>
    <t>xx is already recorded in 'other reserves' from previous years, so an additional expense needs to be recorded:</t>
  </si>
  <si>
    <t>The transaction should be recognised over the vesting period, as vesting conditions (…) exist.</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</si>
  <si>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</si>
  <si>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</si>
  <si>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Period</t>
  </si>
  <si>
    <t>Expectation - employees</t>
  </si>
  <si>
    <t>No. of options</t>
  </si>
  <si>
    <t>Value</t>
  </si>
  <si>
    <t>The cost should be recognised as part of staff costs for the year with the credit to reserves - either a separate 'Equity reserve' or to 'Retained earnings'</t>
  </si>
  <si>
    <t xml:space="preserve">DR SPL </t>
  </si>
  <si>
    <t>The net effect is nil in equity and reserves.</t>
  </si>
  <si>
    <t>CR Retained Earnings</t>
  </si>
  <si>
    <t>CR - Employee share options reserve</t>
  </si>
  <si>
    <t>DR SPL  - staff cost</t>
  </si>
  <si>
    <t>Executive share option scheme</t>
  </si>
  <si>
    <t>N/A</t>
  </si>
  <si>
    <t>dr - Executive share option reserve</t>
  </si>
  <si>
    <t>cr - SPL - staff costs</t>
  </si>
  <si>
    <t>being reduction in cost of executive share option reserve for the year ended 31/07/22</t>
  </si>
  <si>
    <t xml:space="preserve">Share capital </t>
  </si>
  <si>
    <t>Proceeds from exercise of options</t>
  </si>
  <si>
    <t>cr -SP</t>
  </si>
  <si>
    <t>being correction to issue of shares under option</t>
  </si>
  <si>
    <t xml:space="preserve">dr - executive share option reserve </t>
  </si>
  <si>
    <t>being transfer of executive share option reserve to retained earnings upon exercise of options</t>
  </si>
  <si>
    <t>Gaucho</t>
  </si>
  <si>
    <t>Total equity</t>
  </si>
  <si>
    <t>revaluation surplus</t>
  </si>
  <si>
    <t>retained earning</t>
  </si>
  <si>
    <t>share premium</t>
  </si>
  <si>
    <t>LAT</t>
  </si>
  <si>
    <t>fair value gain on investment property</t>
  </si>
  <si>
    <t>gain on exchange wil non-qualifying consideratoin</t>
  </si>
  <si>
    <t xml:space="preserve">excess depr </t>
  </si>
  <si>
    <t>Distributable profits</t>
  </si>
  <si>
    <t>Although Gaucho does not make annual transfers from the ‘Revaluation surplus’ to ‘Retained earnings’, the excess depreciation is deemed to be a realised portion of the revaluation gain and should be included in the calculation of distributable profits.</t>
  </si>
  <si>
    <t>The fair value gain on the investments held for sale should remain in the calculation even though the investments have not yet been sold; they have been ‘marked to market’ and so they are readily convertible to cash and the gain is deemed to be realised.</t>
  </si>
  <si>
    <t>As there is no qualifying consideration received in the exchange, the gain on exchange of services for machinery must be excluded from the calculation of distributable profits as it is also unrealised.</t>
  </si>
  <si>
    <t>The fair value gain on investment properties will only be realised when the property is sold and so the gain should be excluded as it is unrealised.</t>
  </si>
  <si>
    <t>Adjustments should be made to exclude any amounts included in Gaucho’s statement of profit or loss for the year which are unrealised.</t>
  </si>
  <si>
    <t>The loss for the year, prior to adjusting for unrealised profits, reduces distributable profits.</t>
  </si>
  <si>
    <t>Distributable profits are those arising from accumulated realised profits less accumulated realised losses, therefore, only the brought forward ‘Retained earnings’ are accumulated realised profits.</t>
  </si>
  <si>
    <t>Explanations</t>
  </si>
  <si>
    <t>Fair value hierarchy</t>
  </si>
  <si>
    <t>input</t>
  </si>
  <si>
    <t>market data</t>
  </si>
  <si>
    <t>comparables</t>
  </si>
  <si>
    <t>models</t>
  </si>
  <si>
    <t>IFRS 13 Fair Value Measurement gives guidance on the way in which a company should determine the fair value of an asset or liability.</t>
  </si>
  <si>
    <t>IFRS 13 requires an entity to use valuation techniques that are appropriate, for which sufficient data are available and which maximises the use of relevant observable inputs (e.g., quoted market prices) and minimises the use of unobservable inputs (e.g., using a pricing model).</t>
  </si>
  <si>
    <t>IFRS 13 includes a hierarchy of the inputs into categorising fair value measurement techniques.</t>
  </si>
  <si>
    <t>Level 1 inputs</t>
  </si>
  <si>
    <t>Level 1 inputs are quoted prices in active markets for identical assets or liabilities that the entity can access at the measurement date.</t>
  </si>
  <si>
    <t>Shares in a FTSE 100 listed company would be valued in this way, as the London Stock Exchange is an active market and each share is identical.</t>
  </si>
  <si>
    <t>Level 2 inputs</t>
  </si>
  <si>
    <t>Level 2 inputs are quoted prices, other than those at Level 1, that are directly or indirectly observable for an asset or liability.</t>
  </si>
  <si>
    <t>These might be, for example, quoted prices for similar but not identical assets or liabilities.</t>
  </si>
  <si>
    <t>Although it is unlikely that there would be identical office properties in a central business district of a major city, it is likely that there would be recent transactions of similar properties in such a location.</t>
  </si>
  <si>
    <t>Level 3 inputs</t>
  </si>
  <si>
    <t>Level 3 inputs are unobservable inputs (i.e., that cannot be sourced from the market) and should only be used where observable inputs are not available.</t>
  </si>
  <si>
    <t>Internal budgets and forecasts could be used as basis for determining fair value.</t>
  </si>
  <si>
    <t>There would not be observable data for a unique new product but the company would be likely to have forecasts for its expected performance.</t>
  </si>
  <si>
    <t>AVCO to FIFO</t>
  </si>
  <si>
    <t>AVCO</t>
  </si>
  <si>
    <t>increase</t>
  </si>
  <si>
    <t>change in COS</t>
  </si>
  <si>
    <t>Selecting an accounting policy</t>
  </si>
  <si>
    <t>If there is an applicable standard, then any accounting policy should follow the accounting set out in the standard.</t>
  </si>
  <si>
    <t>Where there is no specific standard, then Funcy’s directors should choose a policy that produces information that is relevant (to the economic decision-making needs of the users of the accounts) and reliable.</t>
  </si>
  <si>
    <t>In making that judgement, the directors must refer to and consider the applicability of the following sources in descending order:</t>
  </si>
  <si>
    <t>• the requirements and guidance in the standards dealing with similar and related issues; and</t>
  </si>
  <si>
    <t>• the definitions, recognition criteria and measurement concepts for assets, liabilities, income and expenses in the Conceptual Framework for Financial Reporting.</t>
  </si>
  <si>
    <t>Changes in accounting policies</t>
  </si>
  <si>
    <t>A company should change an accounting policy only if it:</t>
  </si>
  <si>
    <t>• is required by a standard; or</t>
  </si>
  <si>
    <t>• results in the financial statements providing reliable and more relevant information.</t>
  </si>
  <si>
    <t>If the change results from the initial adoption of a standard, the company should follow any specific transitional provisions in the standard.</t>
  </si>
  <si>
    <t>In all other instances, changes must apply retrospectively, adjusting the opening balance of each affected item of equity for the earliest period presented and adjusting the comparative amounts as if the new accounting policy had always applied.</t>
  </si>
  <si>
    <t>Significant disclosure is required detailing the reason for any change and the numerical adjustment for each line item, for each accounting period presented.</t>
  </si>
  <si>
    <t>Using the example given, Funcy would be making a voluntary change:</t>
  </si>
  <si>
    <t>Disclosure would include the following:</t>
  </si>
  <si>
    <t>• Funcy changed its accounting policy for valuing inventories from the weighted average method to the first in, first out method as it better reflects the usage of inventories, which are perishable in nature; and</t>
  </si>
  <si>
    <t>• had this policy always been applied, closing reserves and net assets at 30 June 2020would have increased by £12k; in the year ended 30 June 2021, cost of sales would have increased by £4k and retained earnings and net assets would show a net increase of £8k. In the year ended 30 June 2022 cost of sales would reduce by £2k and retained earnings and net assets would show a net increase of £10k.</t>
  </si>
  <si>
    <t>Nelson</t>
  </si>
  <si>
    <t>Cyclops</t>
  </si>
  <si>
    <t>Invenotry valuations</t>
  </si>
  <si>
    <t>Standard Costing</t>
  </si>
  <si>
    <t>Standard costs are allowable as a method of valuing inventories providing that they are a reasonable approximation of actual cost</t>
  </si>
  <si>
    <t>£/Unit</t>
  </si>
  <si>
    <t xml:space="preserve">Selling and distribution variances are irrelevant in arriving at the cost of inventories as the underlying expense is not permitted. </t>
  </si>
  <si>
    <t>Warehousing costs are not included unless necessary before further production (i.e. whiskey)</t>
  </si>
  <si>
    <t xml:space="preserve">Adjustments should be made for normal variances from standard cost and must be pro-rated. </t>
  </si>
  <si>
    <t>Closing stock</t>
  </si>
  <si>
    <t xml:space="preserve">The standard costs should be adjusted for variances relating to closing inventories unless they relate to abnormal events. </t>
  </si>
  <si>
    <t>Production units</t>
  </si>
  <si>
    <t xml:space="preserve">Abnormal variances should be charged to the SPL </t>
  </si>
  <si>
    <t>Variances - Adverse / (Favourable)</t>
  </si>
  <si>
    <t>Units affected</t>
  </si>
  <si>
    <t>RM -  A</t>
  </si>
  <si>
    <t>RM -  F</t>
  </si>
  <si>
    <t>D. lab - F</t>
  </si>
  <si>
    <t>D. lab - A</t>
  </si>
  <si>
    <t>Prodn o/h - A</t>
  </si>
  <si>
    <t>Differences due to over/under productin included as variance</t>
  </si>
  <si>
    <t>Adjusted standard cost per unit</t>
  </si>
  <si>
    <t>dr - SPL production fault (abnormal)</t>
  </si>
  <si>
    <t>being write off of abnoraml cost- podn failure</t>
  </si>
  <si>
    <t>dr - SPL selling and distribution costs</t>
  </si>
  <si>
    <t>Unicorns</t>
  </si>
  <si>
    <t>old carrying value</t>
  </si>
  <si>
    <t>new</t>
  </si>
  <si>
    <t>write down of inventories</t>
  </si>
  <si>
    <t>Price</t>
  </si>
  <si>
    <t>less selling and dist.</t>
  </si>
  <si>
    <t>lower of cost and nrv</t>
  </si>
  <si>
    <t>being write down of FG</t>
  </si>
  <si>
    <t>Minotaurs</t>
  </si>
  <si>
    <t>less cost to sel</t>
  </si>
  <si>
    <t>nrv lower than cost</t>
  </si>
  <si>
    <t>write down reuired</t>
  </si>
  <si>
    <t>being correction to valuation of closing invenoties</t>
  </si>
  <si>
    <t>Spring</t>
  </si>
  <si>
    <t>CR Share premium</t>
  </si>
  <si>
    <t>CR Share capital</t>
  </si>
  <si>
    <t>%</t>
  </si>
  <si>
    <t>Number of options exercised</t>
  </si>
  <si>
    <t>Par value of shares</t>
  </si>
  <si>
    <t>Exercise price</t>
  </si>
  <si>
    <t>Amount in equity</t>
  </si>
  <si>
    <t>On exercise:</t>
  </si>
  <si>
    <t>DR Bank</t>
  </si>
  <si>
    <t>On completion of the scheme, the options exercised with cash proceeds would increase the bank account, share capital and share premium as follows:</t>
  </si>
  <si>
    <t>being correction of excise of options</t>
  </si>
  <si>
    <t>dr - other reserves</t>
  </si>
  <si>
    <t>being transfer of other reserves to retained earnings on exercise of options</t>
  </si>
  <si>
    <t>recognise the SC and SP based on the shares exercised</t>
  </si>
  <si>
    <t>adjust the reserve balance and transfer to the PL</t>
  </si>
  <si>
    <t>PY reserve</t>
  </si>
  <si>
    <t>CY reerve</t>
  </si>
  <si>
    <t>increase in reserve</t>
  </si>
  <si>
    <t>cr - other reserves</t>
  </si>
  <si>
    <t>dr - SPL staff costs</t>
  </si>
  <si>
    <t>being  staff costs relating to management incentive share scheme</t>
  </si>
  <si>
    <t>Shares exercised</t>
  </si>
  <si>
    <t>Share issue for non-current asset</t>
  </si>
  <si>
    <t>estimated market value</t>
  </si>
  <si>
    <t>shares issued to pay for it</t>
  </si>
  <si>
    <t>1400*.1</t>
  </si>
  <si>
    <t>Cash</t>
  </si>
  <si>
    <t>1400*(.97-.1)</t>
  </si>
  <si>
    <t>In exchange for an asset</t>
  </si>
  <si>
    <t>The acquisition of the asset is an equity settled share-based payment, with shares being issues to purchase a non-current asset.</t>
  </si>
  <si>
    <t>The non-cash consideration should be recognised at its fair value on the date of issue if this is available</t>
  </si>
  <si>
    <t>Number of shares</t>
  </si>
  <si>
    <t>FV of shares</t>
  </si>
  <si>
    <t>FV of asset available?</t>
  </si>
  <si>
    <t>FV of asset</t>
  </si>
  <si>
    <t>The amount of the fair value of the asset exceeds the nominal value of shares issued and so a premium must be recognised in 'share premium'</t>
  </si>
  <si>
    <t>Fair value of property</t>
  </si>
  <si>
    <t>DR Asset</t>
  </si>
  <si>
    <t>The asset should be depreciated in line with company policy over its estimated useful life of … years from the date it was put into use. For the year ended xx/xxx/xx, this is xx months of depreciation.</t>
  </si>
  <si>
    <t>Zulu</t>
  </si>
  <si>
    <t>Cash bonus</t>
  </si>
  <si>
    <t>cr - other payables</t>
  </si>
  <si>
    <t>cash bonus to payout in year 3</t>
  </si>
  <si>
    <t>dr - other payables</t>
  </si>
  <si>
    <t>being eventual journal for paying out th ecash bonus</t>
  </si>
  <si>
    <t>Meester - Standard costing</t>
  </si>
  <si>
    <t>D. mat F</t>
  </si>
  <si>
    <t>D. lab A</t>
  </si>
  <si>
    <t>dr - COS cost of error</t>
  </si>
  <si>
    <t>Prod o/h -F</t>
  </si>
  <si>
    <t>dr - COS warehousing cost</t>
  </si>
  <si>
    <t>dr - COS warehousing cost increase</t>
  </si>
  <si>
    <t>dr - Inventory closing stock</t>
  </si>
  <si>
    <t>first 6m</t>
  </si>
  <si>
    <t>last 6m</t>
  </si>
  <si>
    <t>sales and marketing</t>
  </si>
  <si>
    <t>cost is lower than nrv</t>
  </si>
  <si>
    <t>inventories must be valued at their cost of £117k as net realisable value exceeds the units cost</t>
  </si>
  <si>
    <t>cost of production are included in inventories but selling cost are not</t>
  </si>
  <si>
    <t>as warehousing cost are part of the productoin process, storage cost are also disallowed</t>
  </si>
  <si>
    <t>adjustments should be made for normal variances from standard cost and must be pro-rated</t>
  </si>
  <si>
    <t>abnormal variances are not allowable and are not adjusted for in the cost of inventories</t>
  </si>
  <si>
    <t>scrapping materials should not be adjusted for</t>
  </si>
  <si>
    <t>variances on warehousing and selling costs are irrelevant in the calculation of cost as they are disallowed</t>
  </si>
  <si>
    <t>inventory of 4,300 would all have been produced in March 2023.  Therefore all normal variances impact closing invenotries</t>
  </si>
  <si>
    <t>inventories must be valus at the lower of cost and net realisable value</t>
  </si>
  <si>
    <t>selling and distribtion costs should be used to adjust nrc</t>
  </si>
  <si>
    <t>Grammar - Intangible Assets</t>
  </si>
  <si>
    <t>research</t>
  </si>
  <si>
    <t>refinement necessary to sell</t>
  </si>
  <si>
    <t>interest from customers</t>
  </si>
  <si>
    <t>first sale</t>
  </si>
  <si>
    <t>Development costs - MUST be capitalised if all criteria can be demonstrated:</t>
  </si>
  <si>
    <t>Expand on each</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</si>
  <si>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</si>
  <si>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</si>
  <si>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There is technical feasability the intangible asset will be complete so it wil be available for use or sale</t>
  </si>
  <si>
    <t>Met</t>
  </si>
  <si>
    <t>Demonstrated when prototype capable of being produced</t>
  </si>
  <si>
    <t>There is intention to complete the intangible asset and use or sell it</t>
  </si>
  <si>
    <t>There is an ability to use or sell the intangible asset</t>
  </si>
  <si>
    <t>i.e. active market</t>
  </si>
  <si>
    <t>Interest in product/agreement to sell</t>
  </si>
  <si>
    <t>It is clear how the asset will generate probable future economic benefits</t>
  </si>
  <si>
    <t xml:space="preserve">Demonstrated when there is an indication that the product will be sold and that retailers are interest. If not certain, costs cannot be capitalised and should be written off to SPL. </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</si>
  <si>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</si>
  <si>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</si>
  <si>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Expenditure capitalised includes all costs atrributable to the cost of development, being …</t>
  </si>
  <si>
    <t xml:space="preserve">Any depreciation charge relating directly to development costs should be capitalised but only for the period until the product was ready for operation/launch. </t>
  </si>
  <si>
    <t xml:space="preserve">Patents should be capitalised as separate intangible assets. For legal fees etc associated with a patent, these should be capitalised separately with the corresponding patent. </t>
  </si>
  <si>
    <t>all of the required IAS 38 criteria were met on 1/12/21 following the completion of the clinical trial</t>
  </si>
  <si>
    <t>dr - IA Cost</t>
  </si>
  <si>
    <t>cr - SPL</t>
  </si>
  <si>
    <t>being recognition of intangible asset and first 2 months of depreciation following capitalisation</t>
  </si>
  <si>
    <t>dr - amortisation</t>
  </si>
  <si>
    <t>being amortisation in the year</t>
  </si>
  <si>
    <t>investment in Sonsie</t>
  </si>
  <si>
    <t>cr - investment in Sonsie</t>
  </si>
  <si>
    <t>dr - net asssets</t>
  </si>
  <si>
    <t>elim of investment on consolidation and capitalisation of DD expenditure</t>
  </si>
  <si>
    <t>AM2</t>
  </si>
  <si>
    <t>AM3</t>
  </si>
  <si>
    <t>M</t>
  </si>
  <si>
    <t>SM</t>
  </si>
  <si>
    <t>dr - SPL legal cost</t>
  </si>
  <si>
    <t>Under IFRS, a company must capitalise development costs if the relevant criteria are met whereas, under FRS 102, a company has the choice whether to capitalise development costs, or whether to expense them as incurred.</t>
  </si>
  <si>
    <t>Therefore, Grammar would have to make a choice which accounting policy it wished to follow and apply it to all development costs.</t>
  </si>
  <si>
    <t>There are no accounting differences between IFRS and FRS 102 in respect of the capitalisation and amortisation of the patent.</t>
  </si>
  <si>
    <t>Directly attributable costs are excluded under IFRS when calculating goodwill of £199k.</t>
  </si>
  <si>
    <t>Under FRS 102, directly attributable acquisition costs are included in the consideration when calculating goodwill of £255</t>
  </si>
  <si>
    <t>Goodwill (FRS 102) = (£1,649k + £40k + £16k) - £1,450k = £255k</t>
  </si>
  <si>
    <t>Under IFRS, goodwill is not amortised but should be subject to an annual impairment review.</t>
  </si>
  <si>
    <t>Goodwill is assumed to have a finite useful life under FRS 102 and must be amortised over this period.</t>
  </si>
  <si>
    <t>If a reliable estimate of the useful life cannot be made, it is assumed to be a maximum of 10 years,</t>
  </si>
  <si>
    <t>Assuming 10 years useful life the Amortisation charge = 1/10 years x £255k = £26k</t>
  </si>
  <si>
    <t>Defined benefit pension plan:</t>
  </si>
  <si>
    <t>PY</t>
  </si>
  <si>
    <t>Assets (market value)</t>
  </si>
  <si>
    <t>PV of obligation (acturial value)</t>
  </si>
  <si>
    <t xml:space="preserve">Net pension asset </t>
  </si>
  <si>
    <t xml:space="preserve">Discount/interest rate </t>
  </si>
  <si>
    <t>Current service cost (%*Salaries in year)</t>
  </si>
  <si>
    <t>Contributions in year</t>
  </si>
  <si>
    <t>Past service cost contributions</t>
  </si>
  <si>
    <t>Past service cost additional liability</t>
  </si>
  <si>
    <t>Benefit payments</t>
  </si>
  <si>
    <t>Transfers out</t>
  </si>
  <si>
    <t>Reduction in FV of obligation due to transfer</t>
  </si>
  <si>
    <t>Gain/(Loss) on transfer</t>
  </si>
  <si>
    <t>Step 1 - Contributions</t>
  </si>
  <si>
    <t>DR Pension account  (assets)</t>
  </si>
  <si>
    <t>Step 2 - Benefit/Transfer payments</t>
  </si>
  <si>
    <t>DR Pension account (obligation)</t>
  </si>
  <si>
    <t>being benefit payment</t>
  </si>
  <si>
    <t>Step 3 - Service Cost</t>
  </si>
  <si>
    <t>Current and past service costs should be charge to the SPL and credited against the pension obligation</t>
  </si>
  <si>
    <t>DR SPL - Staff costs</t>
  </si>
  <si>
    <t>CR Pension account (obligation)</t>
  </si>
  <si>
    <t xml:space="preserve">Step 4 - Interest </t>
  </si>
  <si>
    <t>Finance income is recognised for asset/obligation balances across the year at the applicable interest rate</t>
  </si>
  <si>
    <t>Pension assets</t>
  </si>
  <si>
    <t>Pension obligations</t>
  </si>
  <si>
    <t>Pro- rata  %</t>
  </si>
  <si>
    <t xml:space="preserve">Contributions </t>
  </si>
  <si>
    <t>Past service costs</t>
  </si>
  <si>
    <t>Transfers</t>
  </si>
  <si>
    <t>Adjusted balance</t>
  </si>
  <si>
    <t>Finance income on assets/costs on obligation</t>
  </si>
  <si>
    <t>Net income/(cost)</t>
  </si>
  <si>
    <t>Step 5 - remeasurements</t>
  </si>
  <si>
    <t>Fair value of pension assets</t>
  </si>
  <si>
    <t>Present value of pension obligation</t>
  </si>
  <si>
    <t>Contributions</t>
  </si>
  <si>
    <t>Current service cost</t>
  </si>
  <si>
    <t>Past service cost</t>
  </si>
  <si>
    <t>Interest</t>
  </si>
  <si>
    <t>Remeasurement gain/ Actuarial loss</t>
  </si>
  <si>
    <t xml:space="preserve">Net gain/(loss) = </t>
  </si>
  <si>
    <t>CR SPL -Staff costs</t>
  </si>
  <si>
    <t>CR staff costs</t>
  </si>
  <si>
    <t>Pawnee</t>
  </si>
  <si>
    <t>Lot48</t>
  </si>
  <si>
    <t>The contract is a lease as:</t>
  </si>
  <si>
    <t>There is a right to use an identified asset</t>
  </si>
  <si>
    <t>The contract is for a period of time</t>
  </si>
  <si>
    <t>The right to use the asset is in exchange for consideration</t>
  </si>
  <si>
    <t>The lessee has the right to control the asset</t>
  </si>
  <si>
    <t xml:space="preserve">A protective right is designed to protect the lorry but doesn’t restrict the right to use the lorry. </t>
  </si>
  <si>
    <t xml:space="preserve">This contract does not qualify as a lease as the enetity does not control the asset. They cannot direct their use and obtain subdtantially all associated economic benefits. </t>
  </si>
  <si>
    <t>If breaching protective right terms, must ensure that the entity is complying with contract terms.</t>
  </si>
  <si>
    <t>The asset remains under the control of … and can be used as needed in their business.</t>
  </si>
  <si>
    <t>As such, a RoU asset should be capitalised and depreciated over the shorter of the lease term and estimated useful life, from the start of the contract (XX/XX/XX)</t>
  </si>
  <si>
    <t>This is instead a contract for services whereby there is an agreement to provide …</t>
  </si>
  <si>
    <t>The RoU asset is measured as the value of the value of the lease liability plus the initial lease payment.</t>
  </si>
  <si>
    <t>Expenses in relation to this agreement will be recognised directly in profit or loss as the work is undertaken</t>
  </si>
  <si>
    <t>A lease liability is measured at the PV of future lease payments.</t>
  </si>
  <si>
    <t>This should be recognised for the contractual obligation and payments must be analysed into capital and finance costs</t>
  </si>
  <si>
    <t>The misclassification of a lease is an error in each of the following: recognition, measurement, presentation and disclosure elements of financial statements</t>
  </si>
  <si>
    <t>THIS IS THEREFORE A LEASE CONTRACT</t>
  </si>
  <si>
    <t>RoU Asset</t>
  </si>
  <si>
    <t>Any initital direct costs/ estimated dismantling costs are added to the RoU asset, along with any up front payments</t>
  </si>
  <si>
    <t>Initial costs/(incentives)</t>
  </si>
  <si>
    <t>Recognise separately as other income/ admin expenses</t>
  </si>
  <si>
    <t>Lease liability</t>
  </si>
  <si>
    <t>PVAF*Lease payment</t>
  </si>
  <si>
    <t>Annual lease payment</t>
  </si>
  <si>
    <t>Interest rate implicit in the lease</t>
  </si>
  <si>
    <t xml:space="preserve">Payble in </t>
  </si>
  <si>
    <t>Lease Term</t>
  </si>
  <si>
    <t>Useful Life</t>
  </si>
  <si>
    <t>Transfer of ownership/hire purchase agreement?</t>
  </si>
  <si>
    <t>Residual Value after lease term</t>
  </si>
  <si>
    <t>% lessee is entitled to</t>
  </si>
  <si>
    <t>Residual Value after useful life</t>
  </si>
  <si>
    <t>Finance costs are calculated as the implicit interest rate * opening payable (pro rated if applicable). SHOW CALC</t>
  </si>
  <si>
    <t>Opening Lease Payable</t>
  </si>
  <si>
    <t>Finance Costs</t>
  </si>
  <si>
    <t>Payment</t>
  </si>
  <si>
    <t>Closing Lease payable</t>
  </si>
  <si>
    <t>Non-current lease payable</t>
  </si>
  <si>
    <t>Current lease payable</t>
  </si>
  <si>
    <t>Always split even if not asked for specifically in question</t>
  </si>
  <si>
    <t>The RoU asset is measured using the cost model, and so depreciation is charged for the period, with the asset being depreciated over the shorter of the lease term and useful life.</t>
  </si>
  <si>
    <t>Annual Depreciation Charge</t>
  </si>
  <si>
    <t>Journal Entries</t>
  </si>
  <si>
    <t xml:space="preserve">DR </t>
  </si>
  <si>
    <t>CR</t>
  </si>
  <si>
    <t>RoU asset - cost</t>
  </si>
  <si>
    <t>SPL - Finance costs</t>
  </si>
  <si>
    <t>SPL - Depreciation charge</t>
  </si>
  <si>
    <t>RoU asset - accumulated depreciation</t>
  </si>
  <si>
    <t>Depreciation Charge</t>
  </si>
  <si>
    <t>DR Property - accumulated depreciation</t>
  </si>
  <si>
    <t>CR PPE</t>
  </si>
  <si>
    <t>Gain on sale relates to part sold</t>
  </si>
  <si>
    <t>(Total gain/Fair value of asset)*(Proceeds - Discounted lease payments)</t>
  </si>
  <si>
    <t>Presented as separate category of asset or separately within disclosure note.</t>
  </si>
  <si>
    <t>(Carrying amount/Fair value)*discounted lease payments)</t>
  </si>
  <si>
    <t>DR RoU property - cost</t>
  </si>
  <si>
    <t>CR Lease payable</t>
  </si>
  <si>
    <t>Proceeds - Carrying value</t>
  </si>
  <si>
    <t>Gain/(Loss)</t>
  </si>
  <si>
    <t>PV of future payments or FV of RoU asset</t>
  </si>
  <si>
    <t>% retained equal to discounted lease payments/ FV</t>
  </si>
  <si>
    <t>FV of underlying asset</t>
  </si>
  <si>
    <t>Carrying amount of underlying asset</t>
  </si>
  <si>
    <t>Accumlated depreciation</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</si>
  <si>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</si>
  <si>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Asset Cost</t>
  </si>
  <si>
    <t>ROU property - cost' must be recognised instead of 'Property - cost' and so the old account must be removed (I.e. PPE derecognised and ROU asset recognised)</t>
  </si>
  <si>
    <t xml:space="preserve">The lease liability should be equivalent to the PV of future lease payments and not simply the FV of the asset/ cash consideration. </t>
  </si>
  <si>
    <t>Only a proportion of tha gain on disposal may be recognised in the statement of profit or loss, equivalent to the proportion of the asset transferred.</t>
  </si>
  <si>
    <t>The proceeds received represent the leasing of the asset (lease liability of £…) and the balance represents the sales proceeds for the part of the asset not leased back.</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</si>
  <si>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</si>
  <si>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Sale and Leaseback:</t>
  </si>
  <si>
    <t>Swanson</t>
  </si>
  <si>
    <t>yes</t>
  </si>
  <si>
    <t>DR SPL revenue</t>
  </si>
  <si>
    <t>Total payments</t>
  </si>
  <si>
    <t>Paid</t>
  </si>
  <si>
    <t>Lease expense</t>
  </si>
  <si>
    <t>prepayment</t>
  </si>
  <si>
    <t>dr - prepayments</t>
  </si>
  <si>
    <t>cr - SPL - admin expenses</t>
  </si>
  <si>
    <t>being correction for prepaid lease expenses</t>
  </si>
  <si>
    <t>compute the monthly accrued cost</t>
  </si>
  <si>
    <t>consider how much piad and recognise a prepayment or accrued expense</t>
  </si>
  <si>
    <t>dr - tax expense</t>
  </si>
  <si>
    <t>advance</t>
  </si>
  <si>
    <t>Bank</t>
  </si>
  <si>
    <t>Lease Payable</t>
  </si>
  <si>
    <t>SPL - Cost of sales</t>
  </si>
  <si>
    <t xml:space="preserve">dr - tax expense </t>
  </si>
  <si>
    <t xml:space="preserve">dr - finance cost </t>
  </si>
  <si>
    <t>dr - SPL finance cost</t>
  </si>
  <si>
    <t>dr - lease payable</t>
  </si>
  <si>
    <t>cr - SPL COS</t>
  </si>
  <si>
    <t>being correction to current year leas payament</t>
  </si>
  <si>
    <t>dr - DPL RE</t>
  </si>
  <si>
    <t>cr - ROUA</t>
  </si>
  <si>
    <t>being recognition of current year depreciation charge</t>
  </si>
  <si>
    <t>did have these journals correct numerically</t>
  </si>
  <si>
    <t>just need to be aware the PY changes should be posted to RE, not SPL</t>
  </si>
  <si>
    <t>Bungle</t>
  </si>
  <si>
    <t>Sale and leaseback</t>
  </si>
  <si>
    <t>Suspense</t>
  </si>
  <si>
    <t>no</t>
  </si>
  <si>
    <t>incorrect depr charge</t>
  </si>
  <si>
    <t xml:space="preserve">dr - SPL </t>
  </si>
  <si>
    <t>being increase in depreciation charged for the year ende 31/12/22</t>
  </si>
  <si>
    <t>Smith and Smithers</t>
  </si>
  <si>
    <t>‘Financial Statements and Beyond’</t>
  </si>
  <si>
    <t>Statement of financial position</t>
  </si>
  <si>
    <t>The statement of financial position provides information on the company’s balances at a specific point in time, that is, its financial position. A statement of financial position is required on the final day of each accounting period.</t>
  </si>
  <si>
    <t>It provides information on the company’s assets balanced against its financial structure (equity and liabilities).</t>
  </si>
  <si>
    <t>Statement of profit or loss</t>
  </si>
  <si>
    <t>The statement of profit or loss provides information on the company’s transactions for the financial period, usually for the year.</t>
  </si>
  <si>
    <t>It provides information on the company’s income and expenditure and provides various profitability measures.</t>
  </si>
  <si>
    <t>The statement of profit or loss can be prepared by function or by nature of expense.</t>
  </si>
  <si>
    <t>Other comprehensive income</t>
  </si>
  <si>
    <t>Other comprehensive income (‘OCI’) may be presented as a separate statement from profit or loss or may be combined into a single ‘statement of profit or loss and other comprehensive income’.</t>
  </si>
  <si>
    <t>OCI includes ‘other’ gains and losses not otherwise reported in profit or loss.</t>
  </si>
  <si>
    <t>Such gains and losses include revaluation of property, plant and equipment or remeasurement of defined benefit pension plans.</t>
  </si>
  <si>
    <t>OCI is analysed into two categories:</t>
  </si>
  <si>
    <t>• items that will not be reclassified to profit or loss (e.g., revaluation increases); and</t>
  </si>
  <si>
    <t>• items that may be reclassified subsequently to profit or loss (e.g., exchange rate differences on translating foreign operations).</t>
  </si>
  <si>
    <t>Statement of changes in equity</t>
  </si>
  <si>
    <t>The statement of changes in equity provides information on the movements between opening and closing balances in the equity section of the statement of financial position, for the financial period.</t>
  </si>
  <si>
    <t>Movements would include, for example, dividends paid and revaluation increases.</t>
  </si>
  <si>
    <t>The statement of cash flows provides information on how cash has been generated and during the financial period.</t>
  </si>
  <si>
    <t>The statement of cash flows is analysed into three categories:</t>
  </si>
  <si>
    <t>• operating activities (cash flows in relation to day-to-day operations);</t>
  </si>
  <si>
    <t>• investing activities (cash flows in relation to non-current assets); and</t>
  </si>
  <si>
    <t>• financing activities (cash flows in relation to financing through debt and equity).</t>
  </si>
  <si>
    <t>The operating activities can be prepared using the (preferred) direct method or the indirect method.</t>
  </si>
  <si>
    <t>Strategic report</t>
  </si>
  <si>
    <t>The Companies Act 2006 (Strategic Report and Directors’ Report) Regulations 2013 made it mandatory for directors of all companies (except small and micro-companies) to prepare a strategic report for each financial year.</t>
  </si>
  <si>
    <t>There is no required format but rather the presentation must be appropriate to suit the needs of shareholders.</t>
  </si>
  <si>
    <t>The purpose of the strategic report is to inform shareholders and help them assess how the directors have performed their duties to promote success of the company.</t>
  </si>
  <si>
    <t>The strategic report should reflect directors’ views and should give a fair view of the company’s business, along with a description of principal risks and uncertainties facing the company.</t>
  </si>
  <si>
    <t>Estimates</t>
  </si>
  <si>
    <t>Estimates are inherent in the preparation of financial statements and they do not undermine their reliability.</t>
  </si>
  <si>
    <t>Examples of estimates include loss allowances, useful lives of assets and provisions.</t>
  </si>
  <si>
    <t>A change in accounting estimates is accounted for prospectively.</t>
  </si>
  <si>
    <t>Errors</t>
  </si>
  <si>
    <t>Errors can occur in the recognition, measurement, presentation or disclosure of elements of the financial statements.</t>
  </si>
  <si>
    <t>Examples of errors include:</t>
  </si>
  <si>
    <t>• failing to recognise a trade payable;</t>
  </si>
  <si>
    <t>• measuring inventories at cost when net realisable value is lower;</t>
  </si>
  <si>
    <t>• presenting non-current assets held for sale under property, plant and equipment; or</t>
  </si>
  <si>
    <t>• failing to disclose directors’ remuneration.</t>
  </si>
  <si>
    <t>Errors discovered during the financial period should be corrected for in the current year.</t>
  </si>
  <si>
    <t>Errors which effect prior periods should be retrospectively restated where material:</t>
  </si>
  <si>
    <t>• restating comparative amounts for the prior periods in which the error occurred; and</t>
  </si>
  <si>
    <t>• if an error occurred before the earliest period presented, restating opening balances in assets, equity and liabilities.</t>
  </si>
  <si>
    <t>OFD</t>
  </si>
  <si>
    <t>Court case</t>
  </si>
  <si>
    <t>over prov'n</t>
  </si>
  <si>
    <t>cr - admin expense</t>
  </si>
  <si>
    <t>being release of overprov'n and recognition as incoem on SPL</t>
  </si>
  <si>
    <t>Financial gurantee</t>
  </si>
  <si>
    <t>present obligation and probale outflow which can be measured reliably.  So prov'n</t>
  </si>
  <si>
    <t>dr - SPL</t>
  </si>
  <si>
    <t>cr - clean up prov'n</t>
  </si>
  <si>
    <t>being clean up prov'n at year end</t>
  </si>
  <si>
    <t>Bad rum</t>
  </si>
  <si>
    <t>dr - prov'n</t>
  </si>
  <si>
    <t>prov'n</t>
  </si>
  <si>
    <t>payout</t>
  </si>
  <si>
    <t>overprov'n</t>
  </si>
  <si>
    <t>As the legal obligation has been settled, the provision is no longer required.</t>
  </si>
  <si>
    <t>The amount paid (£240k) must be removed from ‘Administrative expenses’ and utilised against the provision.</t>
  </si>
  <si>
    <t>The balance of the provision (£76k) should be released back to ‘Cost of sales’ as it is no longer required.</t>
  </si>
  <si>
    <t>However, it is not probable that there will be an outflow of resources as Gimlet is in a sound financial state.</t>
  </si>
  <si>
    <t>No provision should be recognised; however, a contingent liability may be disclosed for the balance outstanding (£5,000k) unless the likelihood of Gimlet falling into financial difficulty is remote.</t>
  </si>
  <si>
    <r>
      <t xml:space="preserve">As a result of giving a guarantee, a </t>
    </r>
    <r>
      <rPr>
        <b/>
        <sz val="9"/>
        <color theme="1"/>
        <rFont val="Calibri"/>
        <family val="2"/>
        <scheme val="minor"/>
      </rPr>
      <t>legal obligation</t>
    </r>
    <r>
      <rPr>
        <sz val="9"/>
        <color theme="1"/>
        <rFont val="Calibri"/>
        <family val="2"/>
        <scheme val="minor"/>
      </rPr>
      <t xml:space="preserve"> has been created to guarantee Gimlet’s borrowings.</t>
    </r>
  </si>
  <si>
    <t>Environmental damage</t>
  </si>
  <si>
    <t>As a result of the discharge of effluent, a legal obligation has been created to clear up the environmental damage and to pay the fine.</t>
  </si>
  <si>
    <t>Some clear-up costs (£250k) and the fine (£50k) were paid before the year end and so are not a future outflow of resources and no further accounting adjustments are required.</t>
  </si>
  <si>
    <t>However, there are still costs to be paid for probable outflow of economic resource due to the remaining clear-up costs (£180k).</t>
  </si>
  <si>
    <t>A provision should be recognised based on the reliable estimate of the remaining costs provided by advisers.</t>
  </si>
  <si>
    <t>The cost of the rum has been reimbursed and a corection is required with the amoun being credited to COS rather than other income</t>
  </si>
  <si>
    <t>being correction to reibursement of costs</t>
  </si>
  <si>
    <t>As the insurance company has formally accepted the claim for costs, and other receivable may be recognised and costs of sales reduced</t>
  </si>
  <si>
    <t>dr - other assets</t>
  </si>
  <si>
    <t>cr - Cost of sales</t>
  </si>
  <si>
    <t>As the broker is confiedent (but not certain) that this is the case, a contingent asset should be disclosed in the notes to the financial statements</t>
  </si>
  <si>
    <t>191k</t>
  </si>
  <si>
    <t>Intangible asset capitalisation</t>
  </si>
  <si>
    <t>initial costs</t>
  </si>
  <si>
    <t>PY - write off.  Don't adjust</t>
  </si>
  <si>
    <t>othe costs</t>
  </si>
  <si>
    <t>refining</t>
  </si>
  <si>
    <t>packagin</t>
  </si>
  <si>
    <t>Depreciatoin</t>
  </si>
  <si>
    <t>year ended</t>
  </si>
  <si>
    <t>Staff costs</t>
  </si>
  <si>
    <t>dr - IA customer list</t>
  </si>
  <si>
    <t>cr  -admin expense</t>
  </si>
  <si>
    <t>dr - amortidation</t>
  </si>
  <si>
    <t>cr - acc'c amortisation</t>
  </si>
  <si>
    <t>being 2m of armotisation charge given the useul life of 10 years</t>
  </si>
  <si>
    <t>Development costs</t>
  </si>
  <si>
    <t>Development costs should be capitalised from the date that the criteria in IAS 38 are met; in this case, it appears that the criteria are satisfied from 1 November 2021, when the product has proved technically feasible and there is interest in it in the market.</t>
  </si>
  <si>
    <t>Costs incurred before this date should not be capitalised and so the £96k written off last year and the £900k spent up to this point should not be capitalised.</t>
  </si>
  <si>
    <t>Costs to be capitalised should be those arising from the date the criteria are met up to the date that the product is launched – the £600k incurred from 1 November 2021 to 31 May 2022.</t>
  </si>
  <si>
    <t>Costs incurred after that date (such as the packaging costs) are no longer development costs and should not be capitalised.</t>
  </si>
  <si>
    <t>A depreciation charge of £104k relating directly to the development costs should be capitalised but only for the period until the product was launched (1 April 2022).</t>
  </si>
  <si>
    <t>Capitalised depreciation charge = 5/12 months x £250k = £104k</t>
  </si>
  <si>
    <t>The total amount capitalised (£704k) should be amortised from the date the product was launched (1 April 2022) over its estimated useful life of five years.</t>
  </si>
  <si>
    <t>IAS 38 date.  Dr - IA cost</t>
  </si>
  <si>
    <t>after cap date.  Dr SPL</t>
  </si>
  <si>
    <t>Capitalised depreciatoin during development period</t>
  </si>
  <si>
    <t>cap. Depr</t>
  </si>
  <si>
    <t>IA cost</t>
  </si>
  <si>
    <t>beinfg recognition of pridcugt development cosdts</t>
  </si>
  <si>
    <t>Certain expenditure is always treated as an expense and written off to the statement of profit or loss – this includes staff training, so the amount cannot be capitalised.</t>
  </si>
  <si>
    <t>dr - IA trademark</t>
  </si>
  <si>
    <t>As the brand name has been developed internally, it cannot be capitalised.</t>
  </si>
  <si>
    <t>The cost of the trademark (£20k), however, should be capitalised as a purchased intangible asset as it meets the criteria, as follows:</t>
  </si>
  <si>
    <t>• It is a separate identifiable asset (it has been purchased);</t>
  </si>
  <si>
    <t>• It arises from legal rights (the trademark);</t>
  </si>
  <si>
    <t>• Its cost can be measured reliably (its purchase cost); and</t>
  </si>
  <si>
    <t>• It is probable that future economic benefits will flow from its use (through the continued marketing of the brand name).</t>
  </si>
  <si>
    <t>Trademark</t>
  </si>
  <si>
    <t>being purchase of trademark asset</t>
  </si>
  <si>
    <t>amor. Charge</t>
  </si>
  <si>
    <t>dr - amor</t>
  </si>
  <si>
    <t>dr AA</t>
  </si>
  <si>
    <t>being 2m charge on cap asset</t>
  </si>
  <si>
    <t>Bam</t>
  </si>
  <si>
    <t>NCA impairments</t>
  </si>
  <si>
    <t>tax adjustments</t>
  </si>
  <si>
    <t>construct the PL</t>
  </si>
  <si>
    <t>different financial year end for compay we are acquiring</t>
  </si>
  <si>
    <t>different accounting policies</t>
  </si>
  <si>
    <t>PAT</t>
  </si>
  <si>
    <t>finance income</t>
  </si>
  <si>
    <t>admin expense</t>
  </si>
  <si>
    <t>dist. Cost</t>
  </si>
  <si>
    <t>other income</t>
  </si>
  <si>
    <t>Equipment</t>
  </si>
  <si>
    <t>brand</t>
  </si>
  <si>
    <t>300 hectares</t>
  </si>
  <si>
    <t>in the fair value hierarchy</t>
  </si>
  <si>
    <t>the comparable fair value</t>
  </si>
  <si>
    <t>would be higher than an NPV</t>
  </si>
  <si>
    <t>the increase in rents and discount rate would be on level 3</t>
  </si>
  <si>
    <t>but we have level 2 data so we will use that</t>
  </si>
  <si>
    <t>other NCA</t>
  </si>
  <si>
    <t>CTS</t>
  </si>
  <si>
    <t>impairment on reval</t>
  </si>
  <si>
    <t>Brand</t>
  </si>
  <si>
    <t>CF</t>
  </si>
  <si>
    <t>DCF</t>
  </si>
  <si>
    <t>Current tax</t>
  </si>
  <si>
    <t>tax refunds</t>
  </si>
  <si>
    <t>dr - SPl taxation</t>
  </si>
  <si>
    <t>being current tax payable at 31/12/2022</t>
  </si>
  <si>
    <t>Instalments</t>
  </si>
  <si>
    <t>dr - current tax payable</t>
  </si>
  <si>
    <t>cr - prepayments</t>
  </si>
  <si>
    <t>being correction to instalment paid in the year ended 31/12/2022 relating to the year ended 31/12/2021</t>
  </si>
  <si>
    <t>cr SPL taxation</t>
  </si>
  <si>
    <t>bveing correctionto recognise tax refund relating to the year ended 31/12/2021</t>
  </si>
  <si>
    <t>reduction in taxation charge</t>
  </si>
  <si>
    <t>impairment on NCA</t>
  </si>
  <si>
    <t>ruduction in taxable profits</t>
  </si>
  <si>
    <t>correction to recognise tax refund</t>
  </si>
  <si>
    <t>being correction to taxation for the year ended 31/12/2022</t>
  </si>
  <si>
    <t>Different financial year ends</t>
  </si>
  <si>
    <t>It is recommended that the financial statements of a parent company and all its subsidiaries should, where possible, be coterminous.</t>
  </si>
  <si>
    <t>Where this is not possible, the subsidiary should prepare additional financial information as at the date of the parent’s accounts to enable the parent to consolidate the information, unless it is impracticable to do so.</t>
  </si>
  <si>
    <t>If it is impracticable, then provided the subsidiary’s year end is within three months of the parent’s year end, those accounts may be incorporated as if they ended coterminously. In this case, any significant transactions or events which have affected a subsidiary in the gap period must be considered by adjusting on consolidation.</t>
  </si>
  <si>
    <t>Therefore, if Bam were to acquire the Japanese company, they would have to consider whether it is possible to change the Japanese company’s year end from its current date of 31 March to 31 December.</t>
  </si>
  <si>
    <t>If not, Bam must consider, whether it is practicable for the company to produce the necessary information as at 31 December. If not, the company’s financial statements for the year ended 31 March following those of Bam’s accounts could be used as this is (just) within the three-month period allowed. This could delay the production of the group accounts by at least three months, which may not be desirable.</t>
  </si>
  <si>
    <t>Different accounting policies</t>
  </si>
  <si>
    <t>Uniform group accounting policies are required and the Japanese company may be able to change its policies within its individual accounts to ensure uniformity. If this is not possible (e.g., to comply with local laws or regulations), then adjustments to the subsidiary’s accounts would have to be made before they were consolidated into Bam’s group accounts.</t>
  </si>
  <si>
    <t>per acre</t>
  </si>
  <si>
    <t>cashflow pa</t>
  </si>
  <si>
    <t>higher of FV and VIU</t>
  </si>
  <si>
    <t>dr - SPL admin expense</t>
  </si>
  <si>
    <t>cr - land - valuations</t>
  </si>
  <si>
    <t>cr - buildings - AD</t>
  </si>
  <si>
    <t>cr - Equipment - AD</t>
  </si>
  <si>
    <t>cr - brand - AD</t>
  </si>
  <si>
    <t>being impairment on NCA</t>
  </si>
  <si>
    <t>Barclay</t>
  </si>
  <si>
    <t>Refurbishment</t>
  </si>
  <si>
    <t>Maintenance contract</t>
  </si>
  <si>
    <t>cancellation fee</t>
  </si>
  <si>
    <t>unavoidable cost</t>
  </si>
  <si>
    <t>cost of contract</t>
  </si>
  <si>
    <t>cr - prepayment</t>
  </si>
  <si>
    <t>cr - prov'n for onerous contract</t>
  </si>
  <si>
    <t>dr - SPL administrative expense</t>
  </si>
  <si>
    <t>Call centre</t>
  </si>
  <si>
    <t>present obligation existed pre year end as this had been communicated to EE's and trade unions</t>
  </si>
  <si>
    <t>Expected gain on sale</t>
  </si>
  <si>
    <t>relocating key personnel</t>
  </si>
  <si>
    <t>redundancy payments</t>
  </si>
  <si>
    <t>new equip</t>
  </si>
  <si>
    <t>training staff</t>
  </si>
  <si>
    <t>cost of closing call centre</t>
  </si>
  <si>
    <t>&lt;&lt;&lt;cannot be provisioned</t>
  </si>
  <si>
    <t>adjsut</t>
  </si>
  <si>
    <t>total expense</t>
  </si>
  <si>
    <t>adjusted provsiosn</t>
  </si>
  <si>
    <t>cr - SPl cost of sales</t>
  </si>
  <si>
    <t>dr - provisoin for closure</t>
  </si>
  <si>
    <t>being removal of disallowed cost</t>
  </si>
  <si>
    <t>Central booking system</t>
  </si>
  <si>
    <t xml:space="preserve">best estimate is </t>
  </si>
  <si>
    <t>present obligatoin</t>
  </si>
  <si>
    <t>future outflow</t>
  </si>
  <si>
    <t>reliably estimates</t>
  </si>
  <si>
    <t>this is and disclosure of a contingent liabilit as the outflow is not probable and also not remote</t>
  </si>
  <si>
    <t>the disclosure should include the damages pursued and our estimated payout</t>
  </si>
  <si>
    <t>Sale of land</t>
  </si>
  <si>
    <t>given the accounting entiers were made pre-year end</t>
  </si>
  <si>
    <t>there was a present obligatoin</t>
  </si>
  <si>
    <t>this NCA should be classified as a held for sale asse</t>
  </si>
  <si>
    <t>gain</t>
  </si>
  <si>
    <t>classify as NNCAHFS</t>
  </si>
  <si>
    <t>the accounting on sale happens in the next financial year</t>
  </si>
  <si>
    <t>Costs in relation to the new call centre in India are not restructuring costs.</t>
  </si>
  <si>
    <t>The expected profit on sale of Manchester centre must be excluded as anticipated profits are not relevant to credit against expenses of restructuring.</t>
  </si>
  <si>
    <t>As the sale was not highly probable at year end, the land would not have qualified as a non-current asset held for sale</t>
  </si>
  <si>
    <t>dr - finance income</t>
  </si>
  <si>
    <t>dr - Cost</t>
  </si>
  <si>
    <t>being reinstatements of land</t>
  </si>
  <si>
    <t>Refurbishment costs do not create an obligation as they can be avoided through selling the offices.</t>
  </si>
  <si>
    <t>No provision may be recognised and so the provision should be released to administrative expenses.</t>
  </si>
  <si>
    <t>The maintenance contract is an onerous contract in which the unavoidable costs of meeting the obligations under the contract exceed the nil economic benefits expected to be received under it.</t>
  </si>
  <si>
    <t>A provision shall be recognised for the cancellation fee of £2,000k as this is lower than the unavoidable cost of £3,000k.</t>
  </si>
  <si>
    <t>The prepayment should be eliminated as there is no future service to be performed.</t>
  </si>
  <si>
    <t>Cost of contract = £600k + (2 years x £1,200k) = £3,000k</t>
  </si>
  <si>
    <t>The closure of a business location qualifies as restructuring.</t>
  </si>
  <si>
    <t>A constructive obligation is created as there is a detailed formal plan and the company has raised a valid expectation in those affected by communicating the decision.</t>
  </si>
  <si>
    <t>It is not clear whether there is a present legal obligation which will result in an outflow of economic resources, but solicitors believe they will successfully defend the action.</t>
  </si>
  <si>
    <t>No provision may be made for this action; however, as there is a possible obligation, a contingent liability should be disclosed if the effect is deemed to be material.</t>
  </si>
  <si>
    <t>The sale had not taken place at the year end and, therefore, should not have been disposed of in the nominal ledger.</t>
  </si>
  <si>
    <t>As the sale was not highly probable at the year-end date, the land would not have qualified as a non-current asset held for sale either.</t>
  </si>
  <si>
    <t>The asset must be reinstated with the profit and receivable eliminated.</t>
  </si>
  <si>
    <t>Zoers</t>
  </si>
  <si>
    <t>Share buyback</t>
  </si>
  <si>
    <t>1/3/222</t>
  </si>
  <si>
    <t>cr - SPL - buyback account</t>
  </si>
  <si>
    <t>dr - Premium on purchase</t>
  </si>
  <si>
    <t>cr - premium on purchase</t>
  </si>
  <si>
    <t>Step 5 - Replace the nominal value of shares purchased</t>
  </si>
  <si>
    <t>cr - CRR</t>
  </si>
  <si>
    <t>dr - retained earnings</t>
  </si>
  <si>
    <t>issue</t>
  </si>
  <si>
    <t>coupoin</t>
  </si>
  <si>
    <t>5% discount</t>
  </si>
  <si>
    <t>Original journal</t>
  </si>
  <si>
    <t>DR SPL - bank</t>
  </si>
  <si>
    <t xml:space="preserve">CR bonds </t>
  </si>
  <si>
    <t xml:space="preserve">CR Reserve for convertible bonds </t>
  </si>
  <si>
    <t>Bank Loan</t>
  </si>
  <si>
    <t>convertible bonds 1/7/21</t>
  </si>
  <si>
    <t>SC - £0.5</t>
  </si>
  <si>
    <t>dr - SPL finance costs</t>
  </si>
  <si>
    <t>being correction to convertible bonds</t>
  </si>
  <si>
    <t>CR SPL finance cost</t>
  </si>
  <si>
    <t>CRR</t>
  </si>
  <si>
    <t xml:space="preserve"> buyback</t>
  </si>
  <si>
    <t>conv. Debt</t>
  </si>
  <si>
    <t>SPL / RE impact</t>
  </si>
  <si>
    <t>JE1</t>
  </si>
  <si>
    <t>JE 4</t>
  </si>
  <si>
    <t>cr to RE</t>
  </si>
  <si>
    <t>being the tax impact of the adjustments made</t>
  </si>
  <si>
    <t>SPL</t>
  </si>
  <si>
    <t>Rights issue</t>
  </si>
  <si>
    <t>Ratio</t>
  </si>
  <si>
    <t>:</t>
  </si>
  <si>
    <t>Shares in issue</t>
  </si>
  <si>
    <t xml:space="preserve">Uptake </t>
  </si>
  <si>
    <t xml:space="preserve">New shares issued (#) </t>
  </si>
  <si>
    <t>DR other income</t>
  </si>
  <si>
    <t>Share issue</t>
  </si>
  <si>
    <t>Issue of shares</t>
  </si>
  <si>
    <t>Shares issued</t>
  </si>
  <si>
    <t>Par value</t>
  </si>
  <si>
    <t>Issue price</t>
  </si>
  <si>
    <t>Issue costs</t>
  </si>
  <si>
    <t>TCI</t>
  </si>
  <si>
    <t>cR SPL - financnce cost</t>
  </si>
  <si>
    <t>Total comprehensive incomie</t>
  </si>
  <si>
    <t>opening</t>
  </si>
  <si>
    <t>Transfer to retained earnings</t>
  </si>
  <si>
    <t>Issue of share capital</t>
  </si>
  <si>
    <t>close</t>
  </si>
  <si>
    <t>Dewar</t>
  </si>
  <si>
    <t>Production machinery</t>
  </si>
  <si>
    <t>no active market</t>
  </si>
  <si>
    <t>cost to replace is rouhgly the same as the held value</t>
  </si>
  <si>
    <t>VU]</t>
  </si>
  <si>
    <t>dr- PPE</t>
  </si>
  <si>
    <t>cr - revaluation surplus</t>
  </si>
  <si>
    <t>being adjustment to value machine at fair value</t>
  </si>
  <si>
    <t>IFRS 13 has a valuation hierarchy, with Level 1 being quoted prices in active markets, Level 2 being observable inputs (ie information based on market data, such as publicly available information) and Level 3 being unobservable inputs (ie no market data available, greater use of assumptions).</t>
  </si>
  <si>
    <t>The standard states that a company should use valuation techniques that maximise the use of relevant observable inputs and minimise the use of unobservable inputs.</t>
  </si>
  <si>
    <t>Three widely used valuation techniques are the market approach, the cost approach and the income approach. When more than one approach is used, the results should be evaluated and the most representative fair value should be determined.</t>
  </si>
  <si>
    <t>Dewar – market approach</t>
  </si>
  <si>
    <t>In Dewar’s case, there is no active market for the machine and therefore no quoted price which can be used to measure the fair value of the machine (market approach).</t>
  </si>
  <si>
    <t>Dewar – cost approach</t>
  </si>
  <si>
    <t>The cost approach could be used. There is a Level 2 observable input which is the current published price of the same machine in brand-new condition - £105,000. This is the machine’s current replacement cost.</t>
  </si>
  <si>
    <t>However, Dewar’s machine is now two years old, not brand new, so this must be taken into account. The depreciated replacement cost of the machine adjusts the current cost of the machine for its age and condition. The manufacturer of the machine expects the machine to last for five years, and this is also the depreciation policy of Dewar, so it is reasonable to reduce the cost of the machine by 40% (two years out of five) to £63,000.</t>
  </si>
  <si>
    <t>Dewar – income approach</t>
  </si>
  <si>
    <t>The present value of future cash flows is an example of the income approach and has been calculated as £62,000.</t>
  </si>
  <si>
    <t>Carrying amount at 31 October 2022</t>
  </si>
  <si>
    <t>Fair value:</t>
  </si>
  <si>
    <t>Market approach</t>
  </si>
  <si>
    <t>Cost approach</t>
  </si>
  <si>
    <t>Income approach</t>
  </si>
  <si>
    <t>The cost approach uses the replacement cost of the machine adjusted for two years of usage. Both the published price (replacement cost) and the manufacturer’s expected asset life are “objective” evidence to support the adjustment calculation ie the adjustment is not just based on Dewar’s own estimate for depreciation.</t>
  </si>
  <si>
    <t>The income approach is based on unobservable inputs, both the expected future cash flows and the average cost of borrowing, which have greater use of assumptions ie are more subjective.</t>
  </si>
  <si>
    <t>Both approaches produce a similar fair value, but as the cost approach makes use of Level 2 observable inputs, it would be considered to be slightly more reliable.</t>
  </si>
  <si>
    <t>Therefore, an increase of £3,000 (£63k - £60k) in the carrying amount of the machine should be recorded.</t>
  </si>
  <si>
    <t>dR Share capital</t>
  </si>
  <si>
    <t>correcting journal to inclue issue cost as part of SP and to remove the SP from the SC recording</t>
  </si>
  <si>
    <t>Share for share transaction</t>
  </si>
  <si>
    <t>for</t>
  </si>
  <si>
    <t>cr  - SP</t>
  </si>
  <si>
    <t>being issue of shares as consieration for investment in a financial asset</t>
  </si>
  <si>
    <t>DR Retained earnings</t>
  </si>
  <si>
    <t>CR Share Capital</t>
  </si>
  <si>
    <t>Number of bonus shares issued</t>
  </si>
  <si>
    <t>Remember any new issues as per question</t>
  </si>
  <si>
    <t>Number of shares in issue</t>
  </si>
  <si>
    <t>The nominal value of shares must be removed from Retained earnings to create share capital</t>
  </si>
  <si>
    <t>An issue of bonus shares is a conversion of reserves (in this case, "Retained earnings") into share capital and no consideration is received</t>
  </si>
  <si>
    <t>Bonus Issue</t>
  </si>
  <si>
    <t>Property revaluatoins</t>
  </si>
  <si>
    <t>opening balance of the revaluation surplus</t>
  </si>
  <si>
    <t>being annual transfer from revaluatoin surplus to retained earnings</t>
  </si>
  <si>
    <t>remaining balance</t>
  </si>
  <si>
    <t>&lt;&lt;&lt;reval of investments</t>
  </si>
  <si>
    <t>dr - RVS - investment portion</t>
  </si>
  <si>
    <t>being release of RVS on sale of investment property</t>
  </si>
  <si>
    <t>Pre- adjustment profit</t>
  </si>
  <si>
    <t>poperty reval</t>
  </si>
  <si>
    <t>Profit fpr the year</t>
  </si>
  <si>
    <t>dr - Financial assets investments in Dewar</t>
  </si>
  <si>
    <t>Ficticious invoice</t>
  </si>
  <si>
    <t>being elimination of ficticious invoice</t>
  </si>
  <si>
    <t>PY error</t>
  </si>
  <si>
    <t>Rallinth</t>
  </si>
  <si>
    <t>Igirre</t>
  </si>
  <si>
    <t>disposed</t>
  </si>
  <si>
    <t>acquired</t>
  </si>
  <si>
    <t>Shares acquire</t>
  </si>
  <si>
    <t>Consideration</t>
  </si>
  <si>
    <t>gained control here</t>
  </si>
  <si>
    <t>as at 1/1/22</t>
  </si>
  <si>
    <t>we take control</t>
  </si>
  <si>
    <t>our own minority stake has been accounted for in bear's accounts</t>
  </si>
  <si>
    <t>so will not affect our consolidation</t>
  </si>
  <si>
    <t>Step 2: Eliminate investment in subsiduary</t>
  </si>
  <si>
    <t>dr -gw</t>
  </si>
  <si>
    <t>cr - investment in Rallinthe</t>
  </si>
  <si>
    <t>being elimination of goodwill and recognition of NCI interest</t>
  </si>
  <si>
    <t>Increase in controlling shareholding</t>
  </si>
  <si>
    <t xml:space="preserve">Additional investment </t>
  </si>
  <si>
    <t>Previous % shareholding</t>
  </si>
  <si>
    <t>New % shareholding</t>
  </si>
  <si>
    <t xml:space="preserve">% Acquired from NCI </t>
  </si>
  <si>
    <t>Retained earnings</t>
  </si>
  <si>
    <t>Other equity</t>
  </si>
  <si>
    <t>Net assets acquired from NCI</t>
  </si>
  <si>
    <t>Gain/(Loss) to retained earnings</t>
  </si>
  <si>
    <t>DR SFP - non-controlling interests</t>
  </si>
  <si>
    <t>CR Investment in subsidiary</t>
  </si>
  <si>
    <t>Step 3:  Share of historical profits</t>
  </si>
  <si>
    <t>Profits in the year</t>
  </si>
  <si>
    <t>Group share</t>
  </si>
  <si>
    <t>NCI share</t>
  </si>
  <si>
    <t>n/a - acquired in the year</t>
  </si>
  <si>
    <t>Step 4: share of Cy profits</t>
  </si>
  <si>
    <t>cr - NCI share</t>
  </si>
  <si>
    <t>being allocation of CY share of profits</t>
  </si>
  <si>
    <t>DR SPL - Non-controlling interests</t>
  </si>
  <si>
    <t>CR SFP - Non-controlling interests</t>
  </si>
  <si>
    <t>Step 5:  IC balances</t>
  </si>
  <si>
    <t>IC pruchases and unrealised profits at ye</t>
  </si>
  <si>
    <t>first trade we nbefore group so do not need to be asjusted for</t>
  </si>
  <si>
    <t>Intercompany sales and purchases</t>
  </si>
  <si>
    <t>Sub -&gt; Parent</t>
  </si>
  <si>
    <t>ICO Sales Amount</t>
  </si>
  <si>
    <t>ICO CoS</t>
  </si>
  <si>
    <t xml:space="preserve">ICO profit </t>
  </si>
  <si>
    <t xml:space="preserve">Sold on to external parties </t>
  </si>
  <si>
    <t xml:space="preserve">Unrealised profit within group </t>
  </si>
  <si>
    <t>NCI Share of adjustment</t>
  </si>
  <si>
    <t>DR SFP - Non-controlling interests</t>
  </si>
  <si>
    <t>Step 2: elim investment and recog. Gw</t>
  </si>
  <si>
    <t>dr - GW</t>
  </si>
  <si>
    <t>cr - investment in Igirre</t>
  </si>
  <si>
    <t>being elimination of investment in subsidiary and recognition of goodwill</t>
  </si>
  <si>
    <t>Step 3:  impair gw</t>
  </si>
  <si>
    <t>being historical impairment of goodwill</t>
  </si>
  <si>
    <t>Step 4: allocate historical profits</t>
  </si>
  <si>
    <t>decrease</t>
  </si>
  <si>
    <t>NCI share of decrease</t>
  </si>
  <si>
    <t>DR Revaluation surplus</t>
  </si>
  <si>
    <t>historic gains/losses</t>
  </si>
  <si>
    <t>Step 5:  CY profits</t>
  </si>
  <si>
    <t>Step 6:  IC trade</t>
  </si>
  <si>
    <t>none</t>
  </si>
  <si>
    <t xml:space="preserve">Disposal </t>
  </si>
  <si>
    <t>Carrying amount of goodwill disposed of</t>
  </si>
  <si>
    <t>Net assets</t>
  </si>
  <si>
    <t>NCI Share of net assets</t>
  </si>
  <si>
    <t xml:space="preserve">Net assets held by parent </t>
  </si>
  <si>
    <t xml:space="preserve">Gain/(loss) on disposal </t>
  </si>
  <si>
    <t>CR Goodwill</t>
  </si>
  <si>
    <t>CR Net assets</t>
  </si>
  <si>
    <t>DR SPL - loss on disposal</t>
  </si>
  <si>
    <t>80% of NA held by  parent</t>
  </si>
  <si>
    <t>DR RE</t>
  </si>
  <si>
    <t>bein correction to recognise gain on full disposal of subsidiaries</t>
  </si>
  <si>
    <t>CR RE</t>
  </si>
  <si>
    <t>CR SPL - Non-controlling interests</t>
  </si>
  <si>
    <t>being elimination of intercompany sales and purchases</t>
  </si>
  <si>
    <t>DR - SPL COS</t>
  </si>
  <si>
    <t>being elimination of intercompany unrealised profit in inventories</t>
  </si>
  <si>
    <t>Laurel</t>
  </si>
  <si>
    <t xml:space="preserve"> Hardy</t>
  </si>
  <si>
    <t>Standard costing</t>
  </si>
  <si>
    <t>Inventories must be valued at the lower of cost and net realisable value (NRV).</t>
  </si>
  <si>
    <t>Selling and distribution variance should be used to adjust NRV.</t>
  </si>
  <si>
    <t>Inventories must be valued at their [cost/nrv] of £xxx as net realisable value is less than/is greater than the unit cost.</t>
  </si>
  <si>
    <t>new closing stock</t>
  </si>
  <si>
    <t>old closing stock</t>
  </si>
  <si>
    <t>dr - Inventory</t>
  </si>
  <si>
    <t>being increase to inventory due to cost variances</t>
  </si>
  <si>
    <t>Alpha</t>
  </si>
  <si>
    <t>Beta</t>
  </si>
  <si>
    <t>Variable costs</t>
  </si>
  <si>
    <t xml:space="preserve">Finished goods include all costs to bring the inventories to their current location and in their current condition - including purchase price, transport costs, irrecoverable import duties and costs of conversion. </t>
  </si>
  <si>
    <t>Fixed production overheads</t>
  </si>
  <si>
    <t>IAS 2 requires abosorption costing for dealing with production overheads</t>
  </si>
  <si>
    <t>Total potentially allowable costs</t>
  </si>
  <si>
    <t xml:space="preserve">Fixed costs must be absorbed into total costs based on normal capacity, but are restricted to actual production if actual production falls beneath normal production. </t>
  </si>
  <si>
    <t>Selling, general admin and distribution costs are excluded from the cost of production as these are disallowed under IAS 2 (should be included as admin/distribution costs)</t>
  </si>
  <si>
    <t>Actual production</t>
  </si>
  <si>
    <t>Normal capacity</t>
  </si>
  <si>
    <t>Closing inventory (units)</t>
  </si>
  <si>
    <t>Allocation of fixed costs</t>
  </si>
  <si>
    <t>Based on actual unless actual&lt;normal capacity, in which case alloated on normal capacity</t>
  </si>
  <si>
    <t>Total costs</t>
  </si>
  <si>
    <t>Cost per unit</t>
  </si>
  <si>
    <t>£/ unit</t>
  </si>
  <si>
    <t>Variable production costs</t>
  </si>
  <si>
    <t>VC / Production</t>
  </si>
  <si>
    <t>Total allowable cost per unit</t>
  </si>
  <si>
    <t>Cost of closing inventory</t>
  </si>
  <si>
    <t xml:space="preserve">Inventories must be valued at the lower of cost and NRV. </t>
  </si>
  <si>
    <t>Always assume raw material will be used in  a profitable product and that WIP will be completed as  a profitable product</t>
  </si>
  <si>
    <t xml:space="preserve">Selling and distribution costs must be deducted from the sales price to give the NRV per unit. </t>
  </si>
  <si>
    <t>Selling and distribution variance should be used to adjust NRV (Remember not incurred in respect of inventory at YE)</t>
  </si>
  <si>
    <t>As cost/NRV is lower, … is valued at ….</t>
  </si>
  <si>
    <t xml:space="preserve">Item </t>
  </si>
  <si>
    <t>Units</t>
  </si>
  <si>
    <t>Carrying value</t>
  </si>
  <si>
    <t>Sales price</t>
  </si>
  <si>
    <t>NRV (sales price - costs)</t>
  </si>
  <si>
    <t>Value of closing inventory</t>
  </si>
  <si>
    <t>£/unit</t>
  </si>
  <si>
    <t xml:space="preserve">Writedown of Inventory </t>
  </si>
  <si>
    <t>Valued at LCM</t>
  </si>
  <si>
    <t>Writedown</t>
  </si>
  <si>
    <t xml:space="preserve">Units sold = </t>
  </si>
  <si>
    <t>DR SPL - Cost of sales</t>
  </si>
  <si>
    <t>CR Inventories</t>
  </si>
  <si>
    <t>inventory balances</t>
  </si>
  <si>
    <t>materials</t>
  </si>
  <si>
    <t>prod'n</t>
  </si>
  <si>
    <t>Omega</t>
  </si>
  <si>
    <t xml:space="preserve">invenotry </t>
  </si>
  <si>
    <t>value at year end was 54k</t>
  </si>
  <si>
    <t>cr - invenotries</t>
  </si>
  <si>
    <t>write down inventoruy value to lower of cost and nrc = 54k</t>
  </si>
  <si>
    <t>Laural</t>
  </si>
  <si>
    <t>Hardy</t>
  </si>
  <si>
    <t>DR Finance income</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</si>
  <si>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</si>
  <si>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</si>
  <si>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</si>
  <si>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DR SPL - Revenue</t>
  </si>
  <si>
    <t>CR SPL - Cost of sales</t>
  </si>
  <si>
    <t>CR Inventory</t>
  </si>
  <si>
    <t>Dr - SDF NCI</t>
  </si>
  <si>
    <t>cr - SPF NCI</t>
  </si>
  <si>
    <t>cR SPL - Non-controlling interests</t>
  </si>
  <si>
    <t>other varaible costs</t>
  </si>
  <si>
    <t>being raw materials inventories</t>
  </si>
  <si>
    <t>selling and ist costs</t>
  </si>
  <si>
    <t>dr - trade payable</t>
  </si>
  <si>
    <t>cr - trade receivables</t>
  </si>
  <si>
    <t>being elimination of internal balances</t>
  </si>
  <si>
    <t>IC divi</t>
  </si>
  <si>
    <t>dr - SPL finance income</t>
  </si>
  <si>
    <t>being elimination of exteranl dividends</t>
  </si>
  <si>
    <t>Heartland</t>
  </si>
  <si>
    <t>PAT before adjustments</t>
  </si>
  <si>
    <t>Plant and equipment</t>
  </si>
  <si>
    <t>fixtures and fittings</t>
  </si>
  <si>
    <t>hotels</t>
  </si>
  <si>
    <t>reval model</t>
  </si>
  <si>
    <t>historical cost</t>
  </si>
  <si>
    <t>Fixtures and fittings</t>
  </si>
  <si>
    <t>Purchase of specialist light bulbs from Canada</t>
  </si>
  <si>
    <t>Import duties for specialist light bulbs</t>
  </si>
  <si>
    <t>Hire of machinery for site preparation</t>
  </si>
  <si>
    <t>First payment to electrician for lighting system</t>
  </si>
  <si>
    <t>Second payment to electrician for lighting system</t>
  </si>
  <si>
    <t>Promotional literature on lights</t>
  </si>
  <si>
    <t>the promotional literature is not a direct capital expense</t>
  </si>
  <si>
    <t>this needs to be posted through the SPL</t>
  </si>
  <si>
    <t>cr - PPE - lighting system</t>
  </si>
  <si>
    <t xml:space="preserve">dr - PPP cost </t>
  </si>
  <si>
    <t>being accrual for electircians third payment</t>
  </si>
  <si>
    <t>Fleming</t>
  </si>
  <si>
    <t>Morris</t>
  </si>
  <si>
    <t>valuation</t>
  </si>
  <si>
    <t>sold</t>
  </si>
  <si>
    <t>increase on reval</t>
  </si>
  <si>
    <t>being revaluatioin of PPE</t>
  </si>
  <si>
    <t>if it is still included on the FAR I assuming it is not sold and should be classified as held for sale</t>
  </si>
  <si>
    <t>dr loss on reval</t>
  </si>
  <si>
    <t>cr - PPE Cost</t>
  </si>
  <si>
    <t>being reclass as NCAHFS, loss recognised and RVS released to RE</t>
  </si>
  <si>
    <t>Appx 2</t>
  </si>
  <si>
    <t>DR revenue</t>
  </si>
  <si>
    <t>Dividend paid</t>
  </si>
  <si>
    <t>dividend amount</t>
  </si>
  <si>
    <t>retained/ distributable earnings are high enough to make the dividen legal</t>
  </si>
  <si>
    <t>dr - Plant and equipment AD</t>
  </si>
  <si>
    <t>cr - Plant and equipment</t>
  </si>
  <si>
    <t>cr - gian on exchange</t>
  </si>
  <si>
    <t>being exxhange of assets</t>
  </si>
  <si>
    <t>cr - SPL depreciation</t>
  </si>
  <si>
    <t>being correction to decrease in depreciation charge</t>
  </si>
  <si>
    <t>depreciatoin on valuation</t>
  </si>
  <si>
    <t>depreciation on historical cost</t>
  </si>
  <si>
    <t>being annual transfer from revaluatoin surplius</t>
  </si>
  <si>
    <t>wind back the depreciation charge</t>
  </si>
  <si>
    <t>CR - DEPR</t>
  </si>
  <si>
    <t>being decrease in depreciation charge</t>
  </si>
  <si>
    <t>Depreciation on valuation</t>
  </si>
  <si>
    <t>Depreciation on historical cost</t>
  </si>
  <si>
    <t>increase from revaluation surplus</t>
  </si>
  <si>
    <t>dr - revaluation surplus</t>
  </si>
  <si>
    <t>cr - retained earnings</t>
  </si>
  <si>
    <t>being annual transfer from revalaution surplus</t>
  </si>
  <si>
    <t>Dr - hotels AD</t>
  </si>
  <si>
    <t>cr - SPL dividned paid</t>
  </si>
  <si>
    <t>being correction for dividend paid</t>
  </si>
  <si>
    <t>the dividend payment has to come out of retained earnings.   No the PL</t>
  </si>
  <si>
    <t>Until 30 June 2023, the current head office will be accounted for as property (IAS 16 Property, Plant and Equipment) and the larger office will be accounted for as an investment property (IAS 40 Investment Property) under the fair value model in accordance with Heartland’s accounting policy.</t>
  </si>
  <si>
    <t>Investment property cannot be owner-occupied and, therefore, the suggested change from 1 July 2023 will require the current head office to transfer to classification as an investment property and vice versa.</t>
  </si>
  <si>
    <t>The current head office should be depreciated for the five months ended 30 June 2023.</t>
  </si>
  <si>
    <t>At the date of transfer, the fair value of the current head office should be established and treated as a revaluation with any gains or losses treated accordingly.</t>
  </si>
  <si>
    <t>From 1 July 2023 onwards, the current head office will be treated as an investment property under the fair value model and should not be depreciated.</t>
  </si>
  <si>
    <t>It will be remeasured at each subsequent year end with fair value gains and losses recognised in profit or loss.</t>
  </si>
  <si>
    <t>The fair value of the larger property should also be established at the date of transfer with any gains or losses being recognised in profit or loss as it is an investment property to this date.</t>
  </si>
  <si>
    <t>From 1 July 2023 onwards, the larger office will be treated as property and should be depreciated from that date over its remaining useful economic life.</t>
  </si>
  <si>
    <t>number of options</t>
  </si>
  <si>
    <t>value on issue date</t>
  </si>
  <si>
    <t>cr  -SP</t>
  </si>
  <si>
    <t>being exercise of options in Jan 2022</t>
  </si>
  <si>
    <t>lapsed options</t>
  </si>
  <si>
    <t>cancelled options</t>
  </si>
  <si>
    <t>option reserve</t>
  </si>
  <si>
    <t>dr - option reserve</t>
  </si>
  <si>
    <t>cr - staff costs</t>
  </si>
  <si>
    <t>being release of overprov'n for service options</t>
  </si>
  <si>
    <t>dr - executive share option reserve</t>
  </si>
  <si>
    <t>Thoth</t>
  </si>
  <si>
    <t>Epic</t>
  </si>
  <si>
    <t>Mitre</t>
  </si>
  <si>
    <t>Step 2:  eliminate investment and recognise gw</t>
  </si>
  <si>
    <t>adjustments to net assets</t>
  </si>
  <si>
    <t>inventory write down</t>
  </si>
  <si>
    <t>dr - gwq</t>
  </si>
  <si>
    <t>cr - investment in Epic</t>
  </si>
  <si>
    <t>being elimination of investment and recognition</t>
  </si>
  <si>
    <t>Step 3:  impair goodwill</t>
  </si>
  <si>
    <t>dr - SPL impairment of goodwill</t>
  </si>
  <si>
    <t>cr - goodwill</t>
  </si>
  <si>
    <t>being impairment of goodwill by 30%</t>
  </si>
  <si>
    <t>Step 4: historical profit and gain/loss allocatoin</t>
  </si>
  <si>
    <t>n/a - acquired during the year</t>
  </si>
  <si>
    <t>dr - SPL NCI</t>
  </si>
  <si>
    <t>being NCI share of CY profits</t>
  </si>
  <si>
    <t>Step 6:  IC transactions</t>
  </si>
  <si>
    <t>parent rents from sub</t>
  </si>
  <si>
    <t>FV of office</t>
  </si>
  <si>
    <t>rent payment</t>
  </si>
  <si>
    <t>rent, NCA and the deprecation cahrte</t>
  </si>
  <si>
    <t>depreciation for 5m to 31/05/2022</t>
  </si>
  <si>
    <t>cr - SPL depr</t>
  </si>
  <si>
    <t>being reversal of the depreciation charge in the group</t>
  </si>
  <si>
    <t>DR SPL - Other income</t>
  </si>
  <si>
    <t>CR SPL - administrative expenses</t>
  </si>
  <si>
    <t>Mgmt expense</t>
  </si>
  <si>
    <t>dr - Property cost</t>
  </si>
  <si>
    <t>cr - Investment property</t>
  </si>
  <si>
    <t>being classification of investment property to owner-occupied property for consolidation purposes only</t>
  </si>
  <si>
    <t>Intercompany rent</t>
  </si>
  <si>
    <t>being elimination of intercompany rent</t>
  </si>
  <si>
    <t>deferred income / prepayement from annual payment in advance</t>
  </si>
  <si>
    <t>dr - deferred income</t>
  </si>
  <si>
    <t>being elimination of intercompany deferred income and prepayment from annual rent paid in advance on 01/12/21</t>
  </si>
  <si>
    <t>JV</t>
  </si>
  <si>
    <t>what we're buying</t>
  </si>
  <si>
    <t>shares</t>
  </si>
  <si>
    <t>of SC</t>
  </si>
  <si>
    <t>cr - SPL gain on reval</t>
  </si>
  <si>
    <t>being increase from NBV to FV</t>
  </si>
  <si>
    <t>dr - investment in Mitre (JV)</t>
  </si>
  <si>
    <t xml:space="preserve">cr - Plant and equipment </t>
  </si>
  <si>
    <t>being investment in JV</t>
  </si>
  <si>
    <t>cr - fiannce costs</t>
  </si>
  <si>
    <t>Divided paid</t>
  </si>
  <si>
    <t>cr - investment in Mitre</t>
  </si>
  <si>
    <t>Steo 3:  allocate share of profits</t>
  </si>
  <si>
    <t>dr - investmentin in Mitre</t>
  </si>
  <si>
    <t>cr - SPL share of profit of joint venture</t>
  </si>
  <si>
    <t>being group share of current year profits</t>
  </si>
  <si>
    <t>Do not include fees for directors of joint ventures/associates</t>
  </si>
  <si>
    <t>Mx Doh</t>
  </si>
  <si>
    <t>Mx Ray</t>
  </si>
  <si>
    <t>Mx Tee</t>
  </si>
  <si>
    <t>Mx Lah</t>
  </si>
  <si>
    <t>Mx Scale</t>
  </si>
  <si>
    <t>The highest paid director exercised … share options of the company [- these were received under an LTIS]</t>
  </si>
  <si>
    <t>The highest paid director had amounts accrued under a DBS  of £</t>
  </si>
  <si>
    <t>Preparation of group accounts</t>
  </si>
  <si>
    <t>If at the end of a financial year the company is a parent company the directors, as well as preparing individual accounts for the year, must prepare group accounts for the year unless the company is exempt from that requirement.</t>
  </si>
  <si>
    <t>This applies to all companies in the United Kingdom, regardless of whether they prepare accounts in accordance with IFRS or FRS.</t>
  </si>
  <si>
    <t>Therefore, Thoth must prepare consolidated financial statements, which include Mitre, consolidated using equity accounting.</t>
  </si>
  <si>
    <t>The Act has a limited number of exemptions to the duty to prepare group accounts:</t>
  </si>
  <si>
    <t>If the parent company is itself a subsidiary and its immediate parent is established within a member state of the European Economic Area (‘EEA’), then group accounts do not need to be prepared.</t>
  </si>
  <si>
    <t>There is protection given to minority shareholders whereby they can request that group accounts be compiled. The company must be included in consolidated accounts of a larger group of a parent in the EEA. It is assumed that the minority shareholders would not request this.</t>
  </si>
  <si>
    <t>The purpose of this exemption is to reduce the disclosure requirements of a company whose accounts are included within the accounts of a larger group. Providing the larger group reports somewhere within the EEA then it will by default be complying with EC Directive 7 and, therefore, there is the opportunity for any interested party to review the said company’s accounts.</t>
  </si>
  <si>
    <t>The group accounts that include the subsidiary must still be filed in the United Kingdom, in English, for the interested user to review</t>
  </si>
  <si>
    <t>EEA refers to European Union members plus Norway, Iceland and Liechtenstein. This exemption does not apply if the company itself is listed on any regulated market of an EEA state that is, it must prepare its own group accounts if it is a listed company.</t>
  </si>
  <si>
    <t>Therefore, as the Spanish company is listed, the results of the Thoth group would be included in those financial statements, which are available on public record. An English version of those accounts must still be filed in the United Kingdom however, for the exemption to apply.</t>
  </si>
  <si>
    <t>Bonus issue</t>
  </si>
  <si>
    <t>DR - retained earnings</t>
  </si>
  <si>
    <t>DR land cost</t>
  </si>
  <si>
    <t>number of share</t>
  </si>
  <si>
    <t>price per share</t>
  </si>
  <si>
    <t>transaction costs</t>
  </si>
  <si>
    <t>classified as FVTOCI</t>
  </si>
  <si>
    <t>Purple</t>
  </si>
  <si>
    <t>Magic</t>
  </si>
  <si>
    <t>for purple - put the trans cost through SPL</t>
  </si>
  <si>
    <t>being correction to put transactions cost through PL because held as FVTPL</t>
  </si>
  <si>
    <t>reval</t>
  </si>
  <si>
    <t>dr - financial asset - purple</t>
  </si>
  <si>
    <t>being reval increase on asset recognised FVTPL</t>
  </si>
  <si>
    <t>cr - financial asset OCI</t>
  </si>
  <si>
    <t>being impariemnt on hasset held FVTOCI</t>
  </si>
  <si>
    <t>Disposal of share in orangeville</t>
  </si>
  <si>
    <t>prive</t>
  </si>
  <si>
    <t>dr - trans cost</t>
  </si>
  <si>
    <t>dr - cash</t>
  </si>
  <si>
    <t>cr - financial asser</t>
  </si>
  <si>
    <t>being correction to revognise FV loss on revaluation and correct allocation of diposal transaction costs to PL</t>
  </si>
  <si>
    <t>being release of remaining reval surplus to retained earnings</t>
  </si>
  <si>
    <t>carrying amount</t>
  </si>
  <si>
    <t>FV gain</t>
  </si>
  <si>
    <t>cr - reval suplus</t>
  </si>
  <si>
    <t>[INSERT COMPANY] plc/ Ltd</t>
  </si>
  <si>
    <t>CHECKS (delete/ hide this column and any extra rows once checks performed)</t>
  </si>
  <si>
    <r>
      <t>For the year ended</t>
    </r>
    <r>
      <rPr>
        <b/>
        <sz val="12"/>
        <color rgb="FFC00000"/>
        <rFont val="Arial"/>
        <family val="2"/>
      </rPr>
      <t xml:space="preserve"> [INSERT Y/E DATE]</t>
    </r>
  </si>
  <si>
    <t>If any rows/ columns are added, formulas must be updated and checked</t>
  </si>
  <si>
    <t>Direct method:</t>
  </si>
  <si>
    <t>Cash flows from operating activities</t>
  </si>
  <si>
    <t>Admin expenses</t>
  </si>
  <si>
    <t>Cash and cash equivalents within current assets</t>
  </si>
  <si>
    <t>Cost of sales</t>
  </si>
  <si>
    <t>Per SPL</t>
  </si>
  <si>
    <t>Cash generated from operations</t>
  </si>
  <si>
    <t>Bank overdraft</t>
  </si>
  <si>
    <t>Less opening inventory</t>
  </si>
  <si>
    <t>Interest paid</t>
  </si>
  <si>
    <t>Can also be shown in a financing cash flow</t>
  </si>
  <si>
    <t>Add closing inventory</t>
  </si>
  <si>
    <t>Add gains</t>
  </si>
  <si>
    <t>Taxes paid</t>
  </si>
  <si>
    <t>Less losses</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</si>
  <si>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</si>
  <si>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</si>
  <si>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Add release of deferred income</t>
  </si>
  <si>
    <t>Working capital movements</t>
  </si>
  <si>
    <t>Less bad debts</t>
  </si>
  <si>
    <t>Cash flows from investing activities</t>
  </si>
  <si>
    <t>Add line items as necessary</t>
  </si>
  <si>
    <t>Trade and other receivables</t>
  </si>
  <si>
    <t>Acquisition of subsidiary, net of cash acquired</t>
  </si>
  <si>
    <t>Disposal of subsidiary, net of cash disposed</t>
  </si>
  <si>
    <t>Opening</t>
  </si>
  <si>
    <t>Trade payables - Deduct prepayments from balance/ add accruals and provisions related to operating profit. Exclude tax payable and accrued finance costs.</t>
  </si>
  <si>
    <t>Purchase of non-current assets</t>
  </si>
  <si>
    <t>Edit as necessary for type of non-current asset</t>
  </si>
  <si>
    <t>Purchases = cost of sales - opening inventory + closing inventory</t>
  </si>
  <si>
    <t>Proceeds from sale of non-current assets</t>
  </si>
  <si>
    <t>Bad debts written off (deduct)</t>
  </si>
  <si>
    <t>Distribution costs</t>
  </si>
  <si>
    <t>Purchase of other investments</t>
  </si>
  <si>
    <t>Edit as necessary for type of other investment</t>
  </si>
  <si>
    <t>(Increase)/decrease in receivables allowance</t>
  </si>
  <si>
    <t>Less depreciation, adjust for gains/losses on PPE (add back gains), add release of deferred income, less bad debts, adjust for (increase)/decrease in allowance for receivables and other cash items. Cash adjustments made should be added/deducted (not gains/losses)</t>
  </si>
  <si>
    <t>Proceeds from sale of other investments</t>
  </si>
  <si>
    <t>Interest received</t>
  </si>
  <si>
    <t>Can also be shown as an operating cash flow</t>
  </si>
  <si>
    <t>Closing</t>
  </si>
  <si>
    <t>Dividends received</t>
  </si>
  <si>
    <t>Increase/(Decrease)</t>
  </si>
  <si>
    <r>
      <t xml:space="preserve">Net cash </t>
    </r>
    <r>
      <rPr>
        <i/>
        <sz val="12"/>
        <color rgb="FFC00000"/>
        <rFont val="Arial"/>
        <family val="2"/>
      </rPr>
      <t>from/ used in</t>
    </r>
    <r>
      <rPr>
        <i/>
        <sz val="12"/>
        <color theme="1"/>
        <rFont val="Arial"/>
        <family val="2"/>
      </rPr>
      <t xml:space="preserve"> investing activities</t>
    </r>
  </si>
  <si>
    <t>Cash generated from operations =</t>
  </si>
  <si>
    <t>Cash flows from financing activities</t>
  </si>
  <si>
    <t>Proceeds from issue of share capital</t>
  </si>
  <si>
    <t>Purchase of share capital</t>
  </si>
  <si>
    <t>Opening accrued finance costs</t>
  </si>
  <si>
    <t>Proceeds from long-term borrowings</t>
  </si>
  <si>
    <t>Edit as necessary for type of borrowing</t>
  </si>
  <si>
    <t>Finance costs</t>
  </si>
  <si>
    <t>Payment/ Redemption of long-term borrowings</t>
  </si>
  <si>
    <t>Edit as necessary for type of borrowing; Delete 'Payment'/ 'Redemption' as necessary</t>
  </si>
  <si>
    <t>Nominal payments</t>
  </si>
  <si>
    <t>Payment of lease liabilities</t>
  </si>
  <si>
    <t>Less Effective interest</t>
  </si>
  <si>
    <t>Dividends paid</t>
  </si>
  <si>
    <r>
      <t xml:space="preserve">Net cash </t>
    </r>
    <r>
      <rPr>
        <i/>
        <sz val="12"/>
        <color rgb="FFC00000"/>
        <rFont val="Arial"/>
        <family val="2"/>
      </rPr>
      <t>from/ used</t>
    </r>
    <r>
      <rPr>
        <i/>
        <sz val="12"/>
        <color theme="1"/>
        <rFont val="Arial"/>
        <family val="2"/>
      </rPr>
      <t xml:space="preserve"> in financing activities</t>
    </r>
  </si>
  <si>
    <t>Closing accrued finance costs</t>
  </si>
  <si>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</si>
  <si>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</si>
  <si>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</si>
  <si>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</si>
  <si>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</si>
  <si>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Opening current tax payable</t>
  </si>
  <si>
    <t>Opening deferred tax</t>
  </si>
  <si>
    <t>Check that net movement in cash equals the movement in cash and cash equivalents</t>
  </si>
  <si>
    <t>Taxation</t>
  </si>
  <si>
    <t>Closing current tax payable</t>
  </si>
  <si>
    <t>Closing deferred tax</t>
  </si>
  <si>
    <t>Purchase of PPE</t>
  </si>
  <si>
    <t>Opening carrying amount</t>
  </si>
  <si>
    <t>Revaluation increase</t>
  </si>
  <si>
    <t>Less Depreciation charge</t>
  </si>
  <si>
    <t>Less disposals (carrying amount)</t>
  </si>
  <si>
    <t>RoU assets under new leases</t>
  </si>
  <si>
    <t>Closing carrying amount</t>
  </si>
  <si>
    <t>Proceeds from sale of PPE</t>
  </si>
  <si>
    <t>Loss/(gain) on disposal</t>
  </si>
  <si>
    <t>Opening accrued finance income</t>
  </si>
  <si>
    <t>Finance income</t>
  </si>
  <si>
    <t>Less effective interest</t>
  </si>
  <si>
    <t>Nominal receipt</t>
  </si>
  <si>
    <t>Closing accrued finance income</t>
  </si>
  <si>
    <t>Opening retained earnings</t>
  </si>
  <si>
    <t>Release of reserves (non cash)</t>
  </si>
  <si>
    <t>i.e. revaulation/ convertible bonds</t>
  </si>
  <si>
    <t>Closing retained earnings</t>
  </si>
  <si>
    <t xml:space="preserve">Proceeds from issue of share capital </t>
  </si>
  <si>
    <t>Opening share capital and share premium</t>
  </si>
  <si>
    <t>Issue of bonus shares</t>
  </si>
  <si>
    <t>Closing share capital and share premium</t>
  </si>
  <si>
    <t>Proceeds from long term borrowings</t>
  </si>
  <si>
    <t>Opening debentures</t>
  </si>
  <si>
    <t>Closing debentures</t>
  </si>
  <si>
    <t xml:space="preserve">Proceeds from long term borrowings </t>
  </si>
  <si>
    <t>Purchase of investments</t>
  </si>
  <si>
    <t>Opening investments</t>
  </si>
  <si>
    <t>Purchase of shares</t>
  </si>
  <si>
    <t>Revaluation gains</t>
  </si>
  <si>
    <t>Closing investments</t>
  </si>
  <si>
    <t>Payment of long-term borrowings</t>
  </si>
  <si>
    <t>Opening loan payable</t>
  </si>
  <si>
    <t>Closing loan payable</t>
  </si>
  <si>
    <t>Proceeds from sale of investments</t>
  </si>
  <si>
    <t>Fair vaue increase</t>
  </si>
  <si>
    <t>Carrying amount of investments sold</t>
  </si>
  <si>
    <t>Gain on sale of investments</t>
  </si>
  <si>
    <t xml:space="preserve">Payment of lease liabilities </t>
  </si>
  <si>
    <t>Opening lease payable</t>
  </si>
  <si>
    <t>New lease</t>
  </si>
  <si>
    <t>Closing lease payable</t>
  </si>
  <si>
    <t>Purpose of interim reports</t>
  </si>
  <si>
    <t>Stock markets require regular and relevant information to be efficient so the annual report alone is not sufficient. The interim report provides stakeholders with a summary of the results for an interim period before the year end.</t>
  </si>
  <si>
    <t>When it needs to be published</t>
  </si>
  <si>
    <t>The Listing Rules require publication within three months of the end of the reporting period (i.e., by 31 December 2022 for Rainbow). Interim Financial Reporting encourages the report to be published within 60 days of the interim period end which, for Rainbow, would be by 29 November 2022.</t>
  </si>
  <si>
    <t>What is normally included</t>
  </si>
  <si>
    <t>IAS 34 requires an interim report to contain at a minimum:</t>
  </si>
  <si>
    <t>• a condensed statement of financial position;</t>
  </si>
  <si>
    <t>• a condensed statement of profit or loss and other comprehensive income;</t>
  </si>
  <si>
    <t>• a condensed statement of changes in equity;</t>
  </si>
  <si>
    <t>• a condensed statement of cash flows;</t>
  </si>
  <si>
    <t>• selected explanatory notes; and</t>
  </si>
  <si>
    <t>• basic and diluted earnings per share.</t>
  </si>
  <si>
    <t>Comparative figures should be given.</t>
  </si>
  <si>
    <t>‘Condensed’ means that, at a minimum, the financial statements should include the headings and subheadings that were included in its most recent annual financial statements, so for Rainbow those for the year ended 31 March 2022.</t>
  </si>
  <si>
    <t>The overriding goal is to ensure that the interim report includes all information that is relevant to understanding Rainbow’s financial position and performance during the six-month period.</t>
  </si>
  <si>
    <t>Maona</t>
  </si>
  <si>
    <t>Decom provision</t>
  </si>
  <si>
    <t>Opening provision</t>
  </si>
  <si>
    <t>closing prov'n</t>
  </si>
  <si>
    <t>Change in opening prov'n</t>
  </si>
  <si>
    <t>cr - Pro'n liability</t>
  </si>
  <si>
    <t>being unwind of discount and change in esimtate for the provision for restoration costs</t>
  </si>
  <si>
    <t>current prov'n</t>
  </si>
  <si>
    <t>new prov'n</t>
  </si>
  <si>
    <t>Tamotoa</t>
  </si>
  <si>
    <t>lost profits</t>
  </si>
  <si>
    <t>rev</t>
  </si>
  <si>
    <t>dr - suspense account</t>
  </si>
  <si>
    <t>cr - SPL cost of sale</t>
  </si>
  <si>
    <t>being correction ot eliminate suspense account and reduce cost of sales</t>
  </si>
  <si>
    <t>The cost of the sapphires has been reimbursed and so the suspense account should be eliminated by reducing cost of sales</t>
  </si>
  <si>
    <t>The lost profits represent a possible asset arising from the purchase of fake sapphires which will only be confirmed once the insurance compnay formally accepts this claim</t>
  </si>
  <si>
    <t>As the broker is confident (but not certain) that this is the case, a contingent asset should be disclosed in the notes to financial statements</t>
  </si>
  <si>
    <t xml:space="preserve">revers the cost of sales </t>
  </si>
  <si>
    <t>and recognise a contingent asset given the damages are not guranteed</t>
  </si>
  <si>
    <t>Legal case</t>
  </si>
  <si>
    <t>unwind provision</t>
  </si>
  <si>
    <t>recognise an over/undre</t>
  </si>
  <si>
    <t>over-prov'n</t>
  </si>
  <si>
    <t>cr - legal costs</t>
  </si>
  <si>
    <t>being payment of cost relatin to prior period and provided for</t>
  </si>
  <si>
    <t>being unwind of over provision from prior period</t>
  </si>
  <si>
    <t>the dividend did not form a present obligation prior to year end</t>
  </si>
  <si>
    <t>it should be disclosed as significant financial information in the notes to the financial statemetns</t>
  </si>
  <si>
    <t>as declared post BS but before reporting date</t>
  </si>
  <si>
    <t>Close of factory</t>
  </si>
  <si>
    <t>the staff were not informed prior to year end</t>
  </si>
  <si>
    <t>disclosure to the notes, but no provisoin in YE accounts</t>
  </si>
  <si>
    <t>nature and cost must be disclosed</t>
  </si>
  <si>
    <t>Pua</t>
  </si>
  <si>
    <t>A major combination after the reporting date is a non-adjusteding event</t>
  </si>
  <si>
    <t>as this is an announcement and not the combination itself, no dicslosure is required</t>
  </si>
  <si>
    <t>consol</t>
  </si>
  <si>
    <t>Step 2:  eliminate investment</t>
  </si>
  <si>
    <t>investment in Maui</t>
  </si>
  <si>
    <t>cr - investment in Maui</t>
  </si>
  <si>
    <t>being elimination of investment and recognition of gw</t>
  </si>
  <si>
    <t>DD work</t>
  </si>
  <si>
    <t>increase FV</t>
  </si>
  <si>
    <t>Adjustmentss</t>
  </si>
  <si>
    <t>property increase</t>
  </si>
  <si>
    <t>inventory decrease</t>
  </si>
  <si>
    <t>IA - brand</t>
  </si>
  <si>
    <t>change to depr rate in the year</t>
  </si>
  <si>
    <t>we will need to increase our depreciation rate from acq. Date to YE to reflect the increase in depr on reval gain of 600k</t>
  </si>
  <si>
    <t>est. useful life</t>
  </si>
  <si>
    <t>cr - property AD</t>
  </si>
  <si>
    <t>being increase to depr charge in the year given property reval on purchase</t>
  </si>
  <si>
    <t>n/a</t>
  </si>
  <si>
    <t>Step 4: historical profits and gain loss</t>
  </si>
  <si>
    <t>Step 5:  CY profit allocation to NCI</t>
  </si>
  <si>
    <t>CY Profits</t>
  </si>
  <si>
    <t>ownershiop period</t>
  </si>
  <si>
    <t>3m</t>
  </si>
  <si>
    <t>profit for period</t>
  </si>
  <si>
    <t>being NCI share of profit adjusted for increased depr charge given reval</t>
  </si>
  <si>
    <t>HeiHei</t>
  </si>
  <si>
    <t>gain loss on transfer date</t>
  </si>
  <si>
    <t>transfer date</t>
  </si>
  <si>
    <t>transfer value</t>
  </si>
  <si>
    <t>gain on transffer</t>
  </si>
  <si>
    <t>dr - gain on sale</t>
  </si>
  <si>
    <t>IC sales</t>
  </si>
  <si>
    <t>gross margin</t>
  </si>
  <si>
    <t>expected revenue</t>
  </si>
  <si>
    <t>unsold at YE</t>
  </si>
  <si>
    <t>IC dividend</t>
  </si>
  <si>
    <t>NCI share of divided</t>
  </si>
  <si>
    <t>NCI share of increase in depreciation charge</t>
  </si>
  <si>
    <t>cr - SPL NCI</t>
  </si>
  <si>
    <t>being NCI interests' share of increase in depreciation charge</t>
  </si>
  <si>
    <t>dr inventories</t>
  </si>
  <si>
    <t>being decrease in cost of sales because of fair value decrease in inventories</t>
  </si>
  <si>
    <t>being NCI share of decrease in cost of sales</t>
  </si>
  <si>
    <t>dr - machinery cost</t>
  </si>
  <si>
    <t>NCI share of gain</t>
  </si>
  <si>
    <t>cr - Machinery AD</t>
  </si>
  <si>
    <t>being elimination of IC transfer of non-current assset at a gain at the point of transfer</t>
  </si>
  <si>
    <t>dr  -SFP NCI</t>
  </si>
  <si>
    <t>being NCI interest share elimination of gain</t>
  </si>
  <si>
    <t>actual depreciation charge</t>
  </si>
  <si>
    <t>equivalent historical depreciation</t>
  </si>
  <si>
    <t>dr - Machinery AD</t>
  </si>
  <si>
    <t>being adjustment to depreciation charge</t>
  </si>
  <si>
    <t>eliminate IC dividend</t>
  </si>
  <si>
    <t>dr - Finance income</t>
  </si>
  <si>
    <t>being elimination of intercompany dividend</t>
  </si>
  <si>
    <t>IC balance and cash  in transit</t>
  </si>
  <si>
    <t>paymnet</t>
  </si>
  <si>
    <t>Maui</t>
  </si>
  <si>
    <t>dr - AP</t>
  </si>
  <si>
    <t>being receipt of cash in Maui's individual financial statements for consolidation pruposes only and the elimination of intercompany balances</t>
  </si>
  <si>
    <t>Unwinding of discount for the provision for restoration costs (JE 1)</t>
  </si>
  <si>
    <t>Change in estimate for the provision for restoration costs (JE 1)</t>
  </si>
  <si>
    <t>Correction to eliminate suspense account and reduce cost of sales (JE 2)</t>
  </si>
  <si>
    <t>Correction to and use of provision (JE 3)</t>
  </si>
  <si>
    <t>Increased depreciation charge because of fair value increase (JE 5)</t>
  </si>
  <si>
    <t>Non-controlling interests’ share of increase in depreciation charge (JE 6)</t>
  </si>
  <si>
    <t>Decrease in cost of sales (JE 7)</t>
  </si>
  <si>
    <t>Non-controlling interests’ share of decrease in cost of sales (JE 8)</t>
  </si>
  <si>
    <t>Non-controlling interests’ share of current year profit (JE 9)</t>
  </si>
  <si>
    <t>Elimination of intercompany transfer of non-current asset at a gain (JE 10)</t>
  </si>
  <si>
    <t>Non-controlling interests’ share of elimination of gain (JE 11)</t>
  </si>
  <si>
    <t>Adjustment to depreciation charge (JE 12)</t>
  </si>
  <si>
    <t>Elimination of intercompany sales and purchases (JE 13)</t>
  </si>
  <si>
    <t>Elimination of intercompany unrealised profit in inventories (JE 14)</t>
  </si>
  <si>
    <t>Non-controlling interests’ share of elimination of unrealised profit (JE 15)</t>
  </si>
  <si>
    <t>Elimination of intercompany dividend (JE 17)</t>
  </si>
  <si>
    <t>Dr</t>
  </si>
  <si>
    <t>Cr</t>
  </si>
  <si>
    <t>Dr to RE</t>
  </si>
  <si>
    <t>being transfer to retained earning</t>
  </si>
  <si>
    <t>Rushnite</t>
  </si>
  <si>
    <t>Mada</t>
  </si>
  <si>
    <t>Alsi</t>
  </si>
  <si>
    <t>Assoc.</t>
  </si>
  <si>
    <t>sub.</t>
  </si>
  <si>
    <t>Financial instrument matters</t>
  </si>
  <si>
    <t>Issued bonds</t>
  </si>
  <si>
    <t>liability</t>
  </si>
  <si>
    <t>coupone</t>
  </si>
  <si>
    <t>issue discount</t>
  </si>
  <si>
    <t>cost of issue</t>
  </si>
  <si>
    <t>dr - admin</t>
  </si>
  <si>
    <t>cr - bonds</t>
  </si>
  <si>
    <t>pa in  arrears</t>
  </si>
  <si>
    <t>interest charged to finance cost</t>
  </si>
  <si>
    <t>effective interest</t>
  </si>
  <si>
    <t>opening liab</t>
  </si>
  <si>
    <t>closign payable</t>
  </si>
  <si>
    <t>cr - admin cost</t>
  </si>
  <si>
    <t>dr - Bonds</t>
  </si>
  <si>
    <t>being correction to the bond issue cost to price in transaction cost given liablity valued at amotised cost</t>
  </si>
  <si>
    <t>dr - finance costs</t>
  </si>
  <si>
    <t>being increase to finance cost to include non- cash finance cost</t>
  </si>
  <si>
    <t>irredeemable preference shares</t>
  </si>
  <si>
    <t>isssed</t>
  </si>
  <si>
    <t>dr - cash, cr P/share cap.</t>
  </si>
  <si>
    <t>nominal interest</t>
  </si>
  <si>
    <t>perpetual dividend</t>
  </si>
  <si>
    <t>irredeemable p/shares is essentially an equity issue</t>
  </si>
  <si>
    <t>dr - preference shares (equity)</t>
  </si>
  <si>
    <t>cr -  preference shares NCL</t>
  </si>
  <si>
    <t>being reclassification of preference shares with a legal obligatoin to pay a dividend</t>
  </si>
  <si>
    <t>Issued convertible debentures</t>
  </si>
  <si>
    <t>coupon</t>
  </si>
  <si>
    <t>conversion date</t>
  </si>
  <si>
    <t>ordinary sharess</t>
  </si>
  <si>
    <t>1 for 3</t>
  </si>
  <si>
    <t xml:space="preserve">convertibel for </t>
  </si>
  <si>
    <t>dr - cash, cr - debentures</t>
  </si>
  <si>
    <t>FV of similar bonds</t>
  </si>
  <si>
    <t>PV rate</t>
  </si>
  <si>
    <t>interst payment</t>
  </si>
  <si>
    <t>Opening liabilty</t>
  </si>
  <si>
    <t>being correction to recognise equity element of convertible debentures</t>
  </si>
  <si>
    <t>Forward contract</t>
  </si>
  <si>
    <t>BRL</t>
  </si>
  <si>
    <t>at YE</t>
  </si>
  <si>
    <t xml:space="preserve">decrease </t>
  </si>
  <si>
    <t>recognise SPL losss</t>
  </si>
  <si>
    <t>cr - derivate liability</t>
  </si>
  <si>
    <t>being recongition of derivative liability given revlaution loss at YE</t>
  </si>
  <si>
    <t>cr - investment in Mada</t>
  </si>
  <si>
    <t>Step 3:  impairment of goodwill</t>
  </si>
  <si>
    <t>Step 4:  hostrical allocation of profits and gains and losses</t>
  </si>
  <si>
    <t>dividend</t>
  </si>
  <si>
    <t xml:space="preserve">RE </t>
  </si>
  <si>
    <t>acq.</t>
  </si>
  <si>
    <t>being allocation of historical profits to NCI</t>
  </si>
  <si>
    <t>Step 5: CY profits allocatoin and other gains losses</t>
  </si>
  <si>
    <t>cr  -SFP NCI</t>
  </si>
  <si>
    <t>Step 6:  IC trades</t>
  </si>
  <si>
    <t>cash in transit</t>
  </si>
  <si>
    <t>Rushite</t>
  </si>
  <si>
    <t>bank</t>
  </si>
  <si>
    <t>being elimination of cash in transit</t>
  </si>
  <si>
    <t>Associate compnay</t>
  </si>
  <si>
    <t>gain on bargain purchase</t>
  </si>
  <si>
    <t>dr - investment in group companies</t>
  </si>
  <si>
    <t>being historical gain from a bargain purchase</t>
  </si>
  <si>
    <t>Goodwill - at acquisition</t>
  </si>
  <si>
    <t>% Holding</t>
  </si>
  <si>
    <t>Investment</t>
  </si>
  <si>
    <t>Retained Earnings</t>
  </si>
  <si>
    <t>Reserves</t>
  </si>
  <si>
    <t>Group share of net assets (40%)</t>
  </si>
  <si>
    <t>Group share of historical profit</t>
  </si>
  <si>
    <t>Retained earnings as at 30 September 2018</t>
  </si>
  <si>
    <t xml:space="preserve">CY profit </t>
  </si>
  <si>
    <t>CY dividend</t>
  </si>
  <si>
    <t>Retained earnings at acquisition</t>
  </si>
  <si>
    <t>Increase</t>
  </si>
  <si>
    <t>Group share of historical profit (*0.25)</t>
  </si>
  <si>
    <t>NCI share of CY Profit</t>
  </si>
  <si>
    <t>Current year profit</t>
  </si>
  <si>
    <t xml:space="preserve">Group share of CY profit </t>
  </si>
  <si>
    <t>Intercompany Dividends</t>
  </si>
  <si>
    <t>Group share of subsidiary dividend</t>
  </si>
  <si>
    <t>Group -&gt; JV/Associate</t>
  </si>
  <si>
    <t>Unrealised profit</t>
  </si>
  <si>
    <t>Group Share</t>
  </si>
  <si>
    <t>CY transfer to RE</t>
  </si>
  <si>
    <t>Group share of current year profit</t>
  </si>
  <si>
    <t>Elimination of ICO dividend</t>
  </si>
  <si>
    <t xml:space="preserve">Elimination of ICO unrealised profit </t>
  </si>
  <si>
    <t>DR Investment</t>
  </si>
  <si>
    <t>CR Retained earnings/ gain from bargain purchase</t>
  </si>
  <si>
    <t>CR SPL - Share of profit of the associate</t>
  </si>
  <si>
    <t>DR SPL - Finance Income</t>
  </si>
  <si>
    <t>CR Investment</t>
  </si>
  <si>
    <t>Downstream:</t>
  </si>
  <si>
    <t>DR SPL</t>
  </si>
  <si>
    <t>CSR report</t>
  </si>
  <si>
    <t>Packaging</t>
  </si>
  <si>
    <t>200 TPS – Financial Reporting – Additional Material Solutions
Requirement 4
Form and content
Currently, there is no defined format or required format for a Corporate Social Responsibility (‘CSR’) report in the UK or internationally and so different companies publish their information in a range of formats.</t>
  </si>
  <si>
    <t>Form and content</t>
  </si>
  <si>
    <t>However, CSR reports typically contain information in three broad themes:</t>
  </si>
  <si>
    <t>Economic impact;</t>
  </si>
  <si>
    <t>Environmental impact; and</t>
  </si>
  <si>
    <t>Social and community impact.</t>
  </si>
  <si>
    <t>This is an example of an environmental matter. Relevant detailed information might include: the current percentage of recycled packaging; what specific steps are being taken to increase this percentage, such as partnerships with packaging suppliers to develop new packaging; innovative production techniques or capital expenditure on new machines; and what alternative packaging solutions are being considered.</t>
  </si>
  <si>
    <t>Health and safety reviews</t>
  </si>
  <si>
    <t>This is a social and community matter affecting the employees of the company. More detailed information might include: how the company monitors incidents and accidents in the workplace; the rate of industrial accidents/ occupational injuries and how they compare to previous years; the number of working days lost through injury; and short/ long-term sickness.</t>
  </si>
  <si>
    <t>This is an example of an economic matter. This could be expanded to include information about the company’s policy in this area, whether Rushnite is aiming to increase the percentage sourced this way and other considerations Rushnite uses in choosing suppliers such as fair trade, sustainability, animal welfare and modern slavery.</t>
  </si>
  <si>
    <t>Carbon footprint and greenhouse gas emissions</t>
  </si>
  <si>
    <t>This is an environmental matter. More information should be given about: what the company’s specific contributors are to each area; the current levels; any target for reducing these levels; and how this will be achieved.</t>
  </si>
  <si>
    <t>cr  -RE</t>
  </si>
  <si>
    <t>being elimination of IC dividend</t>
  </si>
  <si>
    <t>cr - SPl COS</t>
  </si>
  <si>
    <t>dr SFP NCI</t>
  </si>
  <si>
    <t>being NCI share of elimination of unrealised profits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</si>
  <si>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</si>
  <si>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</si>
  <si>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Adjustments for:</t>
  </si>
  <si>
    <t>Depreciation of non-current assets</t>
  </si>
  <si>
    <t>Delete as necessary</t>
  </si>
  <si>
    <t>Provisions</t>
  </si>
  <si>
    <t>Amortisation of non-current assets</t>
  </si>
  <si>
    <t>Account for effect of accrued finance costs etc that are not payable in cash</t>
  </si>
  <si>
    <t>Gain on sale of non-current assets</t>
  </si>
  <si>
    <t>i.e. foreign exchange gains, non-cash considerations</t>
  </si>
  <si>
    <t>Loss on sale of non-current assets</t>
  </si>
  <si>
    <t>Non-cash items</t>
  </si>
  <si>
    <t>Fair value gain</t>
  </si>
  <si>
    <t>Fair value loss</t>
  </si>
  <si>
    <t>Foreign exchange gain</t>
  </si>
  <si>
    <t>Foreign exchange loss</t>
  </si>
  <si>
    <t>Release of deferred income</t>
  </si>
  <si>
    <t>Account for movements in accruals, inventories, prepayments, provisions etc (can separate out)</t>
  </si>
  <si>
    <t>Revaluation increase/(impairment loss)</t>
  </si>
  <si>
    <t>Financing by sale of investment (not derecognised)</t>
  </si>
  <si>
    <t>Lease financing received (lease payable)</t>
  </si>
  <si>
    <r>
      <t xml:space="preserve">Net cash </t>
    </r>
    <r>
      <rPr>
        <i/>
        <sz val="12"/>
        <color rgb="FFC00000"/>
        <rFont val="Arial"/>
        <family val="2"/>
      </rPr>
      <t>from/ used</t>
    </r>
    <r>
      <rPr>
        <i/>
        <sz val="12"/>
        <color theme="1"/>
        <rFont val="Arial"/>
        <family val="2"/>
      </rPr>
      <t xml:space="preserve"> in investing activities</t>
    </r>
  </si>
  <si>
    <t>Derecognition of debentures</t>
  </si>
  <si>
    <t>Remember transaction fees</t>
  </si>
  <si>
    <t>Proceeds from issue of LT borrowings</t>
  </si>
  <si>
    <t>Include both long term and current loans payable</t>
  </si>
  <si>
    <t>PPE borrowing cost loans drawn down</t>
  </si>
  <si>
    <t>Purchase of Intangibles</t>
  </si>
  <si>
    <t>Less amortisation charge</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</si>
  <si>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</si>
  <si>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Ordinary share capital</t>
  </si>
  <si>
    <t>A company may only make a distribution out of profits available for the purpose</t>
  </si>
  <si>
    <t>Equal to accumulated realised profits (so far as not previously utilised by distribution or capitalisation) LESS accumulated, realised loss (so far as not written off on a reduction or reorganisation of capital)</t>
  </si>
  <si>
    <t>A profit is realised when it arises from a transaction where the consideration received by the company is qualifying consideration</t>
  </si>
  <si>
    <t>A profit/(loss) for the year increases/(decreases) distributable profits</t>
  </si>
  <si>
    <t>Capital Redemption reserve</t>
  </si>
  <si>
    <t>Adjustments should be made to exclude any amounts included in the SPL for the year which are unrealised</t>
  </si>
  <si>
    <t>A company need not make a profit in the year it pays a dividend - accumulated profits and losses include reserves brought forward</t>
  </si>
  <si>
    <t>All RE distributable?</t>
  </si>
  <si>
    <t xml:space="preserve">Transactions in year </t>
  </si>
  <si>
    <t>Distributable profits PY balance</t>
  </si>
  <si>
    <t>Record deductions as a negative</t>
  </si>
  <si>
    <t>Profit for the year, prior to adjusting for unrealised profits</t>
  </si>
  <si>
    <t>Dividends on ordinary shares</t>
  </si>
  <si>
    <t>Negative</t>
  </si>
  <si>
    <t>Fair value increase on investment property</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</si>
  <si>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</si>
  <si>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</si>
  <si>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</si>
  <si>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Excess depreciation on revalued assets</t>
  </si>
  <si>
    <t>Although no annual transfers are made from the revaluation surplus to retained earnings, the excess depreciation is deemed to be a realised portion of the revaluation gain and should be included in the calculation of distributable profits</t>
  </si>
  <si>
    <t>Realised revaluation gain</t>
  </si>
  <si>
    <t>Unrealised gain on exchange</t>
  </si>
  <si>
    <t>Not realised</t>
  </si>
  <si>
    <t>UNREALISED:</t>
  </si>
  <si>
    <t>Transfer from revlaution surplus</t>
  </si>
  <si>
    <t>Distributable profits at year end</t>
  </si>
  <si>
    <t>Fair value increases on investment property</t>
  </si>
  <si>
    <t>Unrealised gains on exchange</t>
  </si>
  <si>
    <t>The Companies Act 2006 states that a share buyback is allowed if the Articles of Association do not prohibit it.</t>
  </si>
  <si>
    <t>Furthermore, there must be sufficient distributable profits to fund the purchase.</t>
  </si>
  <si>
    <t>Sufficient distributable profits are required for any necessary write off premium on purchase and any necessary transfer to capital redemption reserve.</t>
  </si>
  <si>
    <t>As the shares being purchased were originally issued at par, all the premium on purchase must be written off to retained earnings.</t>
  </si>
  <si>
    <t>Distributable profits of £31,962k (see Requirement 1) are sufficient to cover the £10,000k purchase and so the buyback was legal.</t>
  </si>
  <si>
    <t>The Companies Act 2006 requires permanent capital to be maintained but there is an exception to this rule for private limited companies only.</t>
  </si>
  <si>
    <t>Private limited companies may make purchases out of permanent capital, subject to a series of additional safeguards which are designed to protect the interests of creditors.</t>
  </si>
  <si>
    <t>The basic safeguard limits the reduction in permanent capital to the smallest amount possible and is known as the permissible capital payment.</t>
  </si>
  <si>
    <t>Endeavour is a public limited company and so may not apply this exemption.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</si>
</sst>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quot;£&quot;#,##0"/>
    <numFmt numFmtId="165" formatCode="&quot;£&quot;#,##0.00"/>
    <numFmt numFmtId="166" formatCode="#,##0;[Red]\(#,##0\)"/>
    <numFmt numFmtId="167" formatCode="[$-F800]dddd\,\ mmmm\ dd\,\ yyyy"/>
    <numFmt numFmtId="168" formatCode="0.0"/>
    <numFmt numFmtId="169" formatCode="0.000"/>
    <numFmt numFmtId="170" formatCode="#,##0.00;[Red]\(#,##0.00\)"/>
    <numFmt numFmtId="171" formatCode="_-* #,##0_-;\-* #,##0_-;_-* &quot;-&quot;??_-;_-@_-"/>
    <numFmt numFmtId="172" formatCode="#,##0.0"/>
    <numFmt numFmtId="175" formatCode="#,##0.000;[Red]\(#,##0.000\)"/>
  </numFmts>
  <fonts count="30" x14ac:knownFonts="1">
    <font>
      <sz val="11"/>
      <color theme="1"/>
      <name val="Calibri"/>
      <family val="2"/>
      <scheme val="minor"/>
    </font>
    <font>
      <sz val="9"/>
      <color theme="1"/>
      <name val="Calibri"/>
      <family val="2"/>
      <scheme val="minor"/>
    </font>
    <font>
      <u/>
      <sz val="11"/>
      <color theme="10"/>
      <name val="Calibri"/>
      <family val="2"/>
      <scheme val="minor"/>
    </font>
    <font>
      <b/>
      <sz val="11"/>
      <color theme="0"/>
      <name val="Calibri"/>
      <family val="2"/>
      <scheme val="minor"/>
    </font>
    <font>
      <b/>
      <sz val="9"/>
      <color theme="1"/>
      <name val="Calibri"/>
      <family val="2"/>
      <scheme val="minor"/>
    </font>
    <font>
      <b/>
      <u/>
      <sz val="9"/>
      <color theme="1"/>
      <name val="Calibri"/>
      <family val="2"/>
      <scheme val="minor"/>
    </font>
    <font>
      <i/>
      <sz val="9"/>
      <color theme="1"/>
      <name val="Calibri"/>
      <family val="2"/>
      <scheme val="minor"/>
    </font>
    <font>
      <b/>
      <sz val="11"/>
      <color theme="1"/>
      <name val="Calibri"/>
      <family val="2"/>
      <scheme val="minor"/>
    </font>
    <font>
      <sz val="11"/>
      <color rgb="FF000000"/>
      <name val="Calibri"/>
      <family val="2"/>
      <scheme val="minor"/>
    </font>
    <font>
      <b/>
      <sz val="9"/>
      <color rgb="FFFF0000"/>
      <name val="Calibri"/>
      <family val="2"/>
      <scheme val="minor"/>
    </font>
    <font>
      <sz val="11"/>
      <color theme="1"/>
      <name val="Calibri"/>
      <family val="2"/>
      <scheme val="minor"/>
    </font>
    <font>
      <sz val="11"/>
      <color rgb="FFFF0000"/>
      <name val="Calibri"/>
      <family val="2"/>
      <scheme val="minor"/>
    </font>
    <font>
      <sz val="9"/>
      <color theme="1"/>
      <name val="Calibri"/>
      <family val="2"/>
    </font>
    <font>
      <b/>
      <sz val="11"/>
      <color rgb="FFFF0000"/>
      <name val="Calibri"/>
      <family val="2"/>
      <scheme val="minor"/>
    </font>
    <font>
      <sz val="11"/>
      <name val="Calibri"/>
      <family val="2"/>
      <scheme val="minor"/>
    </font>
    <font>
      <b/>
      <i/>
      <sz val="11"/>
      <color theme="1"/>
      <name val="Calibri"/>
      <family val="2"/>
      <scheme val="minor"/>
    </font>
    <font>
      <b/>
      <sz val="14"/>
      <color theme="1"/>
      <name val="Calibri"/>
      <family val="2"/>
      <scheme val="minor"/>
    </font>
    <font>
      <b/>
      <sz val="16"/>
      <color theme="1"/>
      <name val="Calibri"/>
      <family val="2"/>
      <scheme val="minor"/>
    </font>
    <font>
      <i/>
      <sz val="11"/>
      <color theme="1"/>
      <name val="Calibri"/>
      <family val="2"/>
      <scheme val="minor"/>
    </font>
    <font>
      <i/>
      <sz val="11"/>
      <color rgb="FFFF0000"/>
      <name val="Calibri"/>
      <family val="2"/>
      <scheme val="minor"/>
    </font>
    <font>
      <b/>
      <sz val="12"/>
      <color theme="1"/>
      <name val="Arial"/>
      <family val="2"/>
    </font>
    <font>
      <sz val="12"/>
      <color theme="1"/>
      <name val="Arial"/>
      <family val="2"/>
    </font>
    <font>
      <sz val="10"/>
      <color theme="1"/>
      <name val="Arial"/>
      <family val="2"/>
    </font>
    <font>
      <b/>
      <sz val="12"/>
      <color rgb="FFC00000"/>
      <name val="Arial"/>
      <family val="2"/>
    </font>
    <font>
      <b/>
      <sz val="10"/>
      <color rgb="FFC00000"/>
      <name val="Arial"/>
      <family val="2"/>
    </font>
    <font>
      <sz val="12"/>
      <color rgb="FFC00000"/>
      <name val="Arial"/>
      <family val="2"/>
    </font>
    <font>
      <i/>
      <sz val="12"/>
      <color theme="1"/>
      <name val="Arial"/>
      <family val="2"/>
    </font>
    <font>
      <i/>
      <sz val="12"/>
      <color rgb="FFC00000"/>
      <name val="Arial"/>
      <family val="2"/>
    </font>
    <font>
      <sz val="12"/>
      <name val="Arial"/>
      <family val="2"/>
    </font>
    <font>
      <sz val="12"/>
      <color rgb="FFFF0000"/>
      <name val="Arial"/>
      <family val="2"/>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43">
    <border>
      <left/>
      <right/>
      <top/>
      <bottom/>
      <diagonal/>
    </border>
    <border>
      <left/>
      <right/>
      <top style="thin">
        <color indexed="64"/>
      </top>
      <bottom style="double">
        <color indexed="64"/>
      </bottom>
      <diagonal/>
    </border>
    <border>
      <left/>
      <right/>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style="double">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thin">
        <color indexed="64"/>
      </top>
      <bottom style="medium">
        <color indexed="64"/>
      </bottom>
      <diagonal/>
    </border>
    <border>
      <left/>
      <right/>
      <top/>
      <bottom style="double">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hair">
        <color auto="1"/>
      </top>
      <bottom style="thin">
        <color indexed="64"/>
      </bottom>
      <diagonal/>
    </border>
    <border>
      <left style="hair">
        <color auto="1"/>
      </left>
      <right style="hair">
        <color auto="1"/>
      </right>
      <top style="thin">
        <color indexed="64"/>
      </top>
      <bottom style="medium">
        <color auto="1"/>
      </bottom>
      <diagonal/>
    </border>
  </borders>
  <cellStyleXfs count="6">
    <xf numFmtId="0" fontId="0" fillId="0" borderId="0"/>
    <xf numFmtId="0" fontId="2" fillId="0" borderId="0" applyNumberFormat="0" applyFill="0" applyBorder="0" applyAlignment="0" applyProtection="0"/>
    <xf numFmtId="43"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0" fontId="22" fillId="0" borderId="0"/>
  </cellStyleXfs>
  <cellXfs count="444">
    <xf numFmtId="0" fontId="0" fillId="0" borderId="0" xfId="0"/>
    <xf numFmtId="0" fontId="1" fillId="0" borderId="0" xfId="0" applyFont="1"/>
    <xf numFmtId="0" fontId="2" fillId="0" borderId="0" xfId="1"/>
    <xf numFmtId="14" fontId="1" fillId="0" borderId="0" xfId="0" applyNumberFormat="1" applyFont="1"/>
    <xf numFmtId="9" fontId="1" fillId="0" borderId="0" xfId="0" applyNumberFormat="1" applyFont="1"/>
    <xf numFmtId="0" fontId="4" fillId="0" borderId="0" xfId="0" applyFont="1"/>
    <xf numFmtId="3" fontId="1" fillId="0" borderId="0" xfId="0" applyNumberFormat="1" applyFont="1"/>
    <xf numFmtId="0" fontId="1" fillId="2" borderId="0" xfId="0" applyFont="1" applyFill="1"/>
    <xf numFmtId="3" fontId="1" fillId="2" borderId="0" xfId="0" applyNumberFormat="1" applyFont="1" applyFill="1"/>
    <xf numFmtId="0" fontId="1" fillId="0" borderId="0" xfId="0" applyFont="1" applyFill="1"/>
    <xf numFmtId="3" fontId="1" fillId="0" borderId="0" xfId="0" applyNumberFormat="1" applyFont="1" applyFill="1"/>
    <xf numFmtId="0" fontId="1" fillId="0" borderId="0" xfId="0" applyFont="1" applyAlignment="1">
      <alignment horizontal="right"/>
    </xf>
    <xf numFmtId="0" fontId="5" fillId="0" borderId="0" xfId="0" applyFont="1"/>
    <xf numFmtId="0" fontId="1" fillId="0" borderId="0" xfId="0" quotePrefix="1" applyFont="1"/>
    <xf numFmtId="3" fontId="1" fillId="0" borderId="1" xfId="0" applyNumberFormat="1" applyFont="1" applyBorder="1"/>
    <xf numFmtId="0" fontId="1" fillId="0" borderId="1" xfId="0" applyFont="1" applyBorder="1"/>
    <xf numFmtId="0" fontId="1" fillId="3" borderId="0" xfId="0" applyFont="1" applyFill="1"/>
    <xf numFmtId="0" fontId="1" fillId="0" borderId="0" xfId="0" applyFont="1" applyFill="1" applyAlignment="1"/>
    <xf numFmtId="3" fontId="1" fillId="0" borderId="0" xfId="0" applyNumberFormat="1" applyFont="1" applyBorder="1"/>
    <xf numFmtId="0" fontId="3" fillId="0" borderId="0" xfId="0" applyFont="1" applyFill="1" applyBorder="1" applyAlignment="1">
      <alignment horizontal="left"/>
    </xf>
    <xf numFmtId="0" fontId="0" fillId="0" borderId="0" xfId="0" applyFont="1" applyFill="1" applyBorder="1"/>
    <xf numFmtId="0" fontId="0" fillId="0" borderId="0" xfId="0" applyFill="1" applyBorder="1"/>
    <xf numFmtId="0" fontId="0" fillId="0" borderId="0" xfId="0" applyFill="1" applyBorder="1" applyAlignment="1">
      <alignment horizontal="left" vertical="center" wrapText="1"/>
    </xf>
    <xf numFmtId="0" fontId="3" fillId="0" borderId="0" xfId="0" applyFont="1" applyFill="1" applyBorder="1" applyAlignment="1">
      <alignment horizontal="left" vertical="center" wrapText="1"/>
    </xf>
    <xf numFmtId="3" fontId="1" fillId="0" borderId="2" xfId="0" applyNumberFormat="1" applyFont="1" applyBorder="1"/>
    <xf numFmtId="3" fontId="1" fillId="0" borderId="3" xfId="0" applyNumberFormat="1" applyFont="1" applyBorder="1"/>
    <xf numFmtId="3" fontId="1" fillId="3" borderId="0" xfId="0" applyNumberFormat="1" applyFont="1" applyFill="1"/>
    <xf numFmtId="14" fontId="1" fillId="2" borderId="0" xfId="0" applyNumberFormat="1" applyFont="1" applyFill="1"/>
    <xf numFmtId="164" fontId="1" fillId="3" borderId="0" xfId="0" applyNumberFormat="1" applyFont="1" applyFill="1"/>
    <xf numFmtId="165" fontId="1" fillId="0" borderId="0" xfId="0" applyNumberFormat="1" applyFont="1"/>
    <xf numFmtId="164" fontId="1" fillId="0" borderId="0" xfId="0" applyNumberFormat="1" applyFont="1"/>
    <xf numFmtId="0" fontId="6" fillId="0" borderId="0" xfId="0" applyFont="1"/>
    <xf numFmtId="3" fontId="6" fillId="0" borderId="0" xfId="0" applyNumberFormat="1" applyFont="1"/>
    <xf numFmtId="10" fontId="1" fillId="0" borderId="0" xfId="0" applyNumberFormat="1" applyFont="1"/>
    <xf numFmtId="0" fontId="1" fillId="0" borderId="0" xfId="0" applyFont="1" applyAlignment="1">
      <alignment horizontal="centerContinuous"/>
    </xf>
    <xf numFmtId="0" fontId="0" fillId="0" borderId="4" xfId="0" applyFill="1" applyBorder="1"/>
    <xf numFmtId="0" fontId="0" fillId="0" borderId="0" xfId="0" applyFill="1" applyBorder="1" applyAlignment="1">
      <alignment horizontal="left" vertical="center"/>
    </xf>
    <xf numFmtId="1" fontId="1" fillId="0" borderId="0" xfId="0" applyNumberFormat="1" applyFont="1"/>
    <xf numFmtId="4" fontId="1" fillId="0" borderId="0" xfId="0" applyNumberFormat="1" applyFont="1"/>
    <xf numFmtId="2" fontId="1" fillId="0" borderId="0" xfId="0" applyNumberFormat="1" applyFont="1"/>
    <xf numFmtId="0" fontId="1" fillId="2" borderId="1" xfId="0" applyFont="1" applyFill="1" applyBorder="1"/>
    <xf numFmtId="9" fontId="1" fillId="2" borderId="0" xfId="0" applyNumberFormat="1" applyFont="1" applyFill="1"/>
    <xf numFmtId="3" fontId="1" fillId="2" borderId="1" xfId="0" applyNumberFormat="1" applyFont="1" applyFill="1" applyBorder="1"/>
    <xf numFmtId="0" fontId="4" fillId="0" borderId="0" xfId="0" applyFont="1" applyFill="1"/>
    <xf numFmtId="0" fontId="1" fillId="0" borderId="1" xfId="0" applyFont="1" applyFill="1" applyBorder="1"/>
    <xf numFmtId="0" fontId="4" fillId="0" borderId="1" xfId="0" applyFont="1" applyFill="1" applyBorder="1"/>
    <xf numFmtId="9" fontId="1" fillId="0" borderId="0" xfId="0" applyNumberFormat="1" applyFont="1" applyFill="1"/>
    <xf numFmtId="0" fontId="1" fillId="0" borderId="0" xfId="0" applyFont="1" applyFill="1" applyBorder="1"/>
    <xf numFmtId="0" fontId="4" fillId="0" borderId="0" xfId="0" applyFont="1" applyFill="1" applyBorder="1"/>
    <xf numFmtId="3" fontId="1" fillId="0" borderId="0" xfId="0" applyNumberFormat="1" applyFont="1" applyFill="1" applyBorder="1"/>
    <xf numFmtId="3" fontId="1" fillId="0" borderId="1" xfId="0" applyNumberFormat="1" applyFont="1" applyFill="1" applyBorder="1"/>
    <xf numFmtId="9" fontId="1" fillId="0" borderId="0" xfId="0" applyNumberFormat="1" applyFont="1" applyFill="1" applyBorder="1"/>
    <xf numFmtId="0" fontId="1" fillId="0" borderId="0" xfId="0" applyFont="1" applyAlignment="1">
      <alignment horizontal="left"/>
    </xf>
    <xf numFmtId="0" fontId="1" fillId="2" borderId="0" xfId="0" applyFont="1" applyFill="1" applyAlignment="1">
      <alignment horizontal="centerContinuous"/>
    </xf>
    <xf numFmtId="0" fontId="1" fillId="2" borderId="0" xfId="0" applyFont="1" applyFill="1" applyAlignment="1"/>
    <xf numFmtId="3" fontId="4" fillId="0" borderId="0" xfId="0" applyNumberFormat="1" applyFont="1"/>
    <xf numFmtId="0" fontId="8" fillId="0" borderId="0" xfId="0" applyFont="1" applyAlignment="1">
      <alignment wrapText="1"/>
    </xf>
    <xf numFmtId="0" fontId="0" fillId="0" borderId="5" xfId="0" applyBorder="1" applyAlignment="1">
      <alignment horizontal="center"/>
    </xf>
    <xf numFmtId="0" fontId="0" fillId="0" borderId="6" xfId="0" applyBorder="1" applyAlignment="1">
      <alignment horizontal="center"/>
    </xf>
    <xf numFmtId="0" fontId="0" fillId="0" borderId="5" xfId="0" applyBorder="1"/>
    <xf numFmtId="0" fontId="8" fillId="0" borderId="5" xfId="0" applyFont="1" applyBorder="1" applyAlignment="1">
      <alignment wrapText="1"/>
    </xf>
    <xf numFmtId="0" fontId="8" fillId="0" borderId="0" xfId="0" applyFont="1"/>
    <xf numFmtId="0" fontId="0" fillId="0" borderId="7" xfId="0" applyBorder="1" applyAlignment="1">
      <alignment horizontal="left" vertical="center"/>
    </xf>
    <xf numFmtId="0" fontId="0" fillId="0" borderId="3" xfId="0" applyBorder="1" applyAlignment="1">
      <alignment horizontal="left" vertical="center"/>
    </xf>
    <xf numFmtId="0" fontId="0" fillId="0" borderId="3" xfId="0" applyBorder="1" applyAlignment="1">
      <alignment vertical="top" wrapText="1"/>
    </xf>
    <xf numFmtId="0" fontId="0" fillId="0" borderId="0" xfId="0" applyAlignment="1">
      <alignment horizontal="left" vertical="center"/>
    </xf>
    <xf numFmtId="0" fontId="8" fillId="0" borderId="8" xfId="0" applyFont="1" applyBorder="1" applyAlignment="1">
      <alignment horizontal="left" vertical="center"/>
    </xf>
    <xf numFmtId="0" fontId="0" fillId="0" borderId="9" xfId="0" applyBorder="1"/>
    <xf numFmtId="0" fontId="0" fillId="0" borderId="0" xfId="0" applyAlignment="1">
      <alignment vertical="top" wrapText="1"/>
    </xf>
    <xf numFmtId="0" fontId="8" fillId="0" borderId="10" xfId="0" applyFont="1" applyBorder="1" applyAlignment="1">
      <alignment horizontal="left" vertical="center"/>
    </xf>
    <xf numFmtId="0" fontId="0" fillId="0" borderId="0" xfId="0" applyAlignment="1">
      <alignment vertical="top"/>
    </xf>
    <xf numFmtId="0" fontId="0" fillId="0" borderId="11" xfId="0" applyBorder="1" applyAlignment="1">
      <alignment horizontal="left" vertical="center"/>
    </xf>
    <xf numFmtId="0" fontId="0" fillId="0" borderId="2" xfId="0" applyBorder="1" applyAlignment="1">
      <alignment horizontal="left" vertical="center"/>
    </xf>
    <xf numFmtId="0" fontId="0" fillId="0" borderId="2" xfId="0" applyBorder="1" applyAlignment="1">
      <alignment vertical="top" wrapText="1"/>
    </xf>
    <xf numFmtId="0" fontId="8" fillId="0" borderId="12" xfId="0" applyFont="1" applyBorder="1" applyAlignment="1">
      <alignment horizontal="left" vertical="center"/>
    </xf>
    <xf numFmtId="0" fontId="0" fillId="0" borderId="13" xfId="0" applyBorder="1"/>
    <xf numFmtId="0" fontId="7" fillId="0" borderId="15" xfId="0" applyFont="1" applyBorder="1" applyAlignment="1">
      <alignment horizontal="center" vertical="center" wrapText="1"/>
    </xf>
    <xf numFmtId="0" fontId="7" fillId="0" borderId="6" xfId="0" applyFont="1" applyBorder="1" applyAlignment="1">
      <alignment horizontal="center" vertical="center" wrapText="1"/>
    </xf>
    <xf numFmtId="0" fontId="7" fillId="0" borderId="5" xfId="0" applyFont="1" applyBorder="1" applyAlignment="1">
      <alignment horizontal="center" vertical="center" wrapText="1"/>
    </xf>
    <xf numFmtId="0" fontId="0" fillId="0" borderId="16" xfId="0" applyBorder="1" applyAlignment="1">
      <alignment horizontal="left" vertical="center"/>
    </xf>
    <xf numFmtId="0" fontId="0" fillId="0" borderId="3" xfId="0" applyBorder="1" applyAlignment="1">
      <alignment horizontal="left" vertical="center" wrapText="1"/>
    </xf>
    <xf numFmtId="0" fontId="0" fillId="0" borderId="8" xfId="0" applyBorder="1" applyAlignment="1">
      <alignment horizontal="left" vertical="center"/>
    </xf>
    <xf numFmtId="0" fontId="0" fillId="0" borderId="10" xfId="0" applyBorder="1"/>
    <xf numFmtId="0" fontId="0" fillId="0" borderId="0" xfId="0" applyAlignment="1">
      <alignment horizontal="left" vertical="center" wrapText="1"/>
    </xf>
    <xf numFmtId="0" fontId="0" fillId="0" borderId="10" xfId="0" applyBorder="1" applyAlignment="1">
      <alignment horizontal="left" vertical="center"/>
    </xf>
    <xf numFmtId="0" fontId="0" fillId="0" borderId="2" xfId="0" applyBorder="1" applyAlignment="1">
      <alignment horizontal="left" vertical="center" wrapText="1"/>
    </xf>
    <xf numFmtId="0" fontId="0" fillId="0" borderId="12" xfId="0" applyBorder="1" applyAlignment="1">
      <alignment horizontal="left" vertical="center"/>
    </xf>
    <xf numFmtId="0" fontId="0" fillId="0" borderId="12" xfId="0" applyBorder="1"/>
    <xf numFmtId="0" fontId="9" fillId="0" borderId="0" xfId="0" applyFont="1"/>
    <xf numFmtId="166" fontId="1" fillId="0" borderId="0" xfId="0" applyNumberFormat="1" applyFont="1"/>
    <xf numFmtId="166" fontId="1" fillId="0" borderId="1" xfId="0" applyNumberFormat="1" applyFont="1" applyBorder="1"/>
    <xf numFmtId="166" fontId="1" fillId="0" borderId="2" xfId="0" applyNumberFormat="1" applyFont="1" applyBorder="1"/>
    <xf numFmtId="0" fontId="0" fillId="0" borderId="0" xfId="0" applyFill="1" applyBorder="1" applyAlignment="1">
      <alignment horizontal="left" wrapText="1"/>
    </xf>
    <xf numFmtId="0" fontId="0" fillId="0" borderId="0" xfId="0" applyFill="1" applyBorder="1" applyAlignment="1">
      <alignment horizontal="left"/>
    </xf>
    <xf numFmtId="0" fontId="7" fillId="0" borderId="0" xfId="0" applyFont="1"/>
    <xf numFmtId="0" fontId="7" fillId="0" borderId="0" xfId="0" applyFont="1" applyAlignment="1">
      <alignment horizontal="right"/>
    </xf>
    <xf numFmtId="0" fontId="7" fillId="0" borderId="0" xfId="0" applyFont="1" applyAlignment="1">
      <alignment horizontal="left"/>
    </xf>
    <xf numFmtId="0" fontId="0" fillId="0" borderId="0" xfId="0" applyAlignment="1">
      <alignment horizontal="right"/>
    </xf>
    <xf numFmtId="0" fontId="12" fillId="0" borderId="0" xfId="0" applyFont="1"/>
    <xf numFmtId="0" fontId="12" fillId="2" borderId="0" xfId="0" applyFont="1" applyFill="1"/>
    <xf numFmtId="43" fontId="0" fillId="2" borderId="0" xfId="2" applyFont="1" applyFill="1"/>
    <xf numFmtId="3" fontId="0" fillId="2" borderId="0" xfId="2" applyNumberFormat="1" applyFont="1" applyFill="1"/>
    <xf numFmtId="43" fontId="0" fillId="0" borderId="0" xfId="0" applyNumberFormat="1"/>
    <xf numFmtId="0" fontId="11" fillId="0" borderId="0" xfId="0" applyFont="1"/>
    <xf numFmtId="0" fontId="0" fillId="2" borderId="0" xfId="0" applyFill="1"/>
    <xf numFmtId="3" fontId="0" fillId="2" borderId="0" xfId="0" applyNumberFormat="1" applyFill="1"/>
    <xf numFmtId="43" fontId="0" fillId="0" borderId="0" xfId="2" applyFont="1"/>
    <xf numFmtId="0" fontId="0" fillId="0" borderId="17" xfId="0" applyBorder="1"/>
    <xf numFmtId="0" fontId="0" fillId="0" borderId="18" xfId="0" applyBorder="1"/>
    <xf numFmtId="0" fontId="0" fillId="0" borderId="19" xfId="0" applyBorder="1"/>
    <xf numFmtId="2" fontId="0" fillId="0" borderId="0" xfId="0" applyNumberFormat="1"/>
    <xf numFmtId="0" fontId="7" fillId="0" borderId="20" xfId="0" applyFont="1" applyBorder="1"/>
    <xf numFmtId="0" fontId="0" fillId="0" borderId="21" xfId="0" applyBorder="1"/>
    <xf numFmtId="0" fontId="0" fillId="0" borderId="20" xfId="0" applyBorder="1"/>
    <xf numFmtId="43" fontId="0" fillId="0" borderId="21" xfId="0" applyNumberFormat="1" applyBorder="1"/>
    <xf numFmtId="0" fontId="13" fillId="0" borderId="0" xfId="0" applyFont="1"/>
    <xf numFmtId="0" fontId="0" fillId="2" borderId="20" xfId="0" applyFill="1" applyBorder="1"/>
    <xf numFmtId="43" fontId="0" fillId="0" borderId="22" xfId="0" applyNumberFormat="1" applyBorder="1"/>
    <xf numFmtId="0" fontId="0" fillId="0" borderId="23" xfId="0" applyBorder="1"/>
    <xf numFmtId="0" fontId="0" fillId="0" borderId="24" xfId="0" applyBorder="1"/>
    <xf numFmtId="0" fontId="0" fillId="0" borderId="25" xfId="0" applyBorder="1"/>
    <xf numFmtId="43" fontId="0" fillId="0" borderId="21" xfId="2" applyFont="1" applyBorder="1"/>
    <xf numFmtId="0" fontId="0" fillId="2" borderId="0" xfId="0" applyFill="1" applyAlignment="1">
      <alignment horizontal="right"/>
    </xf>
    <xf numFmtId="0" fontId="0" fillId="0" borderId="24" xfId="0" applyBorder="1" applyAlignment="1">
      <alignment horizontal="right"/>
    </xf>
    <xf numFmtId="0" fontId="7" fillId="0" borderId="23" xfId="0" applyFont="1" applyBorder="1"/>
    <xf numFmtId="43" fontId="0" fillId="0" borderId="26" xfId="0" applyNumberFormat="1" applyBorder="1"/>
    <xf numFmtId="0" fontId="7" fillId="0" borderId="17" xfId="0" applyFont="1" applyBorder="1"/>
    <xf numFmtId="43" fontId="0" fillId="0" borderId="1" xfId="0" applyNumberFormat="1" applyBorder="1"/>
    <xf numFmtId="43" fontId="0" fillId="0" borderId="0" xfId="2" applyFont="1" applyBorder="1"/>
    <xf numFmtId="0" fontId="0" fillId="2" borderId="20" xfId="0" applyFill="1" applyBorder="1" applyAlignment="1">
      <alignment vertical="top"/>
    </xf>
    <xf numFmtId="0" fontId="0" fillId="2" borderId="0" xfId="0" applyFill="1" applyAlignment="1">
      <alignment vertical="top" wrapText="1"/>
    </xf>
    <xf numFmtId="0" fontId="0" fillId="2" borderId="21" xfId="0" applyFill="1" applyBorder="1" applyAlignment="1">
      <alignment vertical="top" wrapText="1"/>
    </xf>
    <xf numFmtId="0" fontId="0" fillId="2" borderId="20" xfId="0" applyFill="1" applyBorder="1" applyAlignment="1">
      <alignment vertical="top" wrapText="1"/>
    </xf>
    <xf numFmtId="0" fontId="0" fillId="2" borderId="0" xfId="0" applyFill="1" applyAlignment="1">
      <alignment wrapText="1"/>
    </xf>
    <xf numFmtId="0" fontId="0" fillId="2" borderId="21" xfId="0" applyFill="1" applyBorder="1" applyAlignment="1">
      <alignment wrapText="1"/>
    </xf>
    <xf numFmtId="0" fontId="0" fillId="0" borderId="0" xfId="0" applyBorder="1"/>
    <xf numFmtId="166" fontId="1" fillId="0" borderId="0" xfId="3" applyNumberFormat="1" applyFont="1"/>
    <xf numFmtId="3" fontId="0" fillId="0" borderId="0" xfId="0" applyNumberFormat="1" applyFill="1" applyBorder="1" applyAlignment="1">
      <alignment vertical="center"/>
    </xf>
    <xf numFmtId="3" fontId="0" fillId="0" borderId="0" xfId="0" applyNumberFormat="1" applyFill="1" applyBorder="1" applyAlignment="1"/>
    <xf numFmtId="10" fontId="0" fillId="0" borderId="1" xfId="4" applyNumberFormat="1" applyFont="1" applyFill="1" applyBorder="1" applyAlignment="1">
      <alignment vertical="center" wrapText="1"/>
    </xf>
    <xf numFmtId="13" fontId="0" fillId="0" borderId="1" xfId="4" applyNumberFormat="1" applyFont="1" applyFill="1" applyBorder="1" applyAlignment="1">
      <alignment horizontal="right" vertical="center" wrapText="1"/>
    </xf>
    <xf numFmtId="166" fontId="1" fillId="0" borderId="27" xfId="0" applyNumberFormat="1" applyFont="1" applyBorder="1"/>
    <xf numFmtId="166" fontId="1" fillId="0" borderId="15" xfId="0" applyNumberFormat="1" applyFont="1" applyBorder="1"/>
    <xf numFmtId="0" fontId="2" fillId="2" borderId="0" xfId="1" applyFill="1" applyBorder="1" applyAlignment="1">
      <alignment horizontal="left" vertical="center" wrapText="1"/>
    </xf>
    <xf numFmtId="0" fontId="2" fillId="0" borderId="0" xfId="1" applyFont="1" applyFill="1" applyBorder="1" applyAlignment="1">
      <alignment horizontal="left" vertical="center"/>
    </xf>
    <xf numFmtId="0" fontId="2" fillId="0" borderId="0" xfId="1" applyFont="1" applyFill="1"/>
    <xf numFmtId="14" fontId="1" fillId="0" borderId="0" xfId="0" applyNumberFormat="1" applyFont="1" applyAlignment="1">
      <alignment horizontal="right"/>
    </xf>
    <xf numFmtId="9" fontId="0" fillId="2" borderId="0" xfId="0" applyNumberFormat="1" applyFill="1"/>
    <xf numFmtId="43" fontId="11" fillId="0" borderId="0" xfId="2" applyFont="1"/>
    <xf numFmtId="43" fontId="14" fillId="2" borderId="0" xfId="2" applyFont="1" applyFill="1"/>
    <xf numFmtId="43" fontId="0" fillId="2" borderId="0" xfId="2" applyFont="1" applyFill="1" applyAlignment="1">
      <alignment horizontal="right"/>
    </xf>
    <xf numFmtId="10" fontId="0" fillId="2" borderId="0" xfId="0" applyNumberFormat="1" applyFill="1" applyAlignment="1">
      <alignment horizontal="right"/>
    </xf>
    <xf numFmtId="0" fontId="15" fillId="4" borderId="28" xfId="0" applyFont="1" applyFill="1" applyBorder="1"/>
    <xf numFmtId="0" fontId="15" fillId="4" borderId="29" xfId="0" applyFont="1" applyFill="1" applyBorder="1"/>
    <xf numFmtId="0" fontId="15" fillId="4" borderId="30" xfId="0" applyFont="1" applyFill="1" applyBorder="1"/>
    <xf numFmtId="0" fontId="15" fillId="0" borderId="20" xfId="0" applyFont="1" applyBorder="1"/>
    <xf numFmtId="0" fontId="15" fillId="0" borderId="0" xfId="0" applyFont="1" applyAlignment="1">
      <alignment horizontal="right"/>
    </xf>
    <xf numFmtId="0" fontId="15" fillId="0" borderId="21" xfId="0" applyFont="1" applyBorder="1" applyAlignment="1">
      <alignment horizontal="right"/>
    </xf>
    <xf numFmtId="167" fontId="0" fillId="0" borderId="20" xfId="0" applyNumberFormat="1" applyBorder="1" applyAlignment="1">
      <alignment horizontal="left"/>
    </xf>
    <xf numFmtId="0" fontId="11" fillId="2" borderId="0" xfId="0" applyFont="1" applyFill="1"/>
    <xf numFmtId="3" fontId="0" fillId="0" borderId="0" xfId="0" applyNumberFormat="1" applyAlignment="1">
      <alignment horizontal="right"/>
    </xf>
    <xf numFmtId="3" fontId="0" fillId="0" borderId="0" xfId="0" applyNumberFormat="1"/>
    <xf numFmtId="166" fontId="0" fillId="2" borderId="0" xfId="2" applyNumberFormat="1" applyFont="1" applyFill="1" applyAlignment="1">
      <alignment horizontal="right"/>
    </xf>
    <xf numFmtId="166" fontId="0" fillId="0" borderId="0" xfId="2" applyNumberFormat="1" applyFont="1" applyBorder="1"/>
    <xf numFmtId="166" fontId="0" fillId="0" borderId="0" xfId="0" applyNumberFormat="1"/>
    <xf numFmtId="166" fontId="0" fillId="0" borderId="21" xfId="0" applyNumberFormat="1" applyBorder="1"/>
    <xf numFmtId="166" fontId="0" fillId="2" borderId="0" xfId="0" applyNumberFormat="1" applyFill="1"/>
    <xf numFmtId="166" fontId="0" fillId="0" borderId="31" xfId="0" applyNumberFormat="1" applyBorder="1"/>
    <xf numFmtId="166" fontId="0" fillId="0" borderId="0" xfId="0" applyNumberFormat="1" applyAlignment="1">
      <alignment horizontal="right"/>
    </xf>
    <xf numFmtId="166" fontId="0" fillId="0" borderId="0" xfId="2" applyNumberFormat="1" applyFont="1"/>
    <xf numFmtId="0" fontId="0" fillId="0" borderId="0" xfId="0" applyFill="1"/>
    <xf numFmtId="0" fontId="0" fillId="0" borderId="0" xfId="0" applyFill="1" applyAlignment="1">
      <alignment horizontal="right"/>
    </xf>
    <xf numFmtId="0" fontId="11" fillId="0" borderId="0" xfId="0" applyFont="1" applyFill="1"/>
    <xf numFmtId="0" fontId="14" fillId="0" borderId="0" xfId="0" applyFont="1" applyFill="1" applyBorder="1" applyAlignment="1">
      <alignment horizontal="left" vertical="center"/>
    </xf>
    <xf numFmtId="166" fontId="0" fillId="2" borderId="0" xfId="2" applyNumberFormat="1" applyFont="1" applyFill="1" applyBorder="1"/>
    <xf numFmtId="166" fontId="7" fillId="0" borderId="15" xfId="2" applyNumberFormat="1" applyFont="1" applyBorder="1"/>
    <xf numFmtId="166" fontId="7" fillId="0" borderId="0" xfId="2" applyNumberFormat="1" applyFont="1" applyBorder="1"/>
    <xf numFmtId="166" fontId="7" fillId="0" borderId="0" xfId="0" applyNumberFormat="1" applyFont="1"/>
    <xf numFmtId="166" fontId="0" fillId="0" borderId="0" xfId="2" applyNumberFormat="1" applyFont="1" applyFill="1" applyBorder="1"/>
    <xf numFmtId="0" fontId="2" fillId="0" borderId="0" xfId="1" applyFill="1" applyBorder="1" applyAlignment="1">
      <alignment horizontal="left" vertical="center"/>
    </xf>
    <xf numFmtId="0" fontId="2" fillId="0" borderId="0" xfId="1" applyFill="1" applyBorder="1"/>
    <xf numFmtId="0" fontId="16" fillId="0" borderId="2" xfId="0" applyFont="1" applyBorder="1"/>
    <xf numFmtId="0" fontId="0" fillId="0" borderId="2" xfId="0" applyBorder="1"/>
    <xf numFmtId="166" fontId="0" fillId="2" borderId="0" xfId="2" applyNumberFormat="1" applyFont="1" applyFill="1"/>
    <xf numFmtId="6" fontId="0" fillId="0" borderId="0" xfId="0" applyNumberFormat="1"/>
    <xf numFmtId="8" fontId="0" fillId="0" borderId="0" xfId="0" applyNumberFormat="1"/>
    <xf numFmtId="0" fontId="0" fillId="0" borderId="17" xfId="0" applyBorder="1" applyAlignment="1">
      <alignment horizontal="right"/>
    </xf>
    <xf numFmtId="0" fontId="0" fillId="0" borderId="18" xfId="0" applyBorder="1" applyAlignment="1">
      <alignment horizontal="right"/>
    </xf>
    <xf numFmtId="0" fontId="0" fillId="0" borderId="19" xfId="0" applyBorder="1" applyAlignment="1">
      <alignment horizontal="right"/>
    </xf>
    <xf numFmtId="0" fontId="0" fillId="0" borderId="21" xfId="0" applyBorder="1" applyAlignment="1">
      <alignment horizontal="right"/>
    </xf>
    <xf numFmtId="166" fontId="0" fillId="0" borderId="18" xfId="0" applyNumberFormat="1" applyBorder="1"/>
    <xf numFmtId="166" fontId="0" fillId="0" borderId="19" xfId="0" applyNumberFormat="1" applyBorder="1"/>
    <xf numFmtId="166" fontId="1" fillId="0" borderId="0" xfId="4" applyNumberFormat="1" applyFont="1"/>
    <xf numFmtId="43" fontId="0" fillId="2" borderId="0" xfId="2" applyFont="1" applyFill="1" applyBorder="1"/>
    <xf numFmtId="14" fontId="1" fillId="0" borderId="0" xfId="0" applyNumberFormat="1" applyFont="1" applyAlignment="1">
      <alignment horizontal="left"/>
    </xf>
    <xf numFmtId="14" fontId="1" fillId="0" borderId="0" xfId="0" applyNumberFormat="1" applyFont="1" applyAlignment="1">
      <alignment horizontal="left" vertical="top"/>
    </xf>
    <xf numFmtId="0" fontId="7" fillId="0" borderId="18" xfId="0" applyFont="1" applyBorder="1"/>
    <xf numFmtId="43" fontId="0" fillId="2" borderId="21" xfId="2" applyFont="1" applyFill="1" applyBorder="1"/>
    <xf numFmtId="168" fontId="0" fillId="0" borderId="0" xfId="0" applyNumberFormat="1"/>
    <xf numFmtId="2" fontId="0" fillId="0" borderId="21" xfId="0" applyNumberFormat="1" applyBorder="1"/>
    <xf numFmtId="169" fontId="0" fillId="0" borderId="0" xfId="0" applyNumberFormat="1"/>
    <xf numFmtId="43" fontId="0" fillId="0" borderId="25" xfId="2" applyFont="1" applyBorder="1"/>
    <xf numFmtId="166" fontId="0" fillId="2" borderId="21" xfId="2" applyNumberFormat="1" applyFont="1" applyFill="1" applyBorder="1"/>
    <xf numFmtId="4" fontId="0" fillId="2" borderId="0" xfId="2" applyNumberFormat="1" applyFont="1" applyFill="1" applyBorder="1"/>
    <xf numFmtId="4" fontId="0" fillId="0" borderId="21" xfId="0" applyNumberFormat="1" applyBorder="1"/>
    <xf numFmtId="4" fontId="0" fillId="0" borderId="0" xfId="0" applyNumberFormat="1"/>
    <xf numFmtId="4" fontId="0" fillId="2" borderId="0" xfId="0" applyNumberFormat="1" applyFill="1"/>
    <xf numFmtId="43" fontId="0" fillId="0" borderId="25" xfId="0" applyNumberFormat="1" applyBorder="1"/>
    <xf numFmtId="0" fontId="0" fillId="5" borderId="0" xfId="0" applyFill="1"/>
    <xf numFmtId="0" fontId="7" fillId="5" borderId="0" xfId="0" applyFont="1" applyFill="1"/>
    <xf numFmtId="43" fontId="0" fillId="0" borderId="0" xfId="2" applyFont="1" applyFill="1" applyBorder="1"/>
    <xf numFmtId="14" fontId="0" fillId="0" borderId="20" xfId="0" applyNumberFormat="1" applyBorder="1"/>
    <xf numFmtId="8" fontId="0" fillId="2" borderId="0" xfId="0" applyNumberFormat="1" applyFill="1"/>
    <xf numFmtId="9" fontId="0" fillId="2" borderId="0" xfId="4" applyFont="1" applyFill="1"/>
    <xf numFmtId="43" fontId="14" fillId="0" borderId="0" xfId="0" applyNumberFormat="1" applyFont="1"/>
    <xf numFmtId="0" fontId="7" fillId="0" borderId="0" xfId="0" applyFont="1" applyAlignment="1">
      <alignment horizontal="center" vertical="center"/>
    </xf>
    <xf numFmtId="14" fontId="0" fillId="0" borderId="0" xfId="0" applyNumberFormat="1"/>
    <xf numFmtId="0" fontId="17" fillId="0" borderId="2" xfId="0" applyFont="1" applyBorder="1"/>
    <xf numFmtId="0" fontId="17" fillId="0" borderId="0" xfId="0" applyFont="1"/>
    <xf numFmtId="0" fontId="14" fillId="2" borderId="0" xfId="1" applyFont="1" applyFill="1" applyAlignment="1">
      <alignment horizontal="right"/>
    </xf>
    <xf numFmtId="166" fontId="0" fillId="0" borderId="1" xfId="2" applyNumberFormat="1" applyFont="1" applyBorder="1"/>
    <xf numFmtId="43" fontId="0" fillId="0" borderId="15" xfId="0" applyNumberFormat="1" applyBorder="1"/>
    <xf numFmtId="43" fontId="1" fillId="0" borderId="0" xfId="0" applyNumberFormat="1" applyFont="1"/>
    <xf numFmtId="170" fontId="1" fillId="0" borderId="0" xfId="0" applyNumberFormat="1" applyFont="1"/>
    <xf numFmtId="0" fontId="18" fillId="0" borderId="0" xfId="0" applyFont="1"/>
    <xf numFmtId="0" fontId="7" fillId="0" borderId="0" xfId="0" applyFont="1" applyAlignment="1"/>
    <xf numFmtId="0" fontId="0" fillId="0" borderId="0" xfId="0" applyAlignment="1"/>
    <xf numFmtId="0" fontId="13" fillId="0" borderId="0" xfId="0" applyFont="1" applyAlignment="1"/>
    <xf numFmtId="0" fontId="11" fillId="0" borderId="0" xfId="0" applyFont="1" applyAlignment="1"/>
    <xf numFmtId="0" fontId="18" fillId="0" borderId="0" xfId="0" applyFont="1" applyAlignment="1"/>
    <xf numFmtId="0" fontId="0" fillId="2" borderId="0" xfId="0" applyFill="1" applyAlignment="1"/>
    <xf numFmtId="0" fontId="11" fillId="0" borderId="0" xfId="0" applyFont="1" applyAlignment="1">
      <alignment vertical="top"/>
    </xf>
    <xf numFmtId="0" fontId="14" fillId="2" borderId="0" xfId="0" applyFont="1" applyFill="1" applyAlignment="1"/>
    <xf numFmtId="0" fontId="11" fillId="0" borderId="0" xfId="0" applyFont="1" applyAlignment="1">
      <alignment horizontal="left" vertical="top"/>
    </xf>
    <xf numFmtId="0" fontId="0" fillId="0" borderId="18" xfId="0" applyBorder="1" applyAlignment="1">
      <alignment horizontal="center"/>
    </xf>
    <xf numFmtId="0" fontId="0" fillId="0" borderId="19" xfId="0" applyBorder="1" applyAlignment="1">
      <alignment horizontal="center"/>
    </xf>
    <xf numFmtId="0" fontId="0" fillId="0" borderId="0" xfId="0" applyAlignment="1">
      <alignment horizontal="center"/>
    </xf>
    <xf numFmtId="3" fontId="0" fillId="2" borderId="0" xfId="2" applyNumberFormat="1" applyFont="1" applyFill="1" applyBorder="1"/>
    <xf numFmtId="43" fontId="0" fillId="0" borderId="0" xfId="2" applyFont="1" applyFill="1"/>
    <xf numFmtId="3" fontId="0" fillId="0" borderId="0" xfId="2" applyNumberFormat="1" applyFont="1"/>
    <xf numFmtId="3" fontId="0" fillId="0" borderId="21" xfId="2" applyNumberFormat="1" applyFont="1" applyBorder="1"/>
    <xf numFmtId="10" fontId="0" fillId="2" borderId="21" xfId="0" applyNumberFormat="1" applyFill="1" applyBorder="1"/>
    <xf numFmtId="10" fontId="0" fillId="0" borderId="0" xfId="0" applyNumberFormat="1"/>
    <xf numFmtId="0" fontId="19" fillId="0" borderId="0" xfId="0" applyFont="1"/>
    <xf numFmtId="3" fontId="0" fillId="2" borderId="21" xfId="2" applyNumberFormat="1" applyFont="1" applyFill="1" applyBorder="1"/>
    <xf numFmtId="43" fontId="18" fillId="0" borderId="0" xfId="2" applyFont="1" applyFill="1"/>
    <xf numFmtId="0" fontId="11" fillId="0" borderId="24" xfId="0" applyFont="1" applyBorder="1"/>
    <xf numFmtId="3" fontId="0" fillId="0" borderId="25" xfId="2" applyNumberFormat="1" applyFont="1" applyFill="1" applyBorder="1"/>
    <xf numFmtId="16" fontId="0" fillId="0" borderId="0" xfId="0" applyNumberFormat="1"/>
    <xf numFmtId="3" fontId="0" fillId="0" borderId="15" xfId="0" applyNumberFormat="1" applyBorder="1"/>
    <xf numFmtId="3" fontId="0" fillId="0" borderId="1" xfId="0" applyNumberFormat="1" applyBorder="1"/>
    <xf numFmtId="0" fontId="19" fillId="0" borderId="0" xfId="0" applyFont="1" applyAlignment="1">
      <alignment horizontal="right"/>
    </xf>
    <xf numFmtId="3" fontId="14" fillId="0" borderId="1" xfId="0" applyNumberFormat="1" applyFont="1" applyBorder="1" applyAlignment="1">
      <alignment horizontal="right"/>
    </xf>
    <xf numFmtId="3" fontId="0" fillId="0" borderId="3" xfId="0" applyNumberFormat="1" applyBorder="1"/>
    <xf numFmtId="0" fontId="19" fillId="0" borderId="0" xfId="0" applyFont="1" applyAlignment="1">
      <alignment horizontal="left"/>
    </xf>
    <xf numFmtId="171" fontId="0" fillId="0" borderId="0" xfId="2" applyNumberFormat="1" applyFont="1" applyFill="1"/>
    <xf numFmtId="171" fontId="0" fillId="2" borderId="0" xfId="2" applyNumberFormat="1" applyFont="1" applyFill="1"/>
    <xf numFmtId="0" fontId="11" fillId="0" borderId="0" xfId="0" applyFont="1" applyAlignment="1">
      <alignment horizontal="left"/>
    </xf>
    <xf numFmtId="171" fontId="0" fillId="0" borderId="0" xfId="0" applyNumberFormat="1"/>
    <xf numFmtId="43" fontId="0" fillId="0" borderId="31" xfId="0" applyNumberFormat="1" applyBorder="1"/>
    <xf numFmtId="0" fontId="7" fillId="0" borderId="21" xfId="0" applyFont="1" applyBorder="1" applyAlignment="1">
      <alignment horizontal="right"/>
    </xf>
    <xf numFmtId="171" fontId="0" fillId="0" borderId="21" xfId="0" applyNumberFormat="1" applyBorder="1"/>
    <xf numFmtId="171" fontId="0" fillId="0" borderId="0" xfId="2" applyNumberFormat="1" applyFont="1" applyBorder="1"/>
    <xf numFmtId="0" fontId="0" fillId="2" borderId="0" xfId="0" applyFill="1" applyAlignment="1">
      <alignment horizontal="left"/>
    </xf>
    <xf numFmtId="10" fontId="0" fillId="0" borderId="0" xfId="4" applyNumberFormat="1" applyFont="1"/>
    <xf numFmtId="0" fontId="11" fillId="0" borderId="0" xfId="0" quotePrefix="1" applyFont="1"/>
    <xf numFmtId="166" fontId="18" fillId="0" borderId="0" xfId="0" applyNumberFormat="1" applyFont="1"/>
    <xf numFmtId="166" fontId="0" fillId="0" borderId="0" xfId="2" applyNumberFormat="1" applyFont="1" applyFill="1"/>
    <xf numFmtId="166" fontId="0" fillId="0" borderId="21" xfId="2" applyNumberFormat="1" applyFont="1" applyBorder="1"/>
    <xf numFmtId="166" fontId="15" fillId="0" borderId="0" xfId="0" applyNumberFormat="1" applyFont="1" applyAlignment="1">
      <alignment horizontal="right"/>
    </xf>
    <xf numFmtId="166" fontId="15" fillId="0" borderId="21" xfId="0" applyNumberFormat="1" applyFont="1" applyBorder="1" applyAlignment="1">
      <alignment horizontal="right"/>
    </xf>
    <xf numFmtId="166" fontId="7" fillId="0" borderId="0" xfId="0" applyNumberFormat="1" applyFont="1" applyAlignment="1">
      <alignment horizontal="right"/>
    </xf>
    <xf numFmtId="166" fontId="7" fillId="0" borderId="21" xfId="0" applyNumberFormat="1" applyFont="1" applyBorder="1" applyAlignment="1">
      <alignment horizontal="right"/>
    </xf>
    <xf numFmtId="166" fontId="0" fillId="0" borderId="24" xfId="0" applyNumberFormat="1" applyBorder="1"/>
    <xf numFmtId="166" fontId="0" fillId="0" borderId="25" xfId="0" applyNumberFormat="1" applyBorder="1"/>
    <xf numFmtId="0" fontId="2" fillId="0" borderId="0" xfId="1" applyFill="1" applyBorder="1" applyAlignment="1">
      <alignment horizontal="left" vertical="center" wrapText="1"/>
    </xf>
    <xf numFmtId="172" fontId="1" fillId="0" borderId="0" xfId="0" applyNumberFormat="1" applyFont="1"/>
    <xf numFmtId="166" fontId="1" fillId="0" borderId="0" xfId="0" applyNumberFormat="1" applyFont="1" applyBorder="1"/>
    <xf numFmtId="9" fontId="1" fillId="0" borderId="0" xfId="0" applyNumberFormat="1" applyFont="1" applyBorder="1"/>
    <xf numFmtId="4" fontId="1" fillId="0" borderId="0" xfId="0" applyNumberFormat="1" applyFont="1" applyBorder="1"/>
    <xf numFmtId="166" fontId="1" fillId="3" borderId="1" xfId="0" applyNumberFormat="1" applyFont="1" applyFill="1" applyBorder="1"/>
    <xf numFmtId="166" fontId="1" fillId="0" borderId="0" xfId="2" applyNumberFormat="1" applyFont="1"/>
    <xf numFmtId="12" fontId="1" fillId="0" borderId="0" xfId="0" applyNumberFormat="1" applyFont="1"/>
    <xf numFmtId="166" fontId="0" fillId="0" borderId="20" xfId="0" applyNumberFormat="1" applyBorder="1"/>
    <xf numFmtId="6" fontId="0" fillId="2" borderId="0" xfId="0" applyNumberFormat="1" applyFill="1"/>
    <xf numFmtId="166" fontId="0" fillId="0" borderId="1" xfId="0" applyNumberFormat="1" applyBorder="1"/>
    <xf numFmtId="8" fontId="1" fillId="0" borderId="0" xfId="0" applyNumberFormat="1" applyFont="1"/>
    <xf numFmtId="0" fontId="20" fillId="6" borderId="17" xfId="0" applyFont="1" applyFill="1" applyBorder="1" applyAlignment="1">
      <alignment vertical="center"/>
    </xf>
    <xf numFmtId="0" fontId="21" fillId="6" borderId="18" xfId="0" applyFont="1" applyFill="1" applyBorder="1" applyAlignment="1">
      <alignment vertical="center"/>
    </xf>
    <xf numFmtId="0" fontId="21" fillId="6" borderId="19" xfId="0" applyFont="1" applyFill="1" applyBorder="1" applyAlignment="1">
      <alignment vertical="center"/>
    </xf>
    <xf numFmtId="0" fontId="21" fillId="6" borderId="20" xfId="0" applyFont="1" applyFill="1" applyBorder="1" applyAlignment="1">
      <alignment vertical="center"/>
    </xf>
    <xf numFmtId="0" fontId="21" fillId="6" borderId="0" xfId="0" applyFont="1" applyFill="1" applyAlignment="1">
      <alignment vertical="center"/>
    </xf>
    <xf numFmtId="43" fontId="0" fillId="2" borderId="0" xfId="2" applyFont="1" applyFill="1" applyBorder="1" applyAlignment="1"/>
    <xf numFmtId="0" fontId="21" fillId="6" borderId="21" xfId="0" applyFont="1" applyFill="1" applyBorder="1" applyAlignment="1">
      <alignment vertical="center"/>
    </xf>
    <xf numFmtId="10" fontId="21" fillId="2" borderId="0" xfId="0" applyNumberFormat="1" applyFont="1" applyFill="1" applyAlignment="1">
      <alignment vertical="center"/>
    </xf>
    <xf numFmtId="10" fontId="21" fillId="2" borderId="0" xfId="4" applyNumberFormat="1" applyFont="1" applyFill="1" applyBorder="1" applyAlignment="1">
      <alignment vertical="center"/>
    </xf>
    <xf numFmtId="10" fontId="21" fillId="6" borderId="3" xfId="0" applyNumberFormat="1" applyFont="1" applyFill="1" applyBorder="1" applyAlignment="1">
      <alignment vertical="center"/>
    </xf>
    <xf numFmtId="43" fontId="21" fillId="2" borderId="0" xfId="2" applyFont="1" applyFill="1" applyBorder="1" applyAlignment="1">
      <alignment vertical="center"/>
    </xf>
    <xf numFmtId="43" fontId="21" fillId="6" borderId="0" xfId="0" applyNumberFormat="1" applyFont="1" applyFill="1" applyAlignment="1">
      <alignment vertical="center"/>
    </xf>
    <xf numFmtId="0" fontId="21" fillId="6" borderId="3" xfId="0" applyFont="1" applyFill="1" applyBorder="1" applyAlignment="1">
      <alignment vertical="center"/>
    </xf>
    <xf numFmtId="43" fontId="21" fillId="6" borderId="3" xfId="0" applyNumberFormat="1" applyFont="1" applyFill="1" applyBorder="1" applyAlignment="1">
      <alignment vertical="center"/>
    </xf>
    <xf numFmtId="0" fontId="20" fillId="6" borderId="20" xfId="0" applyFont="1" applyFill="1" applyBorder="1" applyAlignment="1">
      <alignment vertical="center"/>
    </xf>
    <xf numFmtId="43" fontId="21" fillId="6" borderId="0" xfId="2" applyFont="1" applyFill="1" applyBorder="1" applyAlignment="1">
      <alignment vertical="center"/>
    </xf>
    <xf numFmtId="43" fontId="21" fillId="6" borderId="1" xfId="2" applyFont="1" applyFill="1" applyBorder="1" applyAlignment="1">
      <alignment vertical="center"/>
    </xf>
    <xf numFmtId="0" fontId="21" fillId="6" borderId="23" xfId="0" applyFont="1" applyFill="1" applyBorder="1" applyAlignment="1">
      <alignment vertical="center"/>
    </xf>
    <xf numFmtId="0" fontId="21" fillId="6" borderId="24" xfId="0" applyFont="1" applyFill="1" applyBorder="1" applyAlignment="1">
      <alignment vertical="center"/>
    </xf>
    <xf numFmtId="0" fontId="21" fillId="6" borderId="25" xfId="0" applyFont="1" applyFill="1" applyBorder="1" applyAlignment="1">
      <alignment vertical="center"/>
    </xf>
    <xf numFmtId="0" fontId="1" fillId="0" borderId="32" xfId="0" applyFont="1" applyBorder="1"/>
    <xf numFmtId="0" fontId="1" fillId="0" borderId="33" xfId="0" applyFont="1" applyBorder="1"/>
    <xf numFmtId="0" fontId="1" fillId="0" borderId="34" xfId="0" applyFont="1" applyBorder="1"/>
    <xf numFmtId="14" fontId="11" fillId="0" borderId="0" xfId="0" applyNumberFormat="1" applyFont="1"/>
    <xf numFmtId="2" fontId="0" fillId="2" borderId="0" xfId="0" applyNumberFormat="1" applyFill="1"/>
    <xf numFmtId="0" fontId="14" fillId="0" borderId="0" xfId="0" applyFont="1"/>
    <xf numFmtId="43" fontId="0" fillId="2" borderId="0" xfId="0" applyNumberFormat="1" applyFill="1"/>
    <xf numFmtId="0" fontId="7" fillId="0" borderId="0" xfId="0" applyFont="1" applyAlignment="1">
      <alignment horizontal="center"/>
    </xf>
    <xf numFmtId="0" fontId="7" fillId="0" borderId="21" xfId="0" applyFont="1" applyBorder="1" applyAlignment="1">
      <alignment horizontal="center"/>
    </xf>
    <xf numFmtId="4" fontId="0" fillId="2" borderId="19" xfId="2" applyNumberFormat="1" applyFont="1" applyFill="1" applyBorder="1"/>
    <xf numFmtId="4" fontId="0" fillId="2" borderId="21" xfId="2" applyNumberFormat="1" applyFont="1" applyFill="1" applyBorder="1"/>
    <xf numFmtId="4" fontId="0" fillId="0" borderId="21" xfId="2" applyNumberFormat="1" applyFont="1" applyBorder="1"/>
    <xf numFmtId="4" fontId="0" fillId="0" borderId="35" xfId="0" applyNumberFormat="1" applyBorder="1"/>
    <xf numFmtId="4" fontId="0" fillId="0" borderId="21" xfId="0" applyNumberFormat="1" applyBorder="1" applyAlignment="1">
      <alignment horizontal="right"/>
    </xf>
    <xf numFmtId="4" fontId="0" fillId="0" borderId="35" xfId="2" applyNumberFormat="1" applyFont="1" applyBorder="1"/>
    <xf numFmtId="4" fontId="0" fillId="0" borderId="25" xfId="2" applyNumberFormat="1" applyFont="1" applyBorder="1"/>
    <xf numFmtId="166" fontId="1" fillId="3" borderId="0" xfId="0" applyNumberFormat="1" applyFont="1" applyFill="1"/>
    <xf numFmtId="166" fontId="1" fillId="0" borderId="0" xfId="0" applyNumberFormat="1" applyFont="1" applyFill="1"/>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11" fillId="0" borderId="0" xfId="0" applyFont="1" applyAlignment="1">
      <alignment horizontal="left" wrapText="1"/>
    </xf>
    <xf numFmtId="0" fontId="7" fillId="0" borderId="20" xfId="0" applyFont="1" applyBorder="1" applyAlignment="1">
      <alignment horizontal="center" vertical="center"/>
    </xf>
    <xf numFmtId="0" fontId="7" fillId="0" borderId="23" xfId="0" applyFont="1" applyBorder="1" applyAlignment="1">
      <alignment horizontal="center" vertical="center"/>
    </xf>
    <xf numFmtId="0" fontId="0" fillId="2" borderId="21" xfId="0" applyFill="1" applyBorder="1"/>
    <xf numFmtId="166" fontId="11" fillId="0" borderId="0" xfId="0" applyNumberFormat="1" applyFont="1"/>
    <xf numFmtId="0" fontId="21" fillId="5" borderId="0" xfId="5" applyFont="1" applyFill="1" applyAlignment="1">
      <alignment vertical="center" wrapText="1"/>
    </xf>
    <xf numFmtId="0" fontId="23" fillId="6" borderId="36" xfId="5" applyFont="1" applyFill="1" applyBorder="1" applyAlignment="1">
      <alignment vertical="center" wrapText="1"/>
    </xf>
    <xf numFmtId="0" fontId="23" fillId="7" borderId="37" xfId="5" applyFont="1" applyFill="1" applyBorder="1" applyAlignment="1">
      <alignment horizontal="center" vertical="center" wrapText="1"/>
    </xf>
    <xf numFmtId="0" fontId="21" fillId="0" borderId="36" xfId="5" applyFont="1" applyBorder="1" applyAlignment="1">
      <alignment horizontal="right" vertical="center" wrapText="1"/>
    </xf>
    <xf numFmtId="0" fontId="20" fillId="6" borderId="36" xfId="5" applyFont="1" applyFill="1" applyBorder="1" applyAlignment="1">
      <alignment vertical="center" wrapText="1"/>
    </xf>
    <xf numFmtId="0" fontId="24" fillId="0" borderId="38" xfId="5" applyFont="1" applyBorder="1" applyAlignment="1">
      <alignment horizontal="center" vertical="center" wrapText="1"/>
    </xf>
    <xf numFmtId="0" fontId="20" fillId="6" borderId="39" xfId="5" applyFont="1" applyFill="1" applyBorder="1" applyAlignment="1">
      <alignment vertical="center" wrapText="1"/>
    </xf>
    <xf numFmtId="0" fontId="24" fillId="0" borderId="40" xfId="5" applyFont="1" applyBorder="1" applyAlignment="1">
      <alignment horizontal="center" vertical="center" wrapText="1"/>
    </xf>
    <xf numFmtId="0" fontId="21" fillId="6" borderId="36" xfId="5" applyFont="1" applyFill="1" applyBorder="1" applyAlignment="1">
      <alignment vertical="center" wrapText="1"/>
    </xf>
    <xf numFmtId="0" fontId="23" fillId="7" borderId="36" xfId="5" applyFont="1" applyFill="1" applyBorder="1" applyAlignment="1">
      <alignment vertical="center" wrapText="1"/>
    </xf>
    <xf numFmtId="0" fontId="20" fillId="0" borderId="36" xfId="5" applyFont="1" applyBorder="1" applyAlignment="1">
      <alignment horizontal="right" vertical="center" wrapText="1"/>
    </xf>
    <xf numFmtId="0" fontId="25" fillId="7" borderId="36" xfId="5" applyFont="1" applyFill="1" applyBorder="1" applyAlignment="1">
      <alignment vertical="center" wrapText="1"/>
    </xf>
    <xf numFmtId="41" fontId="21" fillId="6" borderId="36" xfId="5" applyNumberFormat="1" applyFont="1" applyFill="1" applyBorder="1" applyAlignment="1">
      <alignment horizontal="right" vertical="center" wrapText="1"/>
    </xf>
    <xf numFmtId="166" fontId="21" fillId="8" borderId="36" xfId="5" applyNumberFormat="1" applyFont="1" applyFill="1" applyBorder="1" applyAlignment="1">
      <alignment horizontal="right" vertical="center" wrapText="1"/>
    </xf>
    <xf numFmtId="166" fontId="21" fillId="6" borderId="36" xfId="5" applyNumberFormat="1" applyFont="1" applyFill="1" applyBorder="1" applyAlignment="1">
      <alignment horizontal="right" vertical="center" wrapText="1"/>
    </xf>
    <xf numFmtId="0" fontId="20" fillId="6" borderId="0" xfId="5" applyFont="1" applyFill="1" applyAlignment="1">
      <alignment vertical="center"/>
    </xf>
    <xf numFmtId="0" fontId="21" fillId="6" borderId="0" xfId="5" applyFont="1" applyFill="1" applyAlignment="1">
      <alignment vertical="center"/>
    </xf>
    <xf numFmtId="0" fontId="21" fillId="0" borderId="0" xfId="5" applyFont="1" applyAlignment="1">
      <alignment vertical="center"/>
    </xf>
    <xf numFmtId="0" fontId="21" fillId="6" borderId="0" xfId="5" applyFont="1" applyFill="1" applyAlignment="1">
      <alignment vertical="center" wrapText="1"/>
    </xf>
    <xf numFmtId="166" fontId="21" fillId="8" borderId="41" xfId="5" applyNumberFormat="1" applyFont="1" applyFill="1" applyBorder="1" applyAlignment="1">
      <alignment horizontal="right" vertical="center" wrapText="1"/>
    </xf>
    <xf numFmtId="166" fontId="21" fillId="2" borderId="0" xfId="5" applyNumberFormat="1" applyFont="1" applyFill="1" applyAlignment="1">
      <alignment vertical="center"/>
    </xf>
    <xf numFmtId="0" fontId="21" fillId="5" borderId="0" xfId="5" applyFont="1" applyFill="1" applyAlignment="1">
      <alignment vertical="center"/>
    </xf>
    <xf numFmtId="166" fontId="21" fillId="9" borderId="40" xfId="5" applyNumberFormat="1" applyFont="1" applyFill="1" applyBorder="1" applyAlignment="1">
      <alignment horizontal="right" vertical="center" wrapText="1"/>
    </xf>
    <xf numFmtId="166" fontId="21" fillId="0" borderId="0" xfId="5" applyNumberFormat="1" applyFont="1" applyAlignment="1">
      <alignment vertical="center"/>
    </xf>
    <xf numFmtId="0" fontId="26" fillId="6" borderId="36" xfId="5" applyFont="1" applyFill="1" applyBorder="1" applyAlignment="1">
      <alignment vertical="center" wrapText="1"/>
    </xf>
    <xf numFmtId="166" fontId="21" fillId="6" borderId="40" xfId="5" applyNumberFormat="1" applyFont="1" applyFill="1" applyBorder="1" applyAlignment="1">
      <alignment horizontal="right" vertical="center" wrapText="1"/>
    </xf>
    <xf numFmtId="166" fontId="21" fillId="9" borderId="36" xfId="5" applyNumberFormat="1" applyFont="1" applyFill="1" applyBorder="1" applyAlignment="1">
      <alignment horizontal="right" vertical="center" wrapText="1"/>
    </xf>
    <xf numFmtId="0" fontId="11" fillId="5" borderId="0" xfId="0" applyFont="1" applyFill="1"/>
    <xf numFmtId="0" fontId="0" fillId="0" borderId="0" xfId="0" applyAlignment="1">
      <alignment horizontal="left"/>
    </xf>
    <xf numFmtId="166" fontId="0" fillId="0" borderId="3" xfId="2" applyNumberFormat="1" applyFont="1" applyBorder="1"/>
    <xf numFmtId="166" fontId="21" fillId="9" borderId="41" xfId="5" applyNumberFormat="1" applyFont="1" applyFill="1" applyBorder="1" applyAlignment="1">
      <alignment horizontal="right" vertical="center" wrapText="1"/>
    </xf>
    <xf numFmtId="0" fontId="20" fillId="6" borderId="37" xfId="5" applyFont="1" applyFill="1" applyBorder="1" applyAlignment="1">
      <alignment vertical="center" wrapText="1"/>
    </xf>
    <xf numFmtId="166" fontId="21" fillId="8" borderId="42" xfId="5" applyNumberFormat="1" applyFont="1" applyFill="1" applyBorder="1" applyAlignment="1">
      <alignment horizontal="right" vertical="center" wrapText="1"/>
    </xf>
    <xf numFmtId="0" fontId="25" fillId="5" borderId="0" xfId="5" applyFont="1" applyFill="1" applyAlignment="1">
      <alignment vertical="center" wrapText="1"/>
    </xf>
    <xf numFmtId="41" fontId="28" fillId="5" borderId="0" xfId="5" applyNumberFormat="1" applyFont="1" applyFill="1" applyAlignment="1">
      <alignment horizontal="right" vertical="center" wrapText="1"/>
    </xf>
    <xf numFmtId="41" fontId="21" fillId="5" borderId="0" xfId="5" applyNumberFormat="1" applyFont="1" applyFill="1" applyAlignment="1">
      <alignment horizontal="right" vertical="center" wrapText="1"/>
    </xf>
    <xf numFmtId="166" fontId="21" fillId="0" borderId="0" xfId="5" applyNumberFormat="1" applyFont="1" applyAlignment="1">
      <alignment vertical="center" wrapText="1"/>
    </xf>
    <xf numFmtId="166" fontId="21" fillId="2" borderId="0" xfId="5" applyNumberFormat="1" applyFont="1" applyFill="1" applyAlignment="1">
      <alignment vertical="center" wrapText="1"/>
    </xf>
    <xf numFmtId="166" fontId="0" fillId="0" borderId="3" xfId="0" applyNumberFormat="1" applyBorder="1"/>
    <xf numFmtId="166" fontId="21" fillId="2" borderId="0" xfId="2" applyNumberFormat="1" applyFont="1" applyFill="1" applyAlignment="1">
      <alignment vertical="center" wrapText="1"/>
    </xf>
    <xf numFmtId="166" fontId="21" fillId="0" borderId="15" xfId="5" applyNumberFormat="1" applyFont="1" applyBorder="1" applyAlignment="1">
      <alignment vertical="center" wrapText="1"/>
    </xf>
    <xf numFmtId="166" fontId="21" fillId="0" borderId="1" xfId="5" applyNumberFormat="1" applyFont="1" applyBorder="1" applyAlignment="1">
      <alignment vertical="center" wrapText="1"/>
    </xf>
    <xf numFmtId="41" fontId="28" fillId="6" borderId="36" xfId="5" applyNumberFormat="1" applyFont="1" applyFill="1" applyBorder="1" applyAlignment="1">
      <alignment horizontal="right" vertical="center" wrapText="1"/>
    </xf>
    <xf numFmtId="0" fontId="22" fillId="0" borderId="36" xfId="5" applyBorder="1" applyAlignment="1">
      <alignment horizontal="right" vertical="center" wrapText="1"/>
    </xf>
    <xf numFmtId="0" fontId="23" fillId="6" borderId="36" xfId="5" applyFont="1" applyFill="1" applyBorder="1" applyAlignment="1">
      <alignment vertical="center"/>
    </xf>
    <xf numFmtId="0" fontId="21" fillId="0" borderId="36" xfId="5" applyFont="1" applyBorder="1" applyAlignment="1">
      <alignment horizontal="right" vertical="center"/>
    </xf>
    <xf numFmtId="0" fontId="20" fillId="6" borderId="36" xfId="5" applyFont="1" applyFill="1" applyBorder="1" applyAlignment="1">
      <alignment vertical="center"/>
    </xf>
    <xf numFmtId="0" fontId="20" fillId="6" borderId="39" xfId="5" applyFont="1" applyFill="1" applyBorder="1" applyAlignment="1">
      <alignment vertical="center"/>
    </xf>
    <xf numFmtId="0" fontId="21" fillId="6" borderId="36" xfId="5" applyFont="1" applyFill="1" applyBorder="1" applyAlignment="1">
      <alignment vertical="center"/>
    </xf>
    <xf numFmtId="0" fontId="20" fillId="0" borderId="36" xfId="5" applyFont="1" applyBorder="1" applyAlignment="1">
      <alignment horizontal="right" vertical="center"/>
    </xf>
    <xf numFmtId="0" fontId="7" fillId="5" borderId="0" xfId="0" applyFont="1" applyFill="1" applyAlignment="1"/>
    <xf numFmtId="41" fontId="21" fillId="6" borderId="36" xfId="5" applyNumberFormat="1" applyFont="1" applyFill="1" applyBorder="1" applyAlignment="1">
      <alignment horizontal="right" vertical="center"/>
    </xf>
    <xf numFmtId="0" fontId="0" fillId="5" borderId="0" xfId="0" applyFill="1" applyAlignment="1"/>
    <xf numFmtId="166" fontId="21" fillId="8" borderId="36" xfId="5" applyNumberFormat="1" applyFont="1" applyFill="1" applyBorder="1" applyAlignment="1">
      <alignment horizontal="right" vertical="center"/>
    </xf>
    <xf numFmtId="166" fontId="21" fillId="6" borderId="36" xfId="5" applyNumberFormat="1" applyFont="1" applyFill="1" applyBorder="1" applyAlignment="1">
      <alignment horizontal="right" vertical="center"/>
    </xf>
    <xf numFmtId="166" fontId="21" fillId="8" borderId="41" xfId="5" applyNumberFormat="1" applyFont="1" applyFill="1" applyBorder="1" applyAlignment="1">
      <alignment horizontal="right" vertical="center"/>
    </xf>
    <xf numFmtId="166" fontId="0" fillId="2" borderId="0" xfId="0" applyNumberFormat="1" applyFill="1" applyAlignment="1"/>
    <xf numFmtId="0" fontId="21" fillId="2" borderId="0" xfId="5" applyFont="1" applyFill="1" applyAlignment="1">
      <alignment vertical="center"/>
    </xf>
    <xf numFmtId="166" fontId="21" fillId="9" borderId="40" xfId="5" applyNumberFormat="1" applyFont="1" applyFill="1" applyBorder="1" applyAlignment="1">
      <alignment horizontal="right" vertical="center"/>
    </xf>
    <xf numFmtId="166" fontId="0" fillId="0" borderId="1" xfId="0" applyNumberFormat="1" applyBorder="1" applyAlignment="1"/>
    <xf numFmtId="0" fontId="26" fillId="6" borderId="36" xfId="5" applyFont="1" applyFill="1" applyBorder="1" applyAlignment="1">
      <alignment vertical="center"/>
    </xf>
    <xf numFmtId="166" fontId="21" fillId="6" borderId="40" xfId="5" applyNumberFormat="1" applyFont="1" applyFill="1" applyBorder="1" applyAlignment="1">
      <alignment horizontal="right" vertical="center"/>
    </xf>
    <xf numFmtId="166" fontId="21" fillId="9" borderId="36" xfId="5" applyNumberFormat="1" applyFont="1" applyFill="1" applyBorder="1" applyAlignment="1">
      <alignment horizontal="right" vertical="center"/>
    </xf>
    <xf numFmtId="166" fontId="0" fillId="2" borderId="0" xfId="2" applyNumberFormat="1" applyFont="1" applyFill="1" applyAlignment="1"/>
    <xf numFmtId="0" fontId="11" fillId="5" borderId="0" xfId="0" applyFont="1" applyFill="1" applyAlignment="1"/>
    <xf numFmtId="166" fontId="0" fillId="0" borderId="0" xfId="2" applyNumberFormat="1" applyFont="1" applyAlignment="1"/>
    <xf numFmtId="166" fontId="0" fillId="0" borderId="0" xfId="0" applyNumberFormat="1" applyAlignment="1"/>
    <xf numFmtId="166" fontId="7" fillId="0" borderId="0" xfId="0" applyNumberFormat="1" applyFont="1" applyAlignment="1"/>
    <xf numFmtId="166" fontId="21" fillId="2" borderId="36" xfId="5" applyNumberFormat="1" applyFont="1" applyFill="1" applyBorder="1" applyAlignment="1">
      <alignment horizontal="right" vertical="center"/>
    </xf>
    <xf numFmtId="166" fontId="0" fillId="0" borderId="3" xfId="2" applyNumberFormat="1" applyFont="1" applyBorder="1" applyAlignment="1"/>
    <xf numFmtId="166" fontId="21" fillId="9" borderId="41" xfId="5" applyNumberFormat="1" applyFont="1" applyFill="1" applyBorder="1" applyAlignment="1">
      <alignment horizontal="right" vertical="center"/>
    </xf>
    <xf numFmtId="166" fontId="0" fillId="0" borderId="1" xfId="2" applyNumberFormat="1" applyFont="1" applyBorder="1" applyAlignment="1"/>
    <xf numFmtId="0" fontId="20" fillId="6" borderId="37" xfId="5" applyFont="1" applyFill="1" applyBorder="1" applyAlignment="1">
      <alignment vertical="center"/>
    </xf>
    <xf numFmtId="166" fontId="21" fillId="8" borderId="42" xfId="5" applyNumberFormat="1" applyFont="1" applyFill="1" applyBorder="1" applyAlignment="1">
      <alignment horizontal="right" vertical="center"/>
    </xf>
    <xf numFmtId="0" fontId="25" fillId="5" borderId="0" xfId="5" applyFont="1" applyFill="1" applyAlignment="1">
      <alignment vertical="center"/>
    </xf>
    <xf numFmtId="41" fontId="28" fillId="5" borderId="0" xfId="5" applyNumberFormat="1" applyFont="1" applyFill="1" applyAlignment="1">
      <alignment horizontal="right" vertical="center"/>
    </xf>
    <xf numFmtId="166" fontId="0" fillId="0" borderId="3" xfId="0" applyNumberFormat="1" applyBorder="1" applyAlignment="1"/>
    <xf numFmtId="166" fontId="0" fillId="2" borderId="0" xfId="2" applyNumberFormat="1" applyFont="1" applyFill="1" applyBorder="1" applyAlignment="1"/>
    <xf numFmtId="166" fontId="21" fillId="2" borderId="0" xfId="2" applyNumberFormat="1" applyFont="1" applyFill="1" applyAlignment="1">
      <alignment vertical="center"/>
    </xf>
    <xf numFmtId="166" fontId="21" fillId="0" borderId="15" xfId="5" applyNumberFormat="1" applyFont="1" applyBorder="1" applyAlignment="1">
      <alignment vertical="center"/>
    </xf>
    <xf numFmtId="166" fontId="21" fillId="0" borderId="1" xfId="5" applyNumberFormat="1" applyFont="1" applyBorder="1" applyAlignment="1">
      <alignment vertical="center"/>
    </xf>
    <xf numFmtId="0" fontId="20" fillId="0" borderId="0" xfId="5" applyFont="1" applyAlignment="1">
      <alignment vertical="center"/>
    </xf>
    <xf numFmtId="166" fontId="21" fillId="0" borderId="3" xfId="5" applyNumberFormat="1" applyFont="1" applyBorder="1" applyAlignment="1">
      <alignment vertical="center"/>
    </xf>
    <xf numFmtId="41" fontId="28" fillId="6" borderId="36" xfId="5" applyNumberFormat="1" applyFont="1" applyFill="1" applyBorder="1" applyAlignment="1">
      <alignment vertical="center"/>
    </xf>
    <xf numFmtId="0" fontId="22" fillId="0" borderId="36" xfId="5" applyBorder="1" applyAlignment="1">
      <alignment vertical="center"/>
    </xf>
    <xf numFmtId="166" fontId="1" fillId="0" borderId="4" xfId="0" applyNumberFormat="1" applyFont="1" applyBorder="1"/>
    <xf numFmtId="175" fontId="1" fillId="0" borderId="0" xfId="0" applyNumberFormat="1" applyFont="1"/>
    <xf numFmtId="0" fontId="1" fillId="0" borderId="0" xfId="0" applyFont="1" applyAlignment="1"/>
    <xf numFmtId="0" fontId="0" fillId="6" borderId="0" xfId="0" applyFill="1"/>
    <xf numFmtId="0" fontId="7" fillId="6" borderId="0" xfId="0" applyFont="1" applyFill="1" applyAlignment="1">
      <alignment horizontal="center"/>
    </xf>
    <xf numFmtId="0" fontId="7" fillId="6" borderId="0" xfId="0" applyFont="1" applyFill="1"/>
    <xf numFmtId="0" fontId="0" fillId="6" borderId="0" xfId="0" applyFill="1" applyAlignment="1">
      <alignment horizontal="center"/>
    </xf>
    <xf numFmtId="166" fontId="0" fillId="6" borderId="1" xfId="0" applyNumberFormat="1" applyFill="1" applyBorder="1"/>
    <xf numFmtId="166" fontId="21" fillId="6" borderId="37" xfId="5" applyNumberFormat="1" applyFont="1" applyFill="1" applyBorder="1" applyAlignment="1">
      <alignment horizontal="right" vertical="center" wrapText="1"/>
    </xf>
    <xf numFmtId="0" fontId="21" fillId="6" borderId="36" xfId="5" applyFont="1" applyFill="1" applyBorder="1" applyAlignment="1">
      <alignment horizontal="left" vertical="center" wrapText="1"/>
    </xf>
    <xf numFmtId="166" fontId="21" fillId="2" borderId="37" xfId="5" applyNumberFormat="1" applyFont="1" applyFill="1" applyBorder="1" applyAlignment="1">
      <alignment horizontal="right" vertical="center" wrapText="1"/>
    </xf>
    <xf numFmtId="3" fontId="0" fillId="6" borderId="0" xfId="0" applyNumberFormat="1" applyFill="1"/>
    <xf numFmtId="3" fontId="7" fillId="6" borderId="0" xfId="0" applyNumberFormat="1" applyFont="1" applyFill="1"/>
    <xf numFmtId="166" fontId="7" fillId="6" borderId="0" xfId="0" applyNumberFormat="1" applyFont="1" applyFill="1"/>
    <xf numFmtId="166" fontId="21" fillId="2" borderId="41" xfId="5" applyNumberFormat="1" applyFont="1" applyFill="1" applyBorder="1" applyAlignment="1">
      <alignment horizontal="right" vertical="center" wrapText="1"/>
    </xf>
    <xf numFmtId="166" fontId="21" fillId="9" borderId="38" xfId="5" applyNumberFormat="1" applyFont="1" applyFill="1" applyBorder="1" applyAlignment="1">
      <alignment horizontal="right" vertical="center" wrapText="1"/>
    </xf>
    <xf numFmtId="166" fontId="21" fillId="8" borderId="37" xfId="5" applyNumberFormat="1" applyFont="1" applyFill="1" applyBorder="1" applyAlignment="1">
      <alignment horizontal="right" vertical="center" wrapText="1"/>
    </xf>
    <xf numFmtId="166" fontId="0" fillId="6" borderId="0" xfId="0" applyNumberFormat="1" applyFill="1"/>
    <xf numFmtId="166" fontId="0" fillId="6" borderId="1" xfId="2" applyNumberFormat="1" applyFont="1" applyFill="1" applyBorder="1"/>
    <xf numFmtId="166" fontId="0" fillId="6" borderId="0" xfId="2" applyNumberFormat="1" applyFont="1" applyFill="1"/>
    <xf numFmtId="166" fontId="21" fillId="6" borderId="0" xfId="5" applyNumberFormat="1" applyFont="1" applyFill="1" applyAlignment="1">
      <alignment vertical="center" wrapText="1"/>
    </xf>
    <xf numFmtId="43" fontId="21" fillId="2" borderId="0" xfId="2" applyFont="1" applyFill="1" applyAlignment="1">
      <alignment vertical="center" wrapText="1"/>
    </xf>
    <xf numFmtId="0" fontId="29" fillId="5" borderId="0" xfId="5" applyFont="1" applyFill="1" applyAlignment="1">
      <alignment vertical="center" wrapText="1"/>
    </xf>
    <xf numFmtId="43" fontId="0" fillId="0" borderId="3" xfId="2" applyFont="1" applyBorder="1"/>
    <xf numFmtId="0" fontId="29" fillId="5" borderId="0" xfId="5" applyFont="1" applyFill="1" applyAlignment="1">
      <alignment vertical="center"/>
    </xf>
    <xf numFmtId="166" fontId="21" fillId="0" borderId="3" xfId="2" applyNumberFormat="1" applyFont="1" applyFill="1" applyBorder="1" applyAlignment="1">
      <alignment vertical="center" wrapText="1"/>
    </xf>
    <xf numFmtId="166" fontId="21" fillId="0" borderId="1" xfId="2" applyNumberFormat="1" applyFont="1" applyFill="1" applyBorder="1" applyAlignment="1">
      <alignment vertical="center" wrapText="1"/>
    </xf>
  </cellXfs>
  <cellStyles count="6">
    <cellStyle name="Comma" xfId="2" builtinId="3"/>
    <cellStyle name="Currency" xfId="3" builtinId="4"/>
    <cellStyle name="Hyperlink" xfId="1" builtinId="8"/>
    <cellStyle name="Normal" xfId="0" builtinId="0"/>
    <cellStyle name="Normal 2" xfId="5" xr:uid="{95C93456-D05C-446A-A22C-2777B9188155}"/>
    <cellStyle name="Percent" xfId="4" builtinId="5"/>
  </cellStyles>
  <dxfs count="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color rgb="FFC00000"/>
      </font>
      <fill>
        <patternFill patternType="solid">
          <bgColor rgb="FFFFD1D1"/>
        </patternFill>
      </fill>
    </dxf>
    <dxf>
      <font>
        <color rgb="FFD79A49"/>
      </font>
      <fill>
        <patternFill>
          <bgColor theme="7" tint="0.79998168889431442"/>
        </patternFill>
      </fill>
    </dxf>
    <dxf>
      <font>
        <color rgb="FF00CC00"/>
      </font>
      <fill>
        <patternFill>
          <bgColor theme="9" tint="0.7999816888943144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strike val="0"/>
        <color rgb="FFC00000"/>
      </font>
      <fill>
        <patternFill patternType="solid">
          <bgColor rgb="FFFFD1D1"/>
        </patternFill>
      </fill>
    </dxf>
    <dxf>
      <font>
        <color rgb="FFD79A49"/>
      </font>
      <fill>
        <patternFill>
          <bgColor theme="7" tint="0.79998168889431442"/>
        </patternFill>
      </fill>
    </dxf>
    <dxf>
      <font>
        <color rgb="FF00CC00"/>
      </font>
      <fill>
        <patternFill>
          <bgColor theme="9" tint="0.7999816888943144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strike val="0"/>
        <color rgb="FFC00000"/>
      </font>
      <fill>
        <patternFill patternType="solid">
          <bgColor rgb="FFFFD1D1"/>
        </patternFill>
      </fill>
    </dxf>
    <dxf>
      <font>
        <color rgb="FFD79A49"/>
      </font>
      <fill>
        <patternFill>
          <bgColor theme="7" tint="0.79998168889431442"/>
        </patternFill>
      </fill>
    </dxf>
    <dxf>
      <font>
        <color rgb="FF00CC00"/>
      </font>
      <fill>
        <patternFill>
          <bgColor theme="9" tint="0.7999816888943144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strike val="0"/>
        <color rgb="FFC00000"/>
      </font>
      <fill>
        <patternFill patternType="solid">
          <bgColor rgb="FFFFD1D1"/>
        </patternFill>
      </fill>
    </dxf>
    <dxf>
      <font>
        <color rgb="FFD79A49"/>
      </font>
      <fill>
        <patternFill>
          <bgColor theme="7" tint="0.79998168889431442"/>
        </patternFill>
      </fill>
    </dxf>
    <dxf>
      <font>
        <color rgb="FF00CC00"/>
      </font>
      <fill>
        <patternFill>
          <bgColor theme="9" tint="0.7999816888943144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3</xdr:col>
      <xdr:colOff>55143</xdr:colOff>
      <xdr:row>25</xdr:row>
      <xdr:rowOff>0</xdr:rowOff>
    </xdr:from>
    <xdr:to>
      <xdr:col>3</xdr:col>
      <xdr:colOff>55143</xdr:colOff>
      <xdr:row>33</xdr:row>
      <xdr:rowOff>0</xdr:rowOff>
    </xdr:to>
    <xdr:cxnSp macro="">
      <xdr:nvCxnSpPr>
        <xdr:cNvPr id="3" name="Straight Connector 2">
          <a:extLst>
            <a:ext uri="{FF2B5EF4-FFF2-40B4-BE49-F238E27FC236}">
              <a16:creationId xmlns:a16="http://schemas.microsoft.com/office/drawing/2014/main" id="{35E36AB4-CB5D-53F5-A3DA-F07123E57C2F}"/>
            </a:ext>
          </a:extLst>
        </xdr:cNvPr>
        <xdr:cNvCxnSpPr/>
      </xdr:nvCxnSpPr>
      <xdr:spPr>
        <a:xfrm>
          <a:off x="1955130" y="3799974"/>
          <a:ext cx="0" cy="122321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571500</xdr:colOff>
      <xdr:row>4</xdr:row>
      <xdr:rowOff>66675</xdr:rowOff>
    </xdr:from>
    <xdr:to>
      <xdr:col>26</xdr:col>
      <xdr:colOff>220347</xdr:colOff>
      <xdr:row>65</xdr:row>
      <xdr:rowOff>1643</xdr:rowOff>
    </xdr:to>
    <xdr:pic>
      <xdr:nvPicPr>
        <xdr:cNvPr id="2" name="Picture 1">
          <a:extLst>
            <a:ext uri="{FF2B5EF4-FFF2-40B4-BE49-F238E27FC236}">
              <a16:creationId xmlns:a16="http://schemas.microsoft.com/office/drawing/2014/main" id="{09048F3A-1373-E681-0CFF-FC7AC2893808}"/>
            </a:ext>
          </a:extLst>
        </xdr:cNvPr>
        <xdr:cNvPicPr>
          <a:picLocks noChangeAspect="1"/>
        </xdr:cNvPicPr>
      </xdr:nvPicPr>
      <xdr:blipFill>
        <a:blip xmlns:r="http://schemas.openxmlformats.org/officeDocument/2006/relationships" r:embed="rId1"/>
        <a:stretch>
          <a:fillRect/>
        </a:stretch>
      </xdr:blipFill>
      <xdr:spPr>
        <a:xfrm>
          <a:off x="7381875" y="714375"/>
          <a:ext cx="9116697" cy="1177454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1363661</xdr:colOff>
      <xdr:row>152</xdr:row>
      <xdr:rowOff>6221</xdr:rowOff>
    </xdr:from>
    <xdr:to>
      <xdr:col>13</xdr:col>
      <xdr:colOff>152067</xdr:colOff>
      <xdr:row>158</xdr:row>
      <xdr:rowOff>906</xdr:rowOff>
    </xdr:to>
    <xdr:pic>
      <xdr:nvPicPr>
        <xdr:cNvPr id="2" name="Picture 1">
          <a:extLst>
            <a:ext uri="{FF2B5EF4-FFF2-40B4-BE49-F238E27FC236}">
              <a16:creationId xmlns:a16="http://schemas.microsoft.com/office/drawing/2014/main" id="{2124AEC2-AD0C-4BE8-AF28-C57FAA4AC751}"/>
            </a:ext>
          </a:extLst>
        </xdr:cNvPr>
        <xdr:cNvPicPr>
          <a:picLocks noChangeAspect="1"/>
        </xdr:cNvPicPr>
      </xdr:nvPicPr>
      <xdr:blipFill>
        <a:blip xmlns:r="http://schemas.openxmlformats.org/officeDocument/2006/relationships" r:embed="rId1"/>
        <a:stretch>
          <a:fillRect/>
        </a:stretch>
      </xdr:blipFill>
      <xdr:spPr>
        <a:xfrm>
          <a:off x="8221661" y="5406896"/>
          <a:ext cx="3264741" cy="1137685"/>
        </a:xfrm>
        <a:prstGeom prst="rect">
          <a:avLst/>
        </a:prstGeom>
      </xdr:spPr>
    </xdr:pic>
    <xdr:clientData/>
  </xdr:twoCellAnchor>
  <xdr:twoCellAnchor editAs="oneCell">
    <xdr:from>
      <xdr:col>7</xdr:col>
      <xdr:colOff>1289988</xdr:colOff>
      <xdr:row>158</xdr:row>
      <xdr:rowOff>112854</xdr:rowOff>
    </xdr:from>
    <xdr:to>
      <xdr:col>13</xdr:col>
      <xdr:colOff>234110</xdr:colOff>
      <xdr:row>170</xdr:row>
      <xdr:rowOff>41250</xdr:rowOff>
    </xdr:to>
    <xdr:pic>
      <xdr:nvPicPr>
        <xdr:cNvPr id="3" name="Picture 2">
          <a:extLst>
            <a:ext uri="{FF2B5EF4-FFF2-40B4-BE49-F238E27FC236}">
              <a16:creationId xmlns:a16="http://schemas.microsoft.com/office/drawing/2014/main" id="{F6B423DD-7F62-4C16-9C9F-B0B913BA0F00}"/>
            </a:ext>
          </a:extLst>
        </xdr:cNvPr>
        <xdr:cNvPicPr>
          <a:picLocks noChangeAspect="1"/>
        </xdr:cNvPicPr>
      </xdr:nvPicPr>
      <xdr:blipFill>
        <a:blip xmlns:r="http://schemas.openxmlformats.org/officeDocument/2006/relationships" r:embed="rId2"/>
        <a:stretch>
          <a:fillRect/>
        </a:stretch>
      </xdr:blipFill>
      <xdr:spPr>
        <a:xfrm>
          <a:off x="8147988" y="6675579"/>
          <a:ext cx="3344257" cy="2214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7</xdr:col>
      <xdr:colOff>0</xdr:colOff>
      <xdr:row>40</xdr:row>
      <xdr:rowOff>134469</xdr:rowOff>
    </xdr:to>
    <xdr:pic>
      <xdr:nvPicPr>
        <xdr:cNvPr id="2" name="Picture 1">
          <a:extLst>
            <a:ext uri="{FF2B5EF4-FFF2-40B4-BE49-F238E27FC236}">
              <a16:creationId xmlns:a16="http://schemas.microsoft.com/office/drawing/2014/main" id="{059A58D3-EFF7-C9DB-175B-161D0F5AD427}"/>
            </a:ext>
          </a:extLst>
        </xdr:cNvPr>
        <xdr:cNvPicPr>
          <a:picLocks noChangeAspect="1"/>
        </xdr:cNvPicPr>
      </xdr:nvPicPr>
      <xdr:blipFill>
        <a:blip xmlns:r="http://schemas.openxmlformats.org/officeDocument/2006/relationships" r:embed="rId1"/>
        <a:stretch>
          <a:fillRect/>
        </a:stretch>
      </xdr:blipFill>
      <xdr:spPr>
        <a:xfrm>
          <a:off x="607979" y="6245968"/>
          <a:ext cx="3647872" cy="5965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9</xdr:col>
      <xdr:colOff>165285</xdr:colOff>
      <xdr:row>11</xdr:row>
      <xdr:rowOff>104896</xdr:rowOff>
    </xdr:to>
    <xdr:pic>
      <xdr:nvPicPr>
        <xdr:cNvPr id="2" name="Picture 1">
          <a:extLst>
            <a:ext uri="{FF2B5EF4-FFF2-40B4-BE49-F238E27FC236}">
              <a16:creationId xmlns:a16="http://schemas.microsoft.com/office/drawing/2014/main" id="{87F6E058-8B08-2E1D-D5DB-F9F09E332D95}"/>
            </a:ext>
          </a:extLst>
        </xdr:cNvPr>
        <xdr:cNvPicPr>
          <a:picLocks noChangeAspect="1"/>
        </xdr:cNvPicPr>
      </xdr:nvPicPr>
      <xdr:blipFill>
        <a:blip xmlns:r="http://schemas.openxmlformats.org/officeDocument/2006/relationships" r:embed="rId1"/>
        <a:stretch>
          <a:fillRect/>
        </a:stretch>
      </xdr:blipFill>
      <xdr:spPr>
        <a:xfrm>
          <a:off x="612913" y="19132826"/>
          <a:ext cx="6310981" cy="850331"/>
        </a:xfrm>
        <a:prstGeom prst="rect">
          <a:avLst/>
        </a:prstGeom>
      </xdr:spPr>
    </xdr:pic>
    <xdr:clientData/>
  </xdr:twoCellAnchor>
  <xdr:twoCellAnchor editAs="oneCell">
    <xdr:from>
      <xdr:col>1</xdr:col>
      <xdr:colOff>0</xdr:colOff>
      <xdr:row>43</xdr:row>
      <xdr:rowOff>0</xdr:rowOff>
    </xdr:from>
    <xdr:to>
      <xdr:col>9</xdr:col>
      <xdr:colOff>265524</xdr:colOff>
      <xdr:row>50</xdr:row>
      <xdr:rowOff>70973</xdr:rowOff>
    </xdr:to>
    <xdr:pic>
      <xdr:nvPicPr>
        <xdr:cNvPr id="3" name="Picture 2">
          <a:extLst>
            <a:ext uri="{FF2B5EF4-FFF2-40B4-BE49-F238E27FC236}">
              <a16:creationId xmlns:a16="http://schemas.microsoft.com/office/drawing/2014/main" id="{634FA644-226E-B1D0-B60D-E65D8D676CBF}"/>
            </a:ext>
          </a:extLst>
        </xdr:cNvPr>
        <xdr:cNvPicPr>
          <a:picLocks noChangeAspect="1"/>
        </xdr:cNvPicPr>
      </xdr:nvPicPr>
      <xdr:blipFill>
        <a:blip xmlns:r="http://schemas.openxmlformats.org/officeDocument/2006/relationships" r:embed="rId2"/>
        <a:stretch>
          <a:fillRect/>
        </a:stretch>
      </xdr:blipFill>
      <xdr:spPr>
        <a:xfrm>
          <a:off x="612913" y="7346674"/>
          <a:ext cx="6411220" cy="1114581"/>
        </a:xfrm>
        <a:prstGeom prst="rect">
          <a:avLst/>
        </a:prstGeom>
      </xdr:spPr>
    </xdr:pic>
    <xdr:clientData/>
  </xdr:twoCellAnchor>
  <xdr:twoCellAnchor editAs="oneCell">
    <xdr:from>
      <xdr:col>1</xdr:col>
      <xdr:colOff>0</xdr:colOff>
      <xdr:row>114</xdr:row>
      <xdr:rowOff>0</xdr:rowOff>
    </xdr:from>
    <xdr:to>
      <xdr:col>10</xdr:col>
      <xdr:colOff>2336</xdr:colOff>
      <xdr:row>120</xdr:row>
      <xdr:rowOff>115269</xdr:rowOff>
    </xdr:to>
    <xdr:pic>
      <xdr:nvPicPr>
        <xdr:cNvPr id="4" name="Picture 3">
          <a:extLst>
            <a:ext uri="{FF2B5EF4-FFF2-40B4-BE49-F238E27FC236}">
              <a16:creationId xmlns:a16="http://schemas.microsoft.com/office/drawing/2014/main" id="{DBFCF0D6-86B4-B9F7-FA89-91BD2B1ABCED}"/>
            </a:ext>
          </a:extLst>
        </xdr:cNvPr>
        <xdr:cNvPicPr>
          <a:picLocks noChangeAspect="1"/>
        </xdr:cNvPicPr>
      </xdr:nvPicPr>
      <xdr:blipFill>
        <a:blip xmlns:r="http://schemas.openxmlformats.org/officeDocument/2006/relationships" r:embed="rId3"/>
        <a:stretch>
          <a:fillRect/>
        </a:stretch>
      </xdr:blipFill>
      <xdr:spPr>
        <a:xfrm>
          <a:off x="612913" y="16590065"/>
          <a:ext cx="6754168" cy="1009791"/>
        </a:xfrm>
        <a:prstGeom prst="rect">
          <a:avLst/>
        </a:prstGeom>
      </xdr:spPr>
    </xdr:pic>
    <xdr:clientData/>
  </xdr:twoCellAnchor>
  <xdr:twoCellAnchor editAs="oneCell">
    <xdr:from>
      <xdr:col>1</xdr:col>
      <xdr:colOff>0</xdr:colOff>
      <xdr:row>287</xdr:row>
      <xdr:rowOff>52871</xdr:rowOff>
    </xdr:from>
    <xdr:to>
      <xdr:col>9</xdr:col>
      <xdr:colOff>132155</xdr:colOff>
      <xdr:row>293</xdr:row>
      <xdr:rowOff>149086</xdr:rowOff>
    </xdr:to>
    <xdr:pic>
      <xdr:nvPicPr>
        <xdr:cNvPr id="5" name="Picture 4">
          <a:extLst>
            <a:ext uri="{FF2B5EF4-FFF2-40B4-BE49-F238E27FC236}">
              <a16:creationId xmlns:a16="http://schemas.microsoft.com/office/drawing/2014/main" id="{23DB1764-38E6-7C3E-D36A-10A053AE1037}"/>
            </a:ext>
          </a:extLst>
        </xdr:cNvPr>
        <xdr:cNvPicPr>
          <a:picLocks noChangeAspect="1"/>
        </xdr:cNvPicPr>
      </xdr:nvPicPr>
      <xdr:blipFill>
        <a:blip xmlns:r="http://schemas.openxmlformats.org/officeDocument/2006/relationships" r:embed="rId4"/>
        <a:stretch>
          <a:fillRect/>
        </a:stretch>
      </xdr:blipFill>
      <xdr:spPr>
        <a:xfrm>
          <a:off x="612913" y="64027741"/>
          <a:ext cx="6277851" cy="99073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11</xdr:col>
      <xdr:colOff>286641</xdr:colOff>
      <xdr:row>11</xdr:row>
      <xdr:rowOff>95391</xdr:rowOff>
    </xdr:to>
    <xdr:pic>
      <xdr:nvPicPr>
        <xdr:cNvPr id="2" name="Picture 1">
          <a:extLst>
            <a:ext uri="{FF2B5EF4-FFF2-40B4-BE49-F238E27FC236}">
              <a16:creationId xmlns:a16="http://schemas.microsoft.com/office/drawing/2014/main" id="{65E15130-168F-BE5C-EEE9-14CC67BCA3EF}"/>
            </a:ext>
          </a:extLst>
        </xdr:cNvPr>
        <xdr:cNvPicPr>
          <a:picLocks noChangeAspect="1"/>
        </xdr:cNvPicPr>
      </xdr:nvPicPr>
      <xdr:blipFill>
        <a:blip xmlns:r="http://schemas.openxmlformats.org/officeDocument/2006/relationships" r:embed="rId1"/>
        <a:stretch>
          <a:fillRect/>
        </a:stretch>
      </xdr:blipFill>
      <xdr:spPr>
        <a:xfrm>
          <a:off x="609600" y="800100"/>
          <a:ext cx="6382641" cy="100979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177085</xdr:colOff>
      <xdr:row>9</xdr:row>
      <xdr:rowOff>47804</xdr:rowOff>
    </xdr:to>
    <xdr:pic>
      <xdr:nvPicPr>
        <xdr:cNvPr id="2" name="Picture 1">
          <a:extLst>
            <a:ext uri="{FF2B5EF4-FFF2-40B4-BE49-F238E27FC236}">
              <a16:creationId xmlns:a16="http://schemas.microsoft.com/office/drawing/2014/main" id="{925214BE-7C85-62DF-21EB-93519774C9B8}"/>
            </a:ext>
          </a:extLst>
        </xdr:cNvPr>
        <xdr:cNvPicPr>
          <a:picLocks noChangeAspect="1"/>
        </xdr:cNvPicPr>
      </xdr:nvPicPr>
      <xdr:blipFill>
        <a:blip xmlns:r="http://schemas.openxmlformats.org/officeDocument/2006/relationships" r:embed="rId1"/>
        <a:stretch>
          <a:fillRect/>
        </a:stretch>
      </xdr:blipFill>
      <xdr:spPr>
        <a:xfrm>
          <a:off x="607219" y="190500"/>
          <a:ext cx="6249272" cy="128605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4</xdr:col>
      <xdr:colOff>526676</xdr:colOff>
      <xdr:row>9</xdr:row>
      <xdr:rowOff>35318</xdr:rowOff>
    </xdr:to>
    <xdr:pic>
      <xdr:nvPicPr>
        <xdr:cNvPr id="2" name="Picture 1">
          <a:extLst>
            <a:ext uri="{FF2B5EF4-FFF2-40B4-BE49-F238E27FC236}">
              <a16:creationId xmlns:a16="http://schemas.microsoft.com/office/drawing/2014/main" id="{BC28A5D2-E2BF-6A16-EC00-F0272CD6ECB1}"/>
            </a:ext>
          </a:extLst>
        </xdr:cNvPr>
        <xdr:cNvPicPr>
          <a:picLocks noChangeAspect="1"/>
        </xdr:cNvPicPr>
      </xdr:nvPicPr>
      <xdr:blipFill>
        <a:blip xmlns:r="http://schemas.openxmlformats.org/officeDocument/2006/relationships" r:embed="rId1"/>
        <a:stretch>
          <a:fillRect/>
        </a:stretch>
      </xdr:blipFill>
      <xdr:spPr>
        <a:xfrm>
          <a:off x="605118" y="661147"/>
          <a:ext cx="3630706" cy="819730"/>
        </a:xfrm>
        <a:prstGeom prst="rect">
          <a:avLst/>
        </a:prstGeom>
      </xdr:spPr>
    </xdr:pic>
    <xdr:clientData/>
  </xdr:twoCellAnchor>
  <xdr:twoCellAnchor editAs="oneCell">
    <xdr:from>
      <xdr:col>1</xdr:col>
      <xdr:colOff>0</xdr:colOff>
      <xdr:row>35</xdr:row>
      <xdr:rowOff>152400</xdr:rowOff>
    </xdr:from>
    <xdr:to>
      <xdr:col>4</xdr:col>
      <xdr:colOff>560294</xdr:colOff>
      <xdr:row>39</xdr:row>
      <xdr:rowOff>46822</xdr:rowOff>
    </xdr:to>
    <xdr:pic>
      <xdr:nvPicPr>
        <xdr:cNvPr id="3" name="Picture 2">
          <a:extLst>
            <a:ext uri="{FF2B5EF4-FFF2-40B4-BE49-F238E27FC236}">
              <a16:creationId xmlns:a16="http://schemas.microsoft.com/office/drawing/2014/main" id="{2EC6AB03-E02F-F6D5-93B1-B07634D49EC7}"/>
            </a:ext>
          </a:extLst>
        </xdr:cNvPr>
        <xdr:cNvPicPr>
          <a:picLocks noChangeAspect="1"/>
        </xdr:cNvPicPr>
      </xdr:nvPicPr>
      <xdr:blipFill>
        <a:blip xmlns:r="http://schemas.openxmlformats.org/officeDocument/2006/relationships" r:embed="rId2"/>
        <a:stretch>
          <a:fillRect/>
        </a:stretch>
      </xdr:blipFill>
      <xdr:spPr>
        <a:xfrm>
          <a:off x="605118" y="6629400"/>
          <a:ext cx="3675529" cy="6741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38871</xdr:colOff>
      <xdr:row>8</xdr:row>
      <xdr:rowOff>57286</xdr:rowOff>
    </xdr:to>
    <xdr:pic>
      <xdr:nvPicPr>
        <xdr:cNvPr id="2" name="Picture 1">
          <a:extLst>
            <a:ext uri="{FF2B5EF4-FFF2-40B4-BE49-F238E27FC236}">
              <a16:creationId xmlns:a16="http://schemas.microsoft.com/office/drawing/2014/main" id="{D3FDE3C6-0CE0-EEA9-1086-48683C2AB61D}"/>
            </a:ext>
          </a:extLst>
        </xdr:cNvPr>
        <xdr:cNvPicPr>
          <a:picLocks noChangeAspect="1"/>
        </xdr:cNvPicPr>
      </xdr:nvPicPr>
      <xdr:blipFill>
        <a:blip xmlns:r="http://schemas.openxmlformats.org/officeDocument/2006/relationships" r:embed="rId1"/>
        <a:stretch>
          <a:fillRect/>
        </a:stretch>
      </xdr:blipFill>
      <xdr:spPr>
        <a:xfrm>
          <a:off x="609600" y="342900"/>
          <a:ext cx="5525271" cy="9716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447733</xdr:colOff>
      <xdr:row>8</xdr:row>
      <xdr:rowOff>38233</xdr:rowOff>
    </xdr:to>
    <xdr:pic>
      <xdr:nvPicPr>
        <xdr:cNvPr id="2" name="Picture 1">
          <a:extLst>
            <a:ext uri="{FF2B5EF4-FFF2-40B4-BE49-F238E27FC236}">
              <a16:creationId xmlns:a16="http://schemas.microsoft.com/office/drawing/2014/main" id="{CE684582-081C-7728-EC45-7E6295639BD0}"/>
            </a:ext>
          </a:extLst>
        </xdr:cNvPr>
        <xdr:cNvPicPr>
          <a:picLocks noChangeAspect="1"/>
        </xdr:cNvPicPr>
      </xdr:nvPicPr>
      <xdr:blipFill>
        <a:blip xmlns:r="http://schemas.openxmlformats.org/officeDocument/2006/relationships" r:embed="rId1"/>
        <a:stretch>
          <a:fillRect/>
        </a:stretch>
      </xdr:blipFill>
      <xdr:spPr>
        <a:xfrm>
          <a:off x="609600" y="342900"/>
          <a:ext cx="7163800" cy="952633"/>
        </a:xfrm>
        <a:prstGeom prst="rect">
          <a:avLst/>
        </a:prstGeom>
      </xdr:spPr>
    </xdr:pic>
    <xdr:clientData/>
  </xdr:twoCellAnchor>
  <xdr:twoCellAnchor editAs="oneCell">
    <xdr:from>
      <xdr:col>1</xdr:col>
      <xdr:colOff>0</xdr:colOff>
      <xdr:row>153</xdr:row>
      <xdr:rowOff>0</xdr:rowOff>
    </xdr:from>
    <xdr:to>
      <xdr:col>10</xdr:col>
      <xdr:colOff>511994</xdr:colOff>
      <xdr:row>159</xdr:row>
      <xdr:rowOff>87550</xdr:rowOff>
    </xdr:to>
    <xdr:pic>
      <xdr:nvPicPr>
        <xdr:cNvPr id="3" name="Picture 2">
          <a:extLst>
            <a:ext uri="{FF2B5EF4-FFF2-40B4-BE49-F238E27FC236}">
              <a16:creationId xmlns:a16="http://schemas.microsoft.com/office/drawing/2014/main" id="{0CBCD9DA-3DA2-F701-B592-586631CFE2ED}"/>
            </a:ext>
          </a:extLst>
        </xdr:cNvPr>
        <xdr:cNvPicPr>
          <a:picLocks noChangeAspect="1"/>
        </xdr:cNvPicPr>
      </xdr:nvPicPr>
      <xdr:blipFill>
        <a:blip xmlns:r="http://schemas.openxmlformats.org/officeDocument/2006/relationships" r:embed="rId2"/>
        <a:stretch>
          <a:fillRect/>
        </a:stretch>
      </xdr:blipFill>
      <xdr:spPr>
        <a:xfrm>
          <a:off x="605118" y="25325294"/>
          <a:ext cx="7201905" cy="1028844"/>
        </a:xfrm>
        <a:prstGeom prst="rect">
          <a:avLst/>
        </a:prstGeom>
      </xdr:spPr>
    </xdr:pic>
    <xdr:clientData/>
  </xdr:twoCellAnchor>
  <xdr:twoCellAnchor editAs="oneCell">
    <xdr:from>
      <xdr:col>39</xdr:col>
      <xdr:colOff>81642</xdr:colOff>
      <xdr:row>165</xdr:row>
      <xdr:rowOff>190500</xdr:rowOff>
    </xdr:from>
    <xdr:to>
      <xdr:col>45</xdr:col>
      <xdr:colOff>369870</xdr:colOff>
      <xdr:row>188</xdr:row>
      <xdr:rowOff>69613</xdr:rowOff>
    </xdr:to>
    <xdr:pic>
      <xdr:nvPicPr>
        <xdr:cNvPr id="4" name="Picture 3">
          <a:extLst>
            <a:ext uri="{FF2B5EF4-FFF2-40B4-BE49-F238E27FC236}">
              <a16:creationId xmlns:a16="http://schemas.microsoft.com/office/drawing/2014/main" id="{025FD235-45D0-454D-BDC4-E1F34F108D3D}"/>
            </a:ext>
          </a:extLst>
        </xdr:cNvPr>
        <xdr:cNvPicPr>
          <a:picLocks noChangeAspect="1"/>
        </xdr:cNvPicPr>
      </xdr:nvPicPr>
      <xdr:blipFill>
        <a:blip xmlns:r="http://schemas.openxmlformats.org/officeDocument/2006/relationships" r:embed="rId3"/>
        <a:stretch>
          <a:fillRect/>
        </a:stretch>
      </xdr:blipFill>
      <xdr:spPr>
        <a:xfrm>
          <a:off x="22074867" y="1333500"/>
          <a:ext cx="3945828" cy="426061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248535</xdr:colOff>
      <xdr:row>11</xdr:row>
      <xdr:rowOff>28749</xdr:rowOff>
    </xdr:to>
    <xdr:pic>
      <xdr:nvPicPr>
        <xdr:cNvPr id="2" name="Picture 1">
          <a:extLst>
            <a:ext uri="{FF2B5EF4-FFF2-40B4-BE49-F238E27FC236}">
              <a16:creationId xmlns:a16="http://schemas.microsoft.com/office/drawing/2014/main" id="{D6A0D82F-5F9B-0BE4-ACF3-2372A843EBF7}"/>
            </a:ext>
          </a:extLst>
        </xdr:cNvPr>
        <xdr:cNvPicPr>
          <a:picLocks noChangeAspect="1"/>
        </xdr:cNvPicPr>
      </xdr:nvPicPr>
      <xdr:blipFill>
        <a:blip xmlns:r="http://schemas.openxmlformats.org/officeDocument/2006/relationships" r:embed="rId1"/>
        <a:stretch>
          <a:fillRect/>
        </a:stretch>
      </xdr:blipFill>
      <xdr:spPr>
        <a:xfrm>
          <a:off x="609600" y="647700"/>
          <a:ext cx="6344535" cy="12479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8</xdr:col>
      <xdr:colOff>177779</xdr:colOff>
      <xdr:row>8</xdr:row>
      <xdr:rowOff>123929</xdr:rowOff>
    </xdr:to>
    <xdr:pic>
      <xdr:nvPicPr>
        <xdr:cNvPr id="2" name="Picture 1">
          <a:extLst>
            <a:ext uri="{FF2B5EF4-FFF2-40B4-BE49-F238E27FC236}">
              <a16:creationId xmlns:a16="http://schemas.microsoft.com/office/drawing/2014/main" id="{BB75B3E2-9E2D-8742-2DA9-00631EEC546E}"/>
            </a:ext>
          </a:extLst>
        </xdr:cNvPr>
        <xdr:cNvPicPr>
          <a:picLocks noChangeAspect="1"/>
        </xdr:cNvPicPr>
      </xdr:nvPicPr>
      <xdr:blipFill>
        <a:blip xmlns:r="http://schemas.openxmlformats.org/officeDocument/2006/relationships" r:embed="rId1"/>
        <a:stretch>
          <a:fillRect/>
        </a:stretch>
      </xdr:blipFill>
      <xdr:spPr>
        <a:xfrm>
          <a:off x="607219" y="654844"/>
          <a:ext cx="5344271" cy="743054"/>
        </a:xfrm>
        <a:prstGeom prst="rect">
          <a:avLst/>
        </a:prstGeom>
      </xdr:spPr>
    </xdr:pic>
    <xdr:clientData/>
  </xdr:twoCellAnchor>
  <xdr:twoCellAnchor editAs="oneCell">
    <xdr:from>
      <xdr:col>1</xdr:col>
      <xdr:colOff>0</xdr:colOff>
      <xdr:row>75</xdr:row>
      <xdr:rowOff>0</xdr:rowOff>
    </xdr:from>
    <xdr:to>
      <xdr:col>11</xdr:col>
      <xdr:colOff>251863</xdr:colOff>
      <xdr:row>81</xdr:row>
      <xdr:rowOff>52526</xdr:rowOff>
    </xdr:to>
    <xdr:pic>
      <xdr:nvPicPr>
        <xdr:cNvPr id="3" name="Picture 2">
          <a:extLst>
            <a:ext uri="{FF2B5EF4-FFF2-40B4-BE49-F238E27FC236}">
              <a16:creationId xmlns:a16="http://schemas.microsoft.com/office/drawing/2014/main" id="{BDFC3520-3C99-3C04-8081-762C7250A9E5}"/>
            </a:ext>
          </a:extLst>
        </xdr:cNvPr>
        <xdr:cNvPicPr>
          <a:picLocks noChangeAspect="1"/>
        </xdr:cNvPicPr>
      </xdr:nvPicPr>
      <xdr:blipFill>
        <a:blip xmlns:r="http://schemas.openxmlformats.org/officeDocument/2006/relationships" r:embed="rId2"/>
        <a:stretch>
          <a:fillRect/>
        </a:stretch>
      </xdr:blipFill>
      <xdr:spPr>
        <a:xfrm>
          <a:off x="607219" y="12293203"/>
          <a:ext cx="7240010" cy="981212"/>
        </a:xfrm>
        <a:prstGeom prst="rect">
          <a:avLst/>
        </a:prstGeom>
      </xdr:spPr>
    </xdr:pic>
    <xdr:clientData/>
  </xdr:twoCellAnchor>
  <xdr:twoCellAnchor editAs="oneCell">
    <xdr:from>
      <xdr:col>1</xdr:col>
      <xdr:colOff>0</xdr:colOff>
      <xdr:row>144</xdr:row>
      <xdr:rowOff>0</xdr:rowOff>
    </xdr:from>
    <xdr:to>
      <xdr:col>11</xdr:col>
      <xdr:colOff>201691</xdr:colOff>
      <xdr:row>150</xdr:row>
      <xdr:rowOff>84221</xdr:rowOff>
    </xdr:to>
    <xdr:pic>
      <xdr:nvPicPr>
        <xdr:cNvPr id="4" name="Picture 3">
          <a:extLst>
            <a:ext uri="{FF2B5EF4-FFF2-40B4-BE49-F238E27FC236}">
              <a16:creationId xmlns:a16="http://schemas.microsoft.com/office/drawing/2014/main" id="{5F3666D6-5ACE-DA05-E194-A8E90CE40DEA}"/>
            </a:ext>
          </a:extLst>
        </xdr:cNvPr>
        <xdr:cNvPicPr>
          <a:picLocks noChangeAspect="1"/>
        </xdr:cNvPicPr>
      </xdr:nvPicPr>
      <xdr:blipFill>
        <a:blip xmlns:r="http://schemas.openxmlformats.org/officeDocument/2006/relationships" r:embed="rId3"/>
        <a:stretch>
          <a:fillRect/>
        </a:stretch>
      </xdr:blipFill>
      <xdr:spPr>
        <a:xfrm>
          <a:off x="610914" y="20028776"/>
          <a:ext cx="7230484" cy="99073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7</xdr:col>
      <xdr:colOff>0</xdr:colOff>
      <xdr:row>11</xdr:row>
      <xdr:rowOff>3843</xdr:rowOff>
    </xdr:to>
    <xdr:pic>
      <xdr:nvPicPr>
        <xdr:cNvPr id="2" name="Picture 1">
          <a:extLst>
            <a:ext uri="{FF2B5EF4-FFF2-40B4-BE49-F238E27FC236}">
              <a16:creationId xmlns:a16="http://schemas.microsoft.com/office/drawing/2014/main" id="{1D5B6175-3209-6095-75F2-4F0901E33668}"/>
            </a:ext>
          </a:extLst>
        </xdr:cNvPr>
        <xdr:cNvPicPr>
          <a:picLocks noChangeAspect="1"/>
        </xdr:cNvPicPr>
      </xdr:nvPicPr>
      <xdr:blipFill>
        <a:blip xmlns:r="http://schemas.openxmlformats.org/officeDocument/2006/relationships" r:embed="rId1"/>
        <a:stretch>
          <a:fillRect/>
        </a:stretch>
      </xdr:blipFill>
      <xdr:spPr>
        <a:xfrm>
          <a:off x="605118" y="818029"/>
          <a:ext cx="3630706" cy="94513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NREP%20Solv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Info"/>
      <sheetName val="OCI"/>
      <sheetName val="Consol"/>
      <sheetName val="Profit and Loss"/>
      <sheetName val="ETB"/>
      <sheetName val="SoFP"/>
      <sheetName val="Consol New"/>
      <sheetName val="FV adjustments (consol)"/>
      <sheetName val="Associates &amp; JVs"/>
      <sheetName val="Accounting for investments"/>
      <sheetName val="Fair value model"/>
      <sheetName val="FV Measurement"/>
      <sheetName val="PPE"/>
      <sheetName val="Investment Property"/>
      <sheetName val="Held for sale"/>
      <sheetName val="Discontinued Operations"/>
      <sheetName val="Intangibles"/>
      <sheetName val="Tax"/>
      <sheetName val="Deferred tax"/>
      <sheetName val="Directors remuneration"/>
      <sheetName val="Contracts"/>
      <sheetName val="Provisions"/>
      <sheetName val="FX consolidation"/>
      <sheetName val="Impairment"/>
      <sheetName val="Financial Assets"/>
      <sheetName val="Financial Liabilities"/>
      <sheetName val="ECL"/>
      <sheetName val="Consolidation Exemptions"/>
      <sheetName val="Control over an entity"/>
      <sheetName val="Investments"/>
      <sheetName val="Inventory"/>
      <sheetName val="Leases"/>
      <sheetName val="Inputs"/>
      <sheetName val="Standards"/>
      <sheetName val="AK -&gt;"/>
      <sheetName val="Adjustments for cash flow"/>
      <sheetName val="SCF (Direct)"/>
      <sheetName val="SCF (Indirect)"/>
      <sheetName val="Distributable profits"/>
      <sheetName val="Staff costs"/>
      <sheetName val="Share based payments"/>
      <sheetName val="Repurchase of shares"/>
      <sheetName val="Issue of shares"/>
      <sheetName val="Statement of changes in Equity"/>
      <sheetName val="Grant Income"/>
      <sheetName val="Accounting Policies"/>
      <sheetName val="Varianc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ow r="16">
          <cell r="L16">
            <v>0</v>
          </cell>
        </row>
      </sheetData>
      <sheetData sheetId="37"/>
      <sheetData sheetId="38"/>
      <sheetData sheetId="39"/>
      <sheetData sheetId="40"/>
      <sheetData sheetId="41"/>
      <sheetData sheetId="42"/>
      <sheetData sheetId="43"/>
      <sheetData sheetId="44"/>
      <sheetData sheetId="45"/>
      <sheetData sheetId="46"/>
      <sheetData sheetId="4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9BE829-2F31-4EA2-A0CD-EF77D8E7C908}">
  <sheetPr codeName="Sheet1">
    <tabColor rgb="FFFFFF00"/>
  </sheetPr>
  <dimension ref="A2:U94"/>
  <sheetViews>
    <sheetView showGridLines="0" topLeftCell="A58" workbookViewId="0">
      <selection activeCell="B34" sqref="B34:B37"/>
    </sheetView>
  </sheetViews>
  <sheetFormatPr defaultRowHeight="15" x14ac:dyDescent="0.25"/>
  <cols>
    <col min="2" max="2" width="8.28515625" bestFit="1" customWidth="1"/>
    <col min="4" max="4" width="61.7109375" customWidth="1"/>
    <col min="5" max="5" width="13.7109375" bestFit="1" customWidth="1"/>
    <col min="6" max="6" width="14.28515625" customWidth="1"/>
    <col min="7" max="7" width="58.28515625" customWidth="1"/>
    <col min="8" max="8" width="45.140625" customWidth="1"/>
  </cols>
  <sheetData>
    <row r="2" spans="1:21" ht="30" x14ac:dyDescent="0.25">
      <c r="A2" s="56"/>
      <c r="B2" s="57" t="s">
        <v>732</v>
      </c>
      <c r="C2" s="58" t="s">
        <v>1121</v>
      </c>
      <c r="D2" s="59" t="s">
        <v>1122</v>
      </c>
      <c r="E2" s="60" t="s">
        <v>1123</v>
      </c>
      <c r="F2" s="60" t="s">
        <v>1124</v>
      </c>
      <c r="G2" s="59" t="s">
        <v>1125</v>
      </c>
      <c r="U2" t="s">
        <v>1126</v>
      </c>
    </row>
    <row r="3" spans="1:21" ht="30" x14ac:dyDescent="0.25">
      <c r="A3" s="61"/>
      <c r="B3" s="62">
        <v>1</v>
      </c>
      <c r="C3" s="63" t="s">
        <v>1127</v>
      </c>
      <c r="D3" s="64" t="s">
        <v>1128</v>
      </c>
      <c r="E3" s="65" t="s">
        <v>1126</v>
      </c>
      <c r="F3" s="66">
        <v>7</v>
      </c>
      <c r="G3" s="67"/>
      <c r="U3" t="s">
        <v>1129</v>
      </c>
    </row>
    <row r="4" spans="1:21" ht="75" x14ac:dyDescent="0.25">
      <c r="A4" s="61"/>
      <c r="B4" s="62">
        <v>2</v>
      </c>
      <c r="C4" s="65" t="s">
        <v>1127</v>
      </c>
      <c r="D4" s="68" t="s">
        <v>1130</v>
      </c>
      <c r="E4" s="65" t="s">
        <v>1127</v>
      </c>
      <c r="F4" s="69">
        <v>16</v>
      </c>
      <c r="G4" s="67"/>
      <c r="U4" t="s">
        <v>1127</v>
      </c>
    </row>
    <row r="5" spans="1:21" ht="30" x14ac:dyDescent="0.25">
      <c r="A5" s="61"/>
      <c r="B5" s="62">
        <v>3</v>
      </c>
      <c r="C5" s="65" t="s">
        <v>1127</v>
      </c>
      <c r="D5" s="68" t="s">
        <v>1131</v>
      </c>
      <c r="E5" s="65" t="s">
        <v>1126</v>
      </c>
      <c r="F5" s="69">
        <v>8</v>
      </c>
      <c r="G5" s="67"/>
    </row>
    <row r="6" spans="1:21" ht="47.45" customHeight="1" x14ac:dyDescent="0.25">
      <c r="A6" s="61"/>
      <c r="B6" s="62">
        <v>4</v>
      </c>
      <c r="C6" s="65" t="s">
        <v>1127</v>
      </c>
      <c r="D6" s="68" t="s">
        <v>1132</v>
      </c>
      <c r="E6" s="65" t="s">
        <v>1127</v>
      </c>
      <c r="F6" s="69">
        <v>12</v>
      </c>
      <c r="G6" s="67"/>
    </row>
    <row r="7" spans="1:21" x14ac:dyDescent="0.25">
      <c r="A7" s="61"/>
      <c r="B7" s="62">
        <v>5</v>
      </c>
      <c r="C7" s="65" t="s">
        <v>1127</v>
      </c>
      <c r="D7" s="70" t="s">
        <v>1133</v>
      </c>
      <c r="E7" s="65" t="s">
        <v>1127</v>
      </c>
      <c r="F7" s="69">
        <v>7</v>
      </c>
      <c r="G7" s="67"/>
    </row>
    <row r="8" spans="1:21" ht="45" x14ac:dyDescent="0.25">
      <c r="A8" s="61"/>
      <c r="B8" s="62">
        <v>6</v>
      </c>
      <c r="C8" s="65" t="s">
        <v>1127</v>
      </c>
      <c r="D8" s="68" t="s">
        <v>1134</v>
      </c>
      <c r="E8" s="65" t="s">
        <v>1126</v>
      </c>
      <c r="F8" s="69">
        <v>37</v>
      </c>
      <c r="G8" s="67"/>
    </row>
    <row r="9" spans="1:21" ht="60" x14ac:dyDescent="0.25">
      <c r="A9" s="61"/>
      <c r="B9" s="62">
        <v>7</v>
      </c>
      <c r="C9" s="65" t="s">
        <v>1127</v>
      </c>
      <c r="D9" s="68" t="s">
        <v>1135</v>
      </c>
      <c r="E9" s="65" t="s">
        <v>1127</v>
      </c>
      <c r="F9" s="69">
        <v>21</v>
      </c>
      <c r="G9" s="67"/>
    </row>
    <row r="10" spans="1:21" x14ac:dyDescent="0.25">
      <c r="A10" s="61"/>
      <c r="B10" s="62">
        <v>8</v>
      </c>
      <c r="C10" s="65" t="s">
        <v>1127</v>
      </c>
      <c r="D10" s="68" t="s">
        <v>164</v>
      </c>
      <c r="E10" s="65" t="s">
        <v>1127</v>
      </c>
      <c r="F10" s="69">
        <v>6</v>
      </c>
      <c r="G10" s="67"/>
    </row>
    <row r="11" spans="1:21" ht="30" x14ac:dyDescent="0.25">
      <c r="A11" s="61"/>
      <c r="B11" s="62">
        <v>9</v>
      </c>
      <c r="C11" s="65" t="s">
        <v>1127</v>
      </c>
      <c r="D11" s="68" t="s">
        <v>1136</v>
      </c>
      <c r="E11" s="65" t="s">
        <v>1127</v>
      </c>
      <c r="F11" s="69">
        <v>24</v>
      </c>
      <c r="G11" s="67"/>
    </row>
    <row r="12" spans="1:21" ht="60" x14ac:dyDescent="0.25">
      <c r="A12" s="61"/>
      <c r="B12" s="62">
        <v>10</v>
      </c>
      <c r="C12" s="65" t="s">
        <v>1127</v>
      </c>
      <c r="D12" s="68" t="s">
        <v>1137</v>
      </c>
      <c r="E12" s="65" t="s">
        <v>1127</v>
      </c>
      <c r="F12" s="69">
        <v>25</v>
      </c>
      <c r="G12" s="67"/>
    </row>
    <row r="13" spans="1:21" x14ac:dyDescent="0.25">
      <c r="A13" s="61"/>
      <c r="B13" s="62">
        <v>11</v>
      </c>
      <c r="C13" s="65" t="s">
        <v>1127</v>
      </c>
      <c r="D13" s="70" t="s">
        <v>1138</v>
      </c>
      <c r="E13" s="65" t="s">
        <v>1127</v>
      </c>
      <c r="F13" s="69">
        <v>5</v>
      </c>
      <c r="G13" s="67"/>
    </row>
    <row r="14" spans="1:21" ht="30" x14ac:dyDescent="0.25">
      <c r="A14" s="61"/>
      <c r="B14" s="62">
        <v>12</v>
      </c>
      <c r="C14" s="65" t="s">
        <v>1127</v>
      </c>
      <c r="D14" s="68" t="s">
        <v>1139</v>
      </c>
      <c r="E14" s="65" t="s">
        <v>1127</v>
      </c>
      <c r="F14" s="69">
        <v>11</v>
      </c>
      <c r="G14" s="67"/>
    </row>
    <row r="15" spans="1:21" x14ac:dyDescent="0.25">
      <c r="A15" s="61"/>
      <c r="B15" s="62">
        <v>13</v>
      </c>
      <c r="C15" s="65" t="s">
        <v>1127</v>
      </c>
      <c r="D15" s="70" t="s">
        <v>1140</v>
      </c>
      <c r="E15" s="65" t="s">
        <v>1127</v>
      </c>
      <c r="F15" s="69">
        <v>12</v>
      </c>
      <c r="G15" s="67"/>
    </row>
    <row r="16" spans="1:21" ht="120" x14ac:dyDescent="0.25">
      <c r="A16" s="61"/>
      <c r="B16" s="62">
        <v>14</v>
      </c>
      <c r="C16" s="65" t="s">
        <v>1127</v>
      </c>
      <c r="D16" s="68" t="s">
        <v>1141</v>
      </c>
      <c r="E16" s="65" t="s">
        <v>1127</v>
      </c>
      <c r="F16" s="69">
        <v>25</v>
      </c>
      <c r="G16" s="67"/>
    </row>
    <row r="17" spans="1:7" ht="75" x14ac:dyDescent="0.25">
      <c r="A17" s="61"/>
      <c r="B17" s="62">
        <v>15</v>
      </c>
      <c r="C17" s="65" t="s">
        <v>1127</v>
      </c>
      <c r="D17" s="68" t="s">
        <v>1142</v>
      </c>
      <c r="E17" s="65" t="s">
        <v>1127</v>
      </c>
      <c r="F17" s="69">
        <v>11</v>
      </c>
      <c r="G17" s="67"/>
    </row>
    <row r="18" spans="1:7" x14ac:dyDescent="0.25">
      <c r="A18" s="61"/>
      <c r="B18" s="62">
        <v>16</v>
      </c>
      <c r="C18" s="65" t="s">
        <v>1127</v>
      </c>
      <c r="D18" s="70" t="s">
        <v>166</v>
      </c>
      <c r="E18" s="65" t="s">
        <v>1127</v>
      </c>
      <c r="F18" s="69">
        <v>11</v>
      </c>
      <c r="G18" s="67"/>
    </row>
    <row r="19" spans="1:7" ht="60" x14ac:dyDescent="0.25">
      <c r="A19" s="61"/>
      <c r="B19" s="62">
        <v>17</v>
      </c>
      <c r="C19" s="65" t="s">
        <v>1127</v>
      </c>
      <c r="D19" s="68" t="s">
        <v>1143</v>
      </c>
      <c r="E19" s="65" t="s">
        <v>1126</v>
      </c>
      <c r="F19" s="69">
        <v>15</v>
      </c>
      <c r="G19" s="67"/>
    </row>
    <row r="20" spans="1:7" ht="30" x14ac:dyDescent="0.25">
      <c r="A20" s="61"/>
      <c r="B20" s="62">
        <v>18</v>
      </c>
      <c r="C20" s="65" t="s">
        <v>1127</v>
      </c>
      <c r="D20" s="68" t="s">
        <v>1144</v>
      </c>
      <c r="E20" s="65" t="s">
        <v>1127</v>
      </c>
      <c r="F20" s="69">
        <v>12</v>
      </c>
      <c r="G20" s="67"/>
    </row>
    <row r="21" spans="1:7" ht="90" x14ac:dyDescent="0.25">
      <c r="A21" s="61"/>
      <c r="B21" s="62">
        <v>19</v>
      </c>
      <c r="C21" s="65" t="s">
        <v>1127</v>
      </c>
      <c r="D21" s="68" t="s">
        <v>1145</v>
      </c>
      <c r="E21" s="65" t="s">
        <v>1127</v>
      </c>
      <c r="F21" s="69">
        <v>34</v>
      </c>
      <c r="G21" s="67"/>
    </row>
    <row r="22" spans="1:7" ht="30" x14ac:dyDescent="0.25">
      <c r="A22" s="61"/>
      <c r="B22" s="62">
        <v>20</v>
      </c>
      <c r="C22" s="65" t="s">
        <v>1127</v>
      </c>
      <c r="D22" s="68" t="s">
        <v>1146</v>
      </c>
      <c r="E22" s="65" t="s">
        <v>1126</v>
      </c>
      <c r="F22" s="69">
        <v>8</v>
      </c>
      <c r="G22" s="67"/>
    </row>
    <row r="23" spans="1:7" ht="60" x14ac:dyDescent="0.25">
      <c r="A23" s="61"/>
      <c r="B23" s="62">
        <v>21</v>
      </c>
      <c r="C23" s="65" t="s">
        <v>1127</v>
      </c>
      <c r="D23" s="68" t="s">
        <v>1147</v>
      </c>
      <c r="E23" s="65" t="s">
        <v>1127</v>
      </c>
      <c r="F23" s="69">
        <v>23</v>
      </c>
      <c r="G23" s="67"/>
    </row>
    <row r="24" spans="1:7" x14ac:dyDescent="0.25">
      <c r="A24" s="61"/>
      <c r="B24" s="62">
        <v>22</v>
      </c>
      <c r="C24" s="65" t="s">
        <v>1127</v>
      </c>
      <c r="D24" s="70" t="s">
        <v>171</v>
      </c>
      <c r="E24" s="65" t="s">
        <v>1127</v>
      </c>
      <c r="F24" s="69">
        <v>19</v>
      </c>
      <c r="G24" s="67"/>
    </row>
    <row r="25" spans="1:7" ht="30" x14ac:dyDescent="0.25">
      <c r="A25" s="61"/>
      <c r="B25" s="62">
        <v>23</v>
      </c>
      <c r="C25" s="65" t="s">
        <v>1127</v>
      </c>
      <c r="D25" s="68" t="s">
        <v>1148</v>
      </c>
      <c r="E25" s="65" t="s">
        <v>1127</v>
      </c>
      <c r="F25" s="69">
        <v>18</v>
      </c>
      <c r="G25" s="67"/>
    </row>
    <row r="26" spans="1:7" x14ac:dyDescent="0.25">
      <c r="A26" s="61"/>
      <c r="B26" s="62">
        <v>24</v>
      </c>
      <c r="C26" s="65" t="s">
        <v>1127</v>
      </c>
      <c r="D26" s="70" t="s">
        <v>1149</v>
      </c>
      <c r="E26" s="65" t="s">
        <v>1126</v>
      </c>
      <c r="F26" s="69">
        <v>14</v>
      </c>
      <c r="G26" s="67"/>
    </row>
    <row r="27" spans="1:7" x14ac:dyDescent="0.25">
      <c r="A27" s="61"/>
      <c r="B27" s="62">
        <v>25</v>
      </c>
      <c r="C27" s="65" t="s">
        <v>1127</v>
      </c>
      <c r="D27" s="70" t="s">
        <v>1140</v>
      </c>
      <c r="E27" s="65" t="s">
        <v>1127</v>
      </c>
      <c r="F27" s="69">
        <v>11</v>
      </c>
      <c r="G27" s="67"/>
    </row>
    <row r="28" spans="1:7" x14ac:dyDescent="0.25">
      <c r="A28" s="61"/>
      <c r="B28" s="62">
        <v>26</v>
      </c>
      <c r="C28" s="65" t="s">
        <v>1127</v>
      </c>
      <c r="D28" s="70" t="s">
        <v>1150</v>
      </c>
      <c r="E28" s="65" t="s">
        <v>1127</v>
      </c>
      <c r="F28" s="69">
        <v>3</v>
      </c>
      <c r="G28" s="67"/>
    </row>
    <row r="29" spans="1:7" x14ac:dyDescent="0.25">
      <c r="A29" s="61"/>
      <c r="B29" s="62">
        <v>27</v>
      </c>
      <c r="C29" s="65" t="s">
        <v>1127</v>
      </c>
      <c r="D29" s="70" t="s">
        <v>1151</v>
      </c>
      <c r="E29" s="65" t="s">
        <v>1127</v>
      </c>
      <c r="F29" s="69">
        <v>9</v>
      </c>
      <c r="G29" s="67"/>
    </row>
    <row r="30" spans="1:7" x14ac:dyDescent="0.25">
      <c r="A30" s="61"/>
      <c r="B30" s="62">
        <v>28</v>
      </c>
      <c r="C30" s="65" t="s">
        <v>1127</v>
      </c>
      <c r="D30" s="70" t="s">
        <v>1151</v>
      </c>
      <c r="E30" s="65" t="s">
        <v>1127</v>
      </c>
      <c r="F30" s="69">
        <v>5</v>
      </c>
      <c r="G30" s="67"/>
    </row>
    <row r="31" spans="1:7" x14ac:dyDescent="0.25">
      <c r="A31" s="61"/>
      <c r="B31" s="62">
        <v>29</v>
      </c>
      <c r="C31" s="65" t="s">
        <v>1127</v>
      </c>
      <c r="D31" s="70" t="s">
        <v>149</v>
      </c>
      <c r="E31" s="65" t="s">
        <v>1127</v>
      </c>
      <c r="F31" s="69">
        <v>6</v>
      </c>
      <c r="G31" s="67"/>
    </row>
    <row r="32" spans="1:7" x14ac:dyDescent="0.25">
      <c r="A32" s="61"/>
      <c r="B32" s="62">
        <v>30</v>
      </c>
      <c r="C32" s="65" t="s">
        <v>1127</v>
      </c>
      <c r="D32" s="70" t="s">
        <v>1138</v>
      </c>
      <c r="E32" s="65" t="s">
        <v>1127</v>
      </c>
      <c r="F32" s="69">
        <v>7</v>
      </c>
      <c r="G32" s="67"/>
    </row>
    <row r="33" spans="1:7" ht="45" x14ac:dyDescent="0.25">
      <c r="A33" s="61"/>
      <c r="B33" s="62">
        <v>31</v>
      </c>
      <c r="C33" s="65" t="s">
        <v>1127</v>
      </c>
      <c r="D33" s="68" t="s">
        <v>1152</v>
      </c>
      <c r="E33" s="65" t="s">
        <v>1127</v>
      </c>
      <c r="F33" s="69">
        <v>12</v>
      </c>
      <c r="G33" s="67"/>
    </row>
    <row r="34" spans="1:7" ht="60" x14ac:dyDescent="0.25">
      <c r="A34" s="61"/>
      <c r="B34" s="62">
        <v>32</v>
      </c>
      <c r="C34" s="65" t="s">
        <v>1127</v>
      </c>
      <c r="D34" s="68" t="s">
        <v>1153</v>
      </c>
      <c r="E34" s="65" t="s">
        <v>1127</v>
      </c>
      <c r="F34" s="69">
        <v>25</v>
      </c>
      <c r="G34" s="67"/>
    </row>
    <row r="35" spans="1:7" ht="75" x14ac:dyDescent="0.25">
      <c r="A35" s="61"/>
      <c r="B35" s="62">
        <v>33</v>
      </c>
      <c r="C35" s="65" t="s">
        <v>1127</v>
      </c>
      <c r="D35" s="68" t="s">
        <v>1154</v>
      </c>
      <c r="E35" s="65" t="s">
        <v>1127</v>
      </c>
      <c r="F35" s="69">
        <v>9</v>
      </c>
      <c r="G35" s="67"/>
    </row>
    <row r="36" spans="1:7" ht="75" x14ac:dyDescent="0.25">
      <c r="A36" s="61"/>
      <c r="B36" s="62">
        <v>34</v>
      </c>
      <c r="C36" s="65" t="s">
        <v>1127</v>
      </c>
      <c r="D36" s="68" t="s">
        <v>1155</v>
      </c>
      <c r="E36" s="65" t="s">
        <v>1127</v>
      </c>
      <c r="F36" s="69">
        <v>24</v>
      </c>
      <c r="G36" s="67"/>
    </row>
    <row r="37" spans="1:7" ht="45" x14ac:dyDescent="0.25">
      <c r="A37" s="61"/>
      <c r="B37" s="62">
        <v>35</v>
      </c>
      <c r="C37" s="65" t="s">
        <v>1127</v>
      </c>
      <c r="D37" s="68" t="s">
        <v>1156</v>
      </c>
      <c r="E37" s="65" t="s">
        <v>1126</v>
      </c>
      <c r="F37" s="69">
        <v>20</v>
      </c>
      <c r="G37" s="67"/>
    </row>
    <row r="38" spans="1:7" x14ac:dyDescent="0.25">
      <c r="A38" s="61"/>
      <c r="B38" s="62">
        <v>36</v>
      </c>
      <c r="C38" s="65" t="s">
        <v>1127</v>
      </c>
      <c r="D38" s="70" t="s">
        <v>159</v>
      </c>
      <c r="E38" s="65" t="s">
        <v>1127</v>
      </c>
      <c r="F38" s="69">
        <v>10</v>
      </c>
      <c r="G38" s="67"/>
    </row>
    <row r="39" spans="1:7" ht="45" x14ac:dyDescent="0.25">
      <c r="A39" s="61"/>
      <c r="B39" s="62">
        <v>37</v>
      </c>
      <c r="C39" s="65" t="s">
        <v>1127</v>
      </c>
      <c r="D39" s="68" t="s">
        <v>1157</v>
      </c>
      <c r="E39" s="65" t="s">
        <v>1127</v>
      </c>
      <c r="F39" s="69">
        <v>28</v>
      </c>
      <c r="G39" s="67"/>
    </row>
    <row r="40" spans="1:7" ht="60" x14ac:dyDescent="0.25">
      <c r="A40" s="61"/>
      <c r="B40" s="62">
        <v>38</v>
      </c>
      <c r="C40" s="65" t="s">
        <v>1127</v>
      </c>
      <c r="D40" s="68" t="s">
        <v>1158</v>
      </c>
      <c r="E40" s="65" t="s">
        <v>1126</v>
      </c>
      <c r="F40" s="69">
        <v>24</v>
      </c>
      <c r="G40" s="67"/>
    </row>
    <row r="41" spans="1:7" ht="30" x14ac:dyDescent="0.25">
      <c r="A41" s="61"/>
      <c r="B41" s="62">
        <v>39</v>
      </c>
      <c r="C41" s="65" t="s">
        <v>1127</v>
      </c>
      <c r="D41" s="68" t="s">
        <v>1159</v>
      </c>
      <c r="E41" s="65" t="s">
        <v>1127</v>
      </c>
      <c r="F41" s="69">
        <v>16</v>
      </c>
      <c r="G41" s="67"/>
    </row>
    <row r="42" spans="1:7" x14ac:dyDescent="0.25">
      <c r="A42" s="61"/>
      <c r="B42" s="62">
        <v>40</v>
      </c>
      <c r="C42" s="65" t="s">
        <v>1127</v>
      </c>
      <c r="D42" s="70" t="s">
        <v>1160</v>
      </c>
      <c r="E42" s="65" t="s">
        <v>1127</v>
      </c>
      <c r="F42" s="69">
        <v>4</v>
      </c>
      <c r="G42" s="67"/>
    </row>
    <row r="43" spans="1:7" ht="60" x14ac:dyDescent="0.25">
      <c r="A43" s="61"/>
      <c r="B43" s="62">
        <v>41</v>
      </c>
      <c r="C43" s="65" t="s">
        <v>1127</v>
      </c>
      <c r="D43" s="68" t="s">
        <v>1161</v>
      </c>
      <c r="E43" s="65" t="s">
        <v>1127</v>
      </c>
      <c r="F43" s="69">
        <v>22</v>
      </c>
      <c r="G43" s="67"/>
    </row>
    <row r="44" spans="1:7" ht="45" x14ac:dyDescent="0.25">
      <c r="A44" s="61"/>
      <c r="B44" s="62">
        <v>42</v>
      </c>
      <c r="C44" s="65" t="s">
        <v>1127</v>
      </c>
      <c r="D44" s="68" t="s">
        <v>1162</v>
      </c>
      <c r="E44" s="65" t="s">
        <v>1126</v>
      </c>
      <c r="F44" s="69">
        <v>19</v>
      </c>
      <c r="G44" s="67"/>
    </row>
    <row r="45" spans="1:7" ht="88.9" customHeight="1" x14ac:dyDescent="0.25">
      <c r="A45" s="61"/>
      <c r="B45" s="62">
        <v>43</v>
      </c>
      <c r="C45" s="65" t="s">
        <v>1127</v>
      </c>
      <c r="D45" s="68" t="s">
        <v>1163</v>
      </c>
      <c r="E45" s="65" t="s">
        <v>1127</v>
      </c>
      <c r="F45" s="69">
        <v>30</v>
      </c>
      <c r="G45" s="67"/>
    </row>
    <row r="46" spans="1:7" ht="75" x14ac:dyDescent="0.25">
      <c r="A46" s="61"/>
      <c r="B46" s="62">
        <v>44</v>
      </c>
      <c r="C46" s="65" t="s">
        <v>1127</v>
      </c>
      <c r="D46" s="68" t="s">
        <v>1164</v>
      </c>
      <c r="E46" s="65" t="s">
        <v>1127</v>
      </c>
      <c r="F46" s="69">
        <v>20</v>
      </c>
      <c r="G46" s="67"/>
    </row>
    <row r="47" spans="1:7" x14ac:dyDescent="0.25">
      <c r="A47" s="61"/>
      <c r="B47" s="62">
        <v>45</v>
      </c>
      <c r="C47" s="65" t="s">
        <v>1127</v>
      </c>
      <c r="D47" s="70" t="s">
        <v>179</v>
      </c>
      <c r="E47" s="65" t="s">
        <v>1127</v>
      </c>
      <c r="F47" s="69">
        <v>4</v>
      </c>
      <c r="G47" s="67"/>
    </row>
    <row r="48" spans="1:7" x14ac:dyDescent="0.25">
      <c r="A48" s="61"/>
      <c r="B48" s="62">
        <v>46</v>
      </c>
      <c r="C48" s="65" t="s">
        <v>1127</v>
      </c>
      <c r="D48" s="70" t="s">
        <v>159</v>
      </c>
      <c r="E48" s="65" t="s">
        <v>1127</v>
      </c>
      <c r="F48" s="69">
        <v>7</v>
      </c>
      <c r="G48" s="67"/>
    </row>
    <row r="49" spans="1:8" x14ac:dyDescent="0.25">
      <c r="A49" s="61"/>
      <c r="B49" s="62">
        <v>47</v>
      </c>
      <c r="C49" s="65" t="s">
        <v>1127</v>
      </c>
      <c r="D49" s="70" t="s">
        <v>169</v>
      </c>
      <c r="E49" s="65" t="s">
        <v>1127</v>
      </c>
      <c r="F49" s="69">
        <v>14</v>
      </c>
      <c r="G49" s="67"/>
    </row>
    <row r="50" spans="1:8" x14ac:dyDescent="0.25">
      <c r="A50" s="61"/>
      <c r="B50" s="62">
        <v>48</v>
      </c>
      <c r="C50" s="65" t="s">
        <v>1127</v>
      </c>
      <c r="D50" s="70" t="s">
        <v>151</v>
      </c>
      <c r="E50" s="65" t="s">
        <v>1127</v>
      </c>
      <c r="F50" s="69">
        <v>6</v>
      </c>
      <c r="G50" s="67"/>
    </row>
    <row r="51" spans="1:8" ht="30" x14ac:dyDescent="0.25">
      <c r="A51" s="61"/>
      <c r="B51" s="62">
        <v>49</v>
      </c>
      <c r="C51" s="65" t="s">
        <v>1127</v>
      </c>
      <c r="D51" s="68" t="s">
        <v>1165</v>
      </c>
      <c r="E51" s="65" t="s">
        <v>1127</v>
      </c>
      <c r="F51" s="69">
        <v>24</v>
      </c>
      <c r="G51" s="67"/>
    </row>
    <row r="52" spans="1:8" ht="30" x14ac:dyDescent="0.25">
      <c r="A52" s="61"/>
      <c r="B52" s="62">
        <v>50</v>
      </c>
      <c r="C52" s="65" t="s">
        <v>1127</v>
      </c>
      <c r="D52" s="68" t="s">
        <v>1166</v>
      </c>
      <c r="E52" s="65" t="s">
        <v>1127</v>
      </c>
      <c r="F52" s="69">
        <v>20</v>
      </c>
      <c r="G52" s="67"/>
    </row>
    <row r="53" spans="1:8" ht="30" x14ac:dyDescent="0.25">
      <c r="A53" s="61"/>
      <c r="B53" s="71">
        <v>51</v>
      </c>
      <c r="C53" s="72" t="s">
        <v>1127</v>
      </c>
      <c r="D53" s="73" t="s">
        <v>1167</v>
      </c>
      <c r="E53" s="72" t="s">
        <v>1127</v>
      </c>
      <c r="F53" s="74">
        <v>16</v>
      </c>
      <c r="G53" s="75"/>
    </row>
    <row r="57" spans="1:8" ht="30" x14ac:dyDescent="0.25">
      <c r="C57" s="325" t="s">
        <v>3</v>
      </c>
      <c r="D57" s="326"/>
      <c r="E57" s="76" t="s">
        <v>1168</v>
      </c>
      <c r="F57" s="76" t="s">
        <v>1169</v>
      </c>
      <c r="G57" s="77" t="s">
        <v>1170</v>
      </c>
      <c r="H57" s="78" t="s">
        <v>1171</v>
      </c>
    </row>
    <row r="58" spans="1:8" x14ac:dyDescent="0.25">
      <c r="C58" s="79" t="s">
        <v>1172</v>
      </c>
      <c r="D58" s="80" t="s">
        <v>1173</v>
      </c>
      <c r="E58" s="63" t="s">
        <v>1174</v>
      </c>
      <c r="F58" s="63" t="s">
        <v>1126</v>
      </c>
      <c r="G58" s="81" t="s">
        <v>1129</v>
      </c>
      <c r="H58" s="82"/>
    </row>
    <row r="59" spans="1:8" x14ac:dyDescent="0.25">
      <c r="C59" s="62" t="s">
        <v>1175</v>
      </c>
      <c r="D59" s="83" t="s">
        <v>1176</v>
      </c>
      <c r="E59" s="65" t="s">
        <v>1174</v>
      </c>
      <c r="F59" s="65" t="s">
        <v>1126</v>
      </c>
      <c r="G59" s="84" t="s">
        <v>1126</v>
      </c>
      <c r="H59" s="82"/>
    </row>
    <row r="60" spans="1:8" x14ac:dyDescent="0.25">
      <c r="C60" s="62" t="s">
        <v>1177</v>
      </c>
      <c r="D60" s="83" t="s">
        <v>1178</v>
      </c>
      <c r="E60" s="65" t="s">
        <v>1174</v>
      </c>
      <c r="F60" s="65" t="s">
        <v>1126</v>
      </c>
      <c r="G60" s="84" t="s">
        <v>1126</v>
      </c>
      <c r="H60" s="82"/>
    </row>
    <row r="61" spans="1:8" x14ac:dyDescent="0.25">
      <c r="C61" s="62" t="s">
        <v>1179</v>
      </c>
      <c r="D61" s="83" t="s">
        <v>1180</v>
      </c>
      <c r="E61" s="65" t="s">
        <v>1181</v>
      </c>
      <c r="F61" s="65" t="s">
        <v>1126</v>
      </c>
      <c r="G61" s="84" t="s">
        <v>1126</v>
      </c>
      <c r="H61" s="82"/>
    </row>
    <row r="62" spans="1:8" x14ac:dyDescent="0.25">
      <c r="C62" s="62" t="s">
        <v>1182</v>
      </c>
      <c r="D62" s="83" t="s">
        <v>1183</v>
      </c>
      <c r="E62" s="65">
        <v>1</v>
      </c>
      <c r="F62" s="65" t="s">
        <v>1126</v>
      </c>
      <c r="G62" s="84" t="s">
        <v>1129</v>
      </c>
      <c r="H62" s="82"/>
    </row>
    <row r="63" spans="1:8" x14ac:dyDescent="0.25">
      <c r="C63" s="62" t="s">
        <v>1184</v>
      </c>
      <c r="D63" s="83" t="s">
        <v>1185</v>
      </c>
      <c r="E63" s="65">
        <v>1</v>
      </c>
      <c r="F63" s="65" t="s">
        <v>1126</v>
      </c>
      <c r="G63" s="84" t="s">
        <v>1126</v>
      </c>
      <c r="H63" s="82"/>
    </row>
    <row r="64" spans="1:8" x14ac:dyDescent="0.25">
      <c r="C64" s="62" t="s">
        <v>1186</v>
      </c>
      <c r="D64" s="83" t="s">
        <v>1187</v>
      </c>
      <c r="E64" s="65">
        <v>2</v>
      </c>
      <c r="F64" s="65" t="s">
        <v>1126</v>
      </c>
      <c r="G64" s="84" t="s">
        <v>1126</v>
      </c>
      <c r="H64" s="82"/>
    </row>
    <row r="65" spans="3:8" x14ac:dyDescent="0.25">
      <c r="C65" s="62" t="s">
        <v>1188</v>
      </c>
      <c r="D65" s="83" t="s">
        <v>1189</v>
      </c>
      <c r="E65" s="65">
        <v>2</v>
      </c>
      <c r="F65" s="65" t="s">
        <v>1126</v>
      </c>
      <c r="G65" s="84" t="s">
        <v>1126</v>
      </c>
      <c r="H65" s="82"/>
    </row>
    <row r="66" spans="3:8" x14ac:dyDescent="0.25">
      <c r="C66" s="62" t="s">
        <v>1190</v>
      </c>
      <c r="D66" s="83" t="s">
        <v>1191</v>
      </c>
      <c r="E66" s="65">
        <v>2</v>
      </c>
      <c r="F66" s="65" t="s">
        <v>1126</v>
      </c>
      <c r="G66" s="84" t="s">
        <v>1126</v>
      </c>
      <c r="H66" s="82"/>
    </row>
    <row r="67" spans="3:8" x14ac:dyDescent="0.25">
      <c r="C67" s="62" t="s">
        <v>1192</v>
      </c>
      <c r="D67" s="83" t="s">
        <v>131</v>
      </c>
      <c r="E67" s="65">
        <v>2</v>
      </c>
      <c r="F67" s="65" t="s">
        <v>1126</v>
      </c>
      <c r="G67" s="84" t="s">
        <v>1129</v>
      </c>
      <c r="H67" s="82"/>
    </row>
    <row r="68" spans="3:8" x14ac:dyDescent="0.25">
      <c r="C68" s="62" t="s">
        <v>1193</v>
      </c>
      <c r="D68" s="83" t="s">
        <v>969</v>
      </c>
      <c r="E68" s="65">
        <v>3</v>
      </c>
      <c r="F68" s="65" t="s">
        <v>1126</v>
      </c>
      <c r="G68" s="84" t="s">
        <v>1129</v>
      </c>
      <c r="H68" s="82"/>
    </row>
    <row r="69" spans="3:8" x14ac:dyDescent="0.25">
      <c r="C69" s="62" t="s">
        <v>1194</v>
      </c>
      <c r="D69" s="83" t="s">
        <v>1195</v>
      </c>
      <c r="E69" s="65">
        <v>4</v>
      </c>
      <c r="F69" s="65" t="s">
        <v>1129</v>
      </c>
      <c r="G69" s="84" t="s">
        <v>1127</v>
      </c>
      <c r="H69" s="82"/>
    </row>
    <row r="70" spans="3:8" x14ac:dyDescent="0.25">
      <c r="C70" s="62" t="s">
        <v>1196</v>
      </c>
      <c r="D70" s="83" t="s">
        <v>1197</v>
      </c>
      <c r="E70" s="65">
        <v>4</v>
      </c>
      <c r="F70" s="65" t="s">
        <v>1129</v>
      </c>
      <c r="G70" s="84" t="s">
        <v>1127</v>
      </c>
      <c r="H70" s="82"/>
    </row>
    <row r="71" spans="3:8" x14ac:dyDescent="0.25">
      <c r="C71" s="62" t="s">
        <v>1198</v>
      </c>
      <c r="D71" s="83" t="s">
        <v>1199</v>
      </c>
      <c r="E71" s="65">
        <v>4</v>
      </c>
      <c r="F71" s="65" t="s">
        <v>1129</v>
      </c>
      <c r="G71" s="84" t="s">
        <v>1127</v>
      </c>
      <c r="H71" s="82"/>
    </row>
    <row r="72" spans="3:8" x14ac:dyDescent="0.25">
      <c r="C72" s="62" t="s">
        <v>1200</v>
      </c>
      <c r="D72" s="83" t="s">
        <v>1201</v>
      </c>
      <c r="E72" s="65" t="s">
        <v>1181</v>
      </c>
      <c r="F72" s="65" t="s">
        <v>1127</v>
      </c>
      <c r="G72" s="84" t="s">
        <v>1127</v>
      </c>
      <c r="H72" s="82"/>
    </row>
    <row r="73" spans="3:8" x14ac:dyDescent="0.25">
      <c r="C73" s="62" t="s">
        <v>1202</v>
      </c>
      <c r="D73" s="83" t="s">
        <v>1203</v>
      </c>
      <c r="E73" s="65" t="s">
        <v>1181</v>
      </c>
      <c r="F73" s="65" t="s">
        <v>1127</v>
      </c>
      <c r="G73" s="84" t="s">
        <v>1127</v>
      </c>
      <c r="H73" s="82" t="s">
        <v>1204</v>
      </c>
    </row>
    <row r="74" spans="3:8" x14ac:dyDescent="0.25">
      <c r="C74" s="62" t="s">
        <v>1205</v>
      </c>
      <c r="D74" s="83" t="s">
        <v>1206</v>
      </c>
      <c r="E74" s="65" t="s">
        <v>1181</v>
      </c>
      <c r="F74" s="65" t="s">
        <v>1127</v>
      </c>
      <c r="G74" s="84" t="s">
        <v>1127</v>
      </c>
      <c r="H74" s="82" t="s">
        <v>1207</v>
      </c>
    </row>
    <row r="75" spans="3:8" x14ac:dyDescent="0.25">
      <c r="C75" s="62" t="s">
        <v>1208</v>
      </c>
      <c r="D75" s="83" t="s">
        <v>1209</v>
      </c>
      <c r="E75" s="65" t="s">
        <v>1181</v>
      </c>
      <c r="F75" s="65" t="s">
        <v>1127</v>
      </c>
      <c r="G75" s="84" t="s">
        <v>1127</v>
      </c>
      <c r="H75" s="82" t="s">
        <v>1207</v>
      </c>
    </row>
    <row r="76" spans="3:8" x14ac:dyDescent="0.25">
      <c r="C76" s="62" t="s">
        <v>1210</v>
      </c>
      <c r="D76" s="83" t="s">
        <v>1211</v>
      </c>
      <c r="E76" s="65" t="s">
        <v>1181</v>
      </c>
      <c r="F76" s="65" t="s">
        <v>1127</v>
      </c>
      <c r="G76" s="84" t="s">
        <v>1127</v>
      </c>
      <c r="H76" s="82" t="s">
        <v>1212</v>
      </c>
    </row>
    <row r="77" spans="3:8" x14ac:dyDescent="0.25">
      <c r="C77" s="62" t="s">
        <v>1213</v>
      </c>
      <c r="D77" s="83" t="s">
        <v>1214</v>
      </c>
      <c r="E77" s="65">
        <v>7</v>
      </c>
      <c r="F77" s="65" t="s">
        <v>1129</v>
      </c>
      <c r="G77" s="84" t="s">
        <v>1127</v>
      </c>
      <c r="H77" s="82"/>
    </row>
    <row r="78" spans="3:8" x14ac:dyDescent="0.25">
      <c r="C78" s="62" t="s">
        <v>1215</v>
      </c>
      <c r="D78" s="83" t="s">
        <v>1216</v>
      </c>
      <c r="E78" s="65" t="s">
        <v>1181</v>
      </c>
      <c r="F78" s="65" t="s">
        <v>1127</v>
      </c>
      <c r="G78" s="84" t="s">
        <v>1127</v>
      </c>
      <c r="H78" s="82"/>
    </row>
    <row r="79" spans="3:8" x14ac:dyDescent="0.25">
      <c r="C79" s="62" t="s">
        <v>1217</v>
      </c>
      <c r="D79" s="83" t="s">
        <v>1218</v>
      </c>
      <c r="E79" s="65" t="s">
        <v>1181</v>
      </c>
      <c r="F79" s="65" t="s">
        <v>1127</v>
      </c>
      <c r="G79" s="84" t="s">
        <v>1127</v>
      </c>
      <c r="H79" s="82" t="s">
        <v>1219</v>
      </c>
    </row>
    <row r="80" spans="3:8" x14ac:dyDescent="0.25">
      <c r="C80" s="62" t="s">
        <v>1220</v>
      </c>
      <c r="D80" s="83" t="s">
        <v>1221</v>
      </c>
      <c r="E80" s="65">
        <v>3</v>
      </c>
      <c r="F80" s="65" t="s">
        <v>1127</v>
      </c>
      <c r="G80" s="84" t="s">
        <v>1127</v>
      </c>
      <c r="H80" s="82"/>
    </row>
    <row r="81" spans="3:8" x14ac:dyDescent="0.25">
      <c r="C81" s="62" t="s">
        <v>1222</v>
      </c>
      <c r="D81" s="83" t="s">
        <v>1223</v>
      </c>
      <c r="E81" s="65">
        <v>7</v>
      </c>
      <c r="F81" s="65" t="s">
        <v>1129</v>
      </c>
      <c r="G81" s="84" t="s">
        <v>1127</v>
      </c>
      <c r="H81" s="82"/>
    </row>
    <row r="82" spans="3:8" x14ac:dyDescent="0.25">
      <c r="C82" s="62" t="s">
        <v>1224</v>
      </c>
      <c r="D82" s="83" t="s">
        <v>1225</v>
      </c>
      <c r="E82" s="65" t="s">
        <v>1174</v>
      </c>
      <c r="F82" s="65" t="s">
        <v>1127</v>
      </c>
      <c r="G82" s="84" t="s">
        <v>1127</v>
      </c>
      <c r="H82" s="82" t="s">
        <v>1207</v>
      </c>
    </row>
    <row r="83" spans="3:8" x14ac:dyDescent="0.25">
      <c r="C83" s="62" t="s">
        <v>1226</v>
      </c>
      <c r="D83" s="83" t="s">
        <v>1227</v>
      </c>
      <c r="E83" s="65">
        <v>5</v>
      </c>
      <c r="F83" s="65" t="s">
        <v>1129</v>
      </c>
      <c r="G83" s="84" t="s">
        <v>1127</v>
      </c>
      <c r="H83" s="82"/>
    </row>
    <row r="84" spans="3:8" ht="30" x14ac:dyDescent="0.25">
      <c r="C84" s="62" t="s">
        <v>1228</v>
      </c>
      <c r="D84" s="83" t="s">
        <v>1229</v>
      </c>
      <c r="E84" s="65">
        <v>5</v>
      </c>
      <c r="F84" s="65" t="s">
        <v>1129</v>
      </c>
      <c r="G84" s="84" t="s">
        <v>1127</v>
      </c>
      <c r="H84" s="82"/>
    </row>
    <row r="85" spans="3:8" x14ac:dyDescent="0.25">
      <c r="C85" s="62" t="s">
        <v>1230</v>
      </c>
      <c r="D85" s="83" t="s">
        <v>1231</v>
      </c>
      <c r="E85" s="65">
        <v>5</v>
      </c>
      <c r="F85" s="65" t="s">
        <v>1129</v>
      </c>
      <c r="G85" s="84" t="s">
        <v>1127</v>
      </c>
      <c r="H85" s="82"/>
    </row>
    <row r="86" spans="3:8" x14ac:dyDescent="0.25">
      <c r="C86" s="62" t="s">
        <v>1232</v>
      </c>
      <c r="D86" s="83" t="s">
        <v>1233</v>
      </c>
      <c r="E86" s="65">
        <v>6</v>
      </c>
      <c r="F86" s="65" t="s">
        <v>1127</v>
      </c>
      <c r="G86" s="84" t="s">
        <v>1127</v>
      </c>
      <c r="H86" s="82" t="s">
        <v>1219</v>
      </c>
    </row>
    <row r="87" spans="3:8" x14ac:dyDescent="0.25">
      <c r="C87" s="62" t="s">
        <v>1234</v>
      </c>
      <c r="D87" s="83" t="s">
        <v>1235</v>
      </c>
      <c r="E87" s="65" t="s">
        <v>1236</v>
      </c>
      <c r="F87" s="65" t="s">
        <v>1126</v>
      </c>
      <c r="G87" s="84" t="s">
        <v>1126</v>
      </c>
      <c r="H87" s="82"/>
    </row>
    <row r="88" spans="3:8" x14ac:dyDescent="0.25">
      <c r="C88" s="62" t="s">
        <v>1237</v>
      </c>
      <c r="D88" s="83" t="s">
        <v>1238</v>
      </c>
      <c r="E88" s="65">
        <v>6</v>
      </c>
      <c r="F88" s="65" t="s">
        <v>1127</v>
      </c>
      <c r="G88" s="84" t="s">
        <v>1127</v>
      </c>
      <c r="H88" s="82"/>
    </row>
    <row r="89" spans="3:8" x14ac:dyDescent="0.25">
      <c r="C89" s="62" t="s">
        <v>1239</v>
      </c>
      <c r="D89" s="83" t="s">
        <v>1240</v>
      </c>
      <c r="E89" s="65" t="s">
        <v>1181</v>
      </c>
      <c r="F89" s="65" t="s">
        <v>1127</v>
      </c>
      <c r="G89" s="84" t="s">
        <v>1127</v>
      </c>
      <c r="H89" s="82"/>
    </row>
    <row r="90" spans="3:8" x14ac:dyDescent="0.25">
      <c r="C90" s="62" t="s">
        <v>1241</v>
      </c>
      <c r="D90" s="83" t="s">
        <v>1242</v>
      </c>
      <c r="E90" s="65" t="s">
        <v>1236</v>
      </c>
      <c r="F90" s="65" t="s">
        <v>1126</v>
      </c>
      <c r="G90" s="84" t="s">
        <v>1126</v>
      </c>
      <c r="H90" s="82"/>
    </row>
    <row r="91" spans="3:8" x14ac:dyDescent="0.25">
      <c r="C91" s="62" t="s">
        <v>1243</v>
      </c>
      <c r="D91" s="83" t="s">
        <v>1244</v>
      </c>
      <c r="E91" s="65" t="s">
        <v>1236</v>
      </c>
      <c r="F91" s="65" t="s">
        <v>1126</v>
      </c>
      <c r="G91" s="84" t="s">
        <v>1126</v>
      </c>
      <c r="H91" s="82"/>
    </row>
    <row r="92" spans="3:8" ht="30" x14ac:dyDescent="0.25">
      <c r="C92" s="62" t="s">
        <v>1245</v>
      </c>
      <c r="D92" s="83" t="s">
        <v>1246</v>
      </c>
      <c r="E92" s="65" t="s">
        <v>1181</v>
      </c>
      <c r="F92" s="65" t="s">
        <v>1127</v>
      </c>
      <c r="G92" s="84" t="s">
        <v>1127</v>
      </c>
      <c r="H92" s="82" t="s">
        <v>1219</v>
      </c>
    </row>
    <row r="93" spans="3:8" ht="30" x14ac:dyDescent="0.25">
      <c r="C93" s="62" t="s">
        <v>1247</v>
      </c>
      <c r="D93" s="83" t="s">
        <v>1248</v>
      </c>
      <c r="E93" s="65" t="s">
        <v>1236</v>
      </c>
      <c r="F93" s="65" t="s">
        <v>1126</v>
      </c>
      <c r="G93" s="84" t="s">
        <v>1126</v>
      </c>
      <c r="H93" s="82"/>
    </row>
    <row r="94" spans="3:8" x14ac:dyDescent="0.25">
      <c r="C94" s="71" t="s">
        <v>1249</v>
      </c>
      <c r="D94" s="85" t="s">
        <v>1250</v>
      </c>
      <c r="E94" s="72" t="s">
        <v>1181</v>
      </c>
      <c r="F94" s="72" t="s">
        <v>1127</v>
      </c>
      <c r="G94" s="86" t="s">
        <v>1127</v>
      </c>
      <c r="H94" s="87" t="s">
        <v>1207</v>
      </c>
    </row>
  </sheetData>
  <mergeCells count="1">
    <mergeCell ref="C57:D57"/>
  </mergeCells>
  <conditionalFormatting sqref="C3:C53">
    <cfRule type="containsText" dxfId="30" priority="13" stopIfTrue="1" operator="containsText" text="Yes">
      <formula>NOT(ISERROR(SEARCH("Yes",C3)))</formula>
    </cfRule>
    <cfRule type="containsText" dxfId="29" priority="14" stopIfTrue="1" operator="containsText" text="In Progress">
      <formula>NOT(ISERROR(SEARCH("In Progress",C3)))</formula>
    </cfRule>
    <cfRule type="containsText" dxfId="28" priority="15" stopIfTrue="1" operator="containsText" text="No">
      <formula>NOT(ISERROR(SEARCH("No",C3)))</formula>
    </cfRule>
    <cfRule type="containsText" dxfId="27" priority="16" operator="containsText" text="Yes">
      <formula>NOT(ISERROR(SEARCH("Yes",C3)))</formula>
    </cfRule>
    <cfRule type="containsText" dxfId="26" priority="17" operator="containsText" text="In Progress">
      <formula>NOT(ISERROR(SEARCH("In Progress",C3)))</formula>
    </cfRule>
    <cfRule type="containsText" dxfId="25" priority="18" operator="containsText" text="No">
      <formula>NOT(ISERROR(SEARCH("No",C3)))</formula>
    </cfRule>
  </conditionalFormatting>
  <conditionalFormatting sqref="E3:E53">
    <cfRule type="containsText" dxfId="24" priority="7" stopIfTrue="1" operator="containsText" text="Yes">
      <formula>NOT(ISERROR(SEARCH("Yes",E3)))</formula>
    </cfRule>
    <cfRule type="containsText" dxfId="23" priority="8" stopIfTrue="1" operator="containsText" text="In Progress">
      <formula>NOT(ISERROR(SEARCH("In Progress",E3)))</formula>
    </cfRule>
    <cfRule type="containsText" dxfId="22" priority="9" stopIfTrue="1" operator="containsText" text="No">
      <formula>NOT(ISERROR(SEARCH("No",E3)))</formula>
    </cfRule>
    <cfRule type="containsText" dxfId="21" priority="10" operator="containsText" text="Yes">
      <formula>NOT(ISERROR(SEARCH("Yes",E3)))</formula>
    </cfRule>
    <cfRule type="containsText" dxfId="20" priority="11" operator="containsText" text="In Progress">
      <formula>NOT(ISERROR(SEARCH("In Progress",E3)))</formula>
    </cfRule>
    <cfRule type="containsText" dxfId="19" priority="12" operator="containsText" text="No">
      <formula>NOT(ISERROR(SEARCH("No",E3)))</formula>
    </cfRule>
  </conditionalFormatting>
  <conditionalFormatting sqref="F58:G94">
    <cfRule type="containsText" dxfId="18" priority="1" operator="containsText" text="Yes">
      <formula>NOT(ISERROR(SEARCH("Yes",F58)))</formula>
    </cfRule>
    <cfRule type="containsText" dxfId="17" priority="2" operator="containsText" text="In Progress">
      <formula>NOT(ISERROR(SEARCH("In Progress",F58)))</formula>
    </cfRule>
    <cfRule type="containsText" dxfId="16" priority="3" operator="containsText" text="No">
      <formula>NOT(ISERROR(SEARCH("No",F58)))</formula>
    </cfRule>
  </conditionalFormatting>
  <conditionalFormatting sqref="F58:G94">
    <cfRule type="containsText" dxfId="15" priority="4" operator="containsText" text="Yes">
      <formula>NOT(ISERROR(SEARCH("Yes",F58)))</formula>
    </cfRule>
    <cfRule type="containsText" dxfId="14" priority="5" operator="containsText" text="In Progress">
      <formula>NOT(ISERROR(SEARCH("In Progress",F58)))</formula>
    </cfRule>
    <cfRule type="containsText" dxfId="13" priority="6" operator="containsText" text="No">
      <formula>NOT(ISERROR(SEARCH("No",F58)))</formula>
    </cfRule>
  </conditionalFormatting>
  <dataValidations count="1">
    <dataValidation type="list" allowBlank="1" showInputMessage="1" showErrorMessage="1" sqref="C3:C53 E3:E53 F58:G94" xr:uid="{58B80A9B-2A0A-40A4-8965-5827D9E0A331}">
      <formula1>$U$2:$U$4</formula1>
    </dataValidation>
  </dataValidation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30248-A063-4F33-9766-08AF3807F9EE}">
  <sheetPr codeName="Sheet2">
    <tabColor rgb="FFFFFF00"/>
  </sheetPr>
  <dimension ref="B2:G39"/>
  <sheetViews>
    <sheetView workbookViewId="0">
      <selection activeCell="B34" sqref="B34:B37"/>
    </sheetView>
  </sheetViews>
  <sheetFormatPr defaultRowHeight="15" x14ac:dyDescent="0.25"/>
  <cols>
    <col min="2" max="2" width="12.5703125" customWidth="1"/>
    <col min="3" max="3" width="50.5703125" customWidth="1"/>
    <col min="4" max="4" width="21.7109375" customWidth="1"/>
    <col min="5" max="5" width="16.42578125" customWidth="1"/>
    <col min="6" max="6" width="18.5703125" customWidth="1"/>
    <col min="7" max="7" width="45.85546875" customWidth="1"/>
  </cols>
  <sheetData>
    <row r="2" spans="2:7" ht="30" x14ac:dyDescent="0.25">
      <c r="B2" s="325" t="s">
        <v>3</v>
      </c>
      <c r="C2" s="326"/>
      <c r="D2" s="76" t="s">
        <v>1168</v>
      </c>
      <c r="E2" s="76" t="s">
        <v>1169</v>
      </c>
      <c r="F2" s="77" t="s">
        <v>1170</v>
      </c>
      <c r="G2" s="78" t="s">
        <v>1171</v>
      </c>
    </row>
    <row r="3" spans="2:7" x14ac:dyDescent="0.25">
      <c r="B3" s="79" t="s">
        <v>1172</v>
      </c>
      <c r="C3" s="80" t="s">
        <v>1173</v>
      </c>
      <c r="D3" s="63" t="s">
        <v>1174</v>
      </c>
      <c r="E3" s="63" t="s">
        <v>1126</v>
      </c>
      <c r="F3" s="81" t="s">
        <v>1129</v>
      </c>
      <c r="G3" s="82"/>
    </row>
    <row r="4" spans="2:7" x14ac:dyDescent="0.25">
      <c r="B4" s="62" t="s">
        <v>1175</v>
      </c>
      <c r="C4" s="83" t="s">
        <v>1176</v>
      </c>
      <c r="D4" s="65" t="s">
        <v>1174</v>
      </c>
      <c r="E4" s="65" t="s">
        <v>1126</v>
      </c>
      <c r="F4" s="84" t="s">
        <v>1126</v>
      </c>
      <c r="G4" s="82"/>
    </row>
    <row r="5" spans="2:7" ht="30" x14ac:dyDescent="0.25">
      <c r="B5" s="62" t="s">
        <v>1177</v>
      </c>
      <c r="C5" s="83" t="s">
        <v>1178</v>
      </c>
      <c r="D5" s="65" t="s">
        <v>1174</v>
      </c>
      <c r="E5" s="65" t="s">
        <v>1126</v>
      </c>
      <c r="F5" s="84" t="s">
        <v>1126</v>
      </c>
      <c r="G5" s="82"/>
    </row>
    <row r="6" spans="2:7" x14ac:dyDescent="0.25">
      <c r="B6" s="62" t="s">
        <v>1179</v>
      </c>
      <c r="C6" s="83" t="s">
        <v>1180</v>
      </c>
      <c r="D6" s="65" t="s">
        <v>1181</v>
      </c>
      <c r="E6" s="65" t="s">
        <v>1126</v>
      </c>
      <c r="F6" s="84" t="s">
        <v>1126</v>
      </c>
      <c r="G6" s="82"/>
    </row>
    <row r="7" spans="2:7" x14ac:dyDescent="0.25">
      <c r="B7" s="62" t="s">
        <v>1182</v>
      </c>
      <c r="C7" s="83" t="s">
        <v>1183</v>
      </c>
      <c r="D7" s="65">
        <v>1</v>
      </c>
      <c r="E7" s="65" t="s">
        <v>1126</v>
      </c>
      <c r="F7" s="84" t="s">
        <v>1129</v>
      </c>
      <c r="G7" s="82" t="s">
        <v>1251</v>
      </c>
    </row>
    <row r="8" spans="2:7" x14ac:dyDescent="0.25">
      <c r="B8" s="62" t="s">
        <v>1184</v>
      </c>
      <c r="C8" s="83" t="s">
        <v>1185</v>
      </c>
      <c r="D8" s="65">
        <v>1</v>
      </c>
      <c r="E8" s="65" t="s">
        <v>1126</v>
      </c>
      <c r="F8" s="84" t="s">
        <v>1126</v>
      </c>
      <c r="G8" s="82"/>
    </row>
    <row r="9" spans="2:7" x14ac:dyDescent="0.25">
      <c r="B9" s="62" t="s">
        <v>1186</v>
      </c>
      <c r="C9" s="83" t="s">
        <v>1187</v>
      </c>
      <c r="D9" s="65">
        <v>2</v>
      </c>
      <c r="E9" s="65" t="s">
        <v>1126</v>
      </c>
      <c r="F9" s="84" t="s">
        <v>1126</v>
      </c>
      <c r="G9" s="82"/>
    </row>
    <row r="10" spans="2:7" x14ac:dyDescent="0.25">
      <c r="B10" s="62" t="s">
        <v>1188</v>
      </c>
      <c r="C10" s="83" t="s">
        <v>1189</v>
      </c>
      <c r="D10" s="65">
        <v>2</v>
      </c>
      <c r="E10" s="65" t="s">
        <v>1126</v>
      </c>
      <c r="F10" s="84" t="s">
        <v>1126</v>
      </c>
      <c r="G10" s="82"/>
    </row>
    <row r="11" spans="2:7" x14ac:dyDescent="0.25">
      <c r="B11" s="62" t="s">
        <v>1190</v>
      </c>
      <c r="C11" s="83" t="s">
        <v>1191</v>
      </c>
      <c r="D11" s="65">
        <v>2</v>
      </c>
      <c r="E11" s="65" t="s">
        <v>1126</v>
      </c>
      <c r="F11" s="84" t="s">
        <v>1126</v>
      </c>
      <c r="G11" s="82"/>
    </row>
    <row r="12" spans="2:7" x14ac:dyDescent="0.25">
      <c r="B12" s="62" t="s">
        <v>1192</v>
      </c>
      <c r="C12" s="83" t="s">
        <v>131</v>
      </c>
      <c r="D12" s="65">
        <v>2</v>
      </c>
      <c r="E12" s="65" t="s">
        <v>1126</v>
      </c>
      <c r="F12" s="84" t="s">
        <v>1129</v>
      </c>
      <c r="G12" s="82" t="s">
        <v>1252</v>
      </c>
    </row>
    <row r="13" spans="2:7" x14ac:dyDescent="0.25">
      <c r="B13" s="62" t="s">
        <v>1193</v>
      </c>
      <c r="C13" s="83" t="s">
        <v>969</v>
      </c>
      <c r="D13" s="65">
        <v>3</v>
      </c>
      <c r="E13" s="65" t="s">
        <v>1126</v>
      </c>
      <c r="F13" s="84" t="s">
        <v>1129</v>
      </c>
      <c r="G13" s="82" t="s">
        <v>1253</v>
      </c>
    </row>
    <row r="14" spans="2:7" x14ac:dyDescent="0.25">
      <c r="B14" s="62" t="s">
        <v>1194</v>
      </c>
      <c r="C14" s="83" t="s">
        <v>1195</v>
      </c>
      <c r="D14" s="65">
        <v>4</v>
      </c>
      <c r="E14" s="65" t="s">
        <v>1129</v>
      </c>
      <c r="F14" s="84" t="s">
        <v>1127</v>
      </c>
      <c r="G14" s="82"/>
    </row>
    <row r="15" spans="2:7" x14ac:dyDescent="0.25">
      <c r="B15" s="62" t="s">
        <v>1196</v>
      </c>
      <c r="C15" s="83" t="s">
        <v>1197</v>
      </c>
      <c r="D15" s="65">
        <v>4</v>
      </c>
      <c r="E15" s="65" t="s">
        <v>1129</v>
      </c>
      <c r="F15" s="84" t="s">
        <v>1127</v>
      </c>
      <c r="G15" s="82"/>
    </row>
    <row r="16" spans="2:7" x14ac:dyDescent="0.25">
      <c r="B16" s="62" t="s">
        <v>1198</v>
      </c>
      <c r="C16" s="83" t="s">
        <v>1199</v>
      </c>
      <c r="D16" s="65">
        <v>4</v>
      </c>
      <c r="E16" s="65" t="s">
        <v>1129</v>
      </c>
      <c r="F16" s="84" t="s">
        <v>1127</v>
      </c>
      <c r="G16" s="82"/>
    </row>
    <row r="17" spans="2:7" x14ac:dyDescent="0.25">
      <c r="B17" s="62" t="s">
        <v>1200</v>
      </c>
      <c r="C17" s="83" t="s">
        <v>1201</v>
      </c>
      <c r="D17" s="65" t="s">
        <v>1181</v>
      </c>
      <c r="E17" s="65" t="s">
        <v>1127</v>
      </c>
      <c r="F17" s="84" t="s">
        <v>1127</v>
      </c>
      <c r="G17" s="82"/>
    </row>
    <row r="18" spans="2:7" x14ac:dyDescent="0.25">
      <c r="B18" s="62" t="s">
        <v>1202</v>
      </c>
      <c r="C18" s="83" t="s">
        <v>1203</v>
      </c>
      <c r="D18" s="65" t="s">
        <v>1181</v>
      </c>
      <c r="E18" s="65" t="s">
        <v>1127</v>
      </c>
      <c r="F18" s="84" t="s">
        <v>1127</v>
      </c>
      <c r="G18" s="82" t="s">
        <v>1204</v>
      </c>
    </row>
    <row r="19" spans="2:7" x14ac:dyDescent="0.25">
      <c r="B19" s="62" t="s">
        <v>1205</v>
      </c>
      <c r="C19" s="83" t="s">
        <v>1206</v>
      </c>
      <c r="D19" s="65" t="s">
        <v>1181</v>
      </c>
      <c r="E19" s="65" t="s">
        <v>1127</v>
      </c>
      <c r="F19" s="84" t="s">
        <v>1127</v>
      </c>
      <c r="G19" s="82" t="s">
        <v>1207</v>
      </c>
    </row>
    <row r="20" spans="2:7" x14ac:dyDescent="0.25">
      <c r="B20" s="62" t="s">
        <v>1208</v>
      </c>
      <c r="C20" s="83" t="s">
        <v>1209</v>
      </c>
      <c r="D20" s="65" t="s">
        <v>1181</v>
      </c>
      <c r="E20" s="65" t="s">
        <v>1127</v>
      </c>
      <c r="F20" s="84" t="s">
        <v>1127</v>
      </c>
      <c r="G20" s="82" t="s">
        <v>1207</v>
      </c>
    </row>
    <row r="21" spans="2:7" x14ac:dyDescent="0.25">
      <c r="B21" s="62" t="s">
        <v>1210</v>
      </c>
      <c r="C21" s="83" t="s">
        <v>1211</v>
      </c>
      <c r="D21" s="65" t="s">
        <v>1181</v>
      </c>
      <c r="E21" s="65" t="s">
        <v>1127</v>
      </c>
      <c r="F21" s="84" t="s">
        <v>1127</v>
      </c>
      <c r="G21" s="82" t="s">
        <v>1212</v>
      </c>
    </row>
    <row r="22" spans="2:7" x14ac:dyDescent="0.25">
      <c r="B22" s="62" t="s">
        <v>1213</v>
      </c>
      <c r="C22" s="83" t="s">
        <v>1214</v>
      </c>
      <c r="D22" s="65">
        <v>7</v>
      </c>
      <c r="E22" s="65" t="s">
        <v>1129</v>
      </c>
      <c r="F22" s="84" t="s">
        <v>1127</v>
      </c>
      <c r="G22" s="82"/>
    </row>
    <row r="23" spans="2:7" x14ac:dyDescent="0.25">
      <c r="B23" s="62" t="s">
        <v>1215</v>
      </c>
      <c r="C23" s="83" t="s">
        <v>1216</v>
      </c>
      <c r="D23" s="65" t="s">
        <v>1181</v>
      </c>
      <c r="E23" s="65" t="s">
        <v>1127</v>
      </c>
      <c r="F23" s="84" t="s">
        <v>1127</v>
      </c>
      <c r="G23" s="82"/>
    </row>
    <row r="24" spans="2:7" x14ac:dyDescent="0.25">
      <c r="B24" s="62" t="s">
        <v>1217</v>
      </c>
      <c r="C24" s="83" t="s">
        <v>1218</v>
      </c>
      <c r="D24" s="65" t="s">
        <v>1181</v>
      </c>
      <c r="E24" s="65" t="s">
        <v>1127</v>
      </c>
      <c r="F24" s="84" t="s">
        <v>1127</v>
      </c>
      <c r="G24" s="82" t="s">
        <v>1219</v>
      </c>
    </row>
    <row r="25" spans="2:7" x14ac:dyDescent="0.25">
      <c r="B25" s="62" t="s">
        <v>1220</v>
      </c>
      <c r="C25" s="83" t="s">
        <v>1221</v>
      </c>
      <c r="D25" s="65">
        <v>3</v>
      </c>
      <c r="E25" s="65" t="s">
        <v>1127</v>
      </c>
      <c r="F25" s="84" t="s">
        <v>1127</v>
      </c>
      <c r="G25" s="82"/>
    </row>
    <row r="26" spans="2:7" x14ac:dyDescent="0.25">
      <c r="B26" s="62" t="s">
        <v>1222</v>
      </c>
      <c r="C26" s="83" t="s">
        <v>1223</v>
      </c>
      <c r="D26" s="65">
        <v>7</v>
      </c>
      <c r="E26" s="65" t="s">
        <v>1129</v>
      </c>
      <c r="F26" s="84" t="s">
        <v>1127</v>
      </c>
      <c r="G26" s="82"/>
    </row>
    <row r="27" spans="2:7" x14ac:dyDescent="0.25">
      <c r="B27" s="62" t="s">
        <v>1224</v>
      </c>
      <c r="C27" s="83" t="s">
        <v>1225</v>
      </c>
      <c r="D27" s="65" t="s">
        <v>1174</v>
      </c>
      <c r="E27" s="65" t="s">
        <v>1127</v>
      </c>
      <c r="F27" s="84" t="s">
        <v>1127</v>
      </c>
      <c r="G27" s="82" t="s">
        <v>1207</v>
      </c>
    </row>
    <row r="28" spans="2:7" ht="30" x14ac:dyDescent="0.25">
      <c r="B28" s="62" t="s">
        <v>1226</v>
      </c>
      <c r="C28" s="83" t="s">
        <v>1227</v>
      </c>
      <c r="D28" s="65">
        <v>5</v>
      </c>
      <c r="E28" s="65" t="s">
        <v>1129</v>
      </c>
      <c r="F28" s="84" t="s">
        <v>1127</v>
      </c>
      <c r="G28" s="82"/>
    </row>
    <row r="29" spans="2:7" ht="30" x14ac:dyDescent="0.25">
      <c r="B29" s="62" t="s">
        <v>1228</v>
      </c>
      <c r="C29" s="83" t="s">
        <v>1229</v>
      </c>
      <c r="D29" s="65">
        <v>5</v>
      </c>
      <c r="E29" s="65" t="s">
        <v>1129</v>
      </c>
      <c r="F29" s="84" t="s">
        <v>1127</v>
      </c>
      <c r="G29" s="82"/>
    </row>
    <row r="30" spans="2:7" ht="30" x14ac:dyDescent="0.25">
      <c r="B30" s="62" t="s">
        <v>1230</v>
      </c>
      <c r="C30" s="83" t="s">
        <v>1231</v>
      </c>
      <c r="D30" s="65">
        <v>5</v>
      </c>
      <c r="E30" s="65" t="s">
        <v>1129</v>
      </c>
      <c r="F30" s="84" t="s">
        <v>1127</v>
      </c>
      <c r="G30" s="82"/>
    </row>
    <row r="31" spans="2:7" ht="30" x14ac:dyDescent="0.25">
      <c r="B31" s="62" t="s">
        <v>1232</v>
      </c>
      <c r="C31" s="83" t="s">
        <v>1233</v>
      </c>
      <c r="D31" s="65">
        <v>6</v>
      </c>
      <c r="E31" s="65" t="s">
        <v>1127</v>
      </c>
      <c r="F31" s="84" t="s">
        <v>1127</v>
      </c>
      <c r="G31" s="82" t="s">
        <v>1219</v>
      </c>
    </row>
    <row r="32" spans="2:7" ht="30" x14ac:dyDescent="0.25">
      <c r="B32" s="62" t="s">
        <v>1234</v>
      </c>
      <c r="C32" s="83" t="s">
        <v>1235</v>
      </c>
      <c r="D32" s="65" t="s">
        <v>1236</v>
      </c>
      <c r="E32" s="65" t="s">
        <v>1126</v>
      </c>
      <c r="F32" s="84" t="s">
        <v>1126</v>
      </c>
      <c r="G32" s="82"/>
    </row>
    <row r="33" spans="2:7" ht="30" x14ac:dyDescent="0.25">
      <c r="B33" s="62" t="s">
        <v>1237</v>
      </c>
      <c r="C33" s="83" t="s">
        <v>1238</v>
      </c>
      <c r="D33" s="65">
        <v>6</v>
      </c>
      <c r="E33" s="65" t="s">
        <v>1127</v>
      </c>
      <c r="F33" s="84" t="s">
        <v>1127</v>
      </c>
      <c r="G33" s="82"/>
    </row>
    <row r="34" spans="2:7" ht="30" x14ac:dyDescent="0.25">
      <c r="B34" s="62" t="s">
        <v>1239</v>
      </c>
      <c r="C34" s="83" t="s">
        <v>1240</v>
      </c>
      <c r="D34" s="65" t="s">
        <v>1181</v>
      </c>
      <c r="E34" s="65" t="s">
        <v>1127</v>
      </c>
      <c r="F34" s="84" t="s">
        <v>1127</v>
      </c>
      <c r="G34" s="82"/>
    </row>
    <row r="35" spans="2:7" x14ac:dyDescent="0.25">
      <c r="B35" s="62" t="s">
        <v>1241</v>
      </c>
      <c r="C35" s="83" t="s">
        <v>1242</v>
      </c>
      <c r="D35" s="65" t="s">
        <v>1236</v>
      </c>
      <c r="E35" s="65" t="s">
        <v>1126</v>
      </c>
      <c r="F35" s="84" t="s">
        <v>1126</v>
      </c>
      <c r="G35" s="82"/>
    </row>
    <row r="36" spans="2:7" x14ac:dyDescent="0.25">
      <c r="B36" s="62" t="s">
        <v>1243</v>
      </c>
      <c r="C36" s="83" t="s">
        <v>1244</v>
      </c>
      <c r="D36" s="65" t="s">
        <v>1236</v>
      </c>
      <c r="E36" s="65" t="s">
        <v>1126</v>
      </c>
      <c r="F36" s="84" t="s">
        <v>1126</v>
      </c>
      <c r="G36" s="82"/>
    </row>
    <row r="37" spans="2:7" ht="30" x14ac:dyDescent="0.25">
      <c r="B37" s="62" t="s">
        <v>1245</v>
      </c>
      <c r="C37" s="83" t="s">
        <v>1246</v>
      </c>
      <c r="D37" s="65" t="s">
        <v>1181</v>
      </c>
      <c r="E37" s="65" t="s">
        <v>1127</v>
      </c>
      <c r="F37" s="84" t="s">
        <v>1127</v>
      </c>
      <c r="G37" s="82" t="s">
        <v>1219</v>
      </c>
    </row>
    <row r="38" spans="2:7" ht="30" x14ac:dyDescent="0.25">
      <c r="B38" s="62" t="s">
        <v>1247</v>
      </c>
      <c r="C38" s="83" t="s">
        <v>1248</v>
      </c>
      <c r="D38" s="65" t="s">
        <v>1236</v>
      </c>
      <c r="E38" s="65" t="s">
        <v>1126</v>
      </c>
      <c r="F38" s="84" t="s">
        <v>1126</v>
      </c>
      <c r="G38" s="82"/>
    </row>
    <row r="39" spans="2:7" x14ac:dyDescent="0.25">
      <c r="B39" s="71" t="s">
        <v>1249</v>
      </c>
      <c r="C39" s="85" t="s">
        <v>1250</v>
      </c>
      <c r="D39" s="72" t="s">
        <v>1181</v>
      </c>
      <c r="E39" s="72" t="s">
        <v>1127</v>
      </c>
      <c r="F39" s="86" t="s">
        <v>1127</v>
      </c>
      <c r="G39" s="87" t="s">
        <v>1207</v>
      </c>
    </row>
  </sheetData>
  <mergeCells count="1">
    <mergeCell ref="B2:C2"/>
  </mergeCells>
  <conditionalFormatting sqref="E3:F39">
    <cfRule type="containsText" dxfId="12" priority="1" operator="containsText" text="Yes">
      <formula>NOT(ISERROR(SEARCH("Yes",E3)))</formula>
    </cfRule>
    <cfRule type="containsText" dxfId="11" priority="2" operator="containsText" text="In Progress">
      <formula>NOT(ISERROR(SEARCH("In Progress",E3)))</formula>
    </cfRule>
    <cfRule type="containsText" dxfId="10" priority="3" operator="containsText" text="No">
      <formula>NOT(ISERROR(SEARCH("No",E3)))</formula>
    </cfRule>
  </conditionalFormatting>
  <conditionalFormatting sqref="E3:F39">
    <cfRule type="containsText" dxfId="9" priority="4" operator="containsText" text="Yes">
      <formula>NOT(ISERROR(SEARCH("Yes",E3)))</formula>
    </cfRule>
    <cfRule type="containsText" dxfId="8" priority="5" operator="containsText" text="In Progress">
      <formula>NOT(ISERROR(SEARCH("In Progress",E3)))</formula>
    </cfRule>
    <cfRule type="containsText" dxfId="7" priority="6" operator="containsText" text="No">
      <formula>NOT(ISERROR(SEARCH("No",E3)))</formula>
    </cfRule>
  </conditionalFormatting>
  <dataValidations count="1">
    <dataValidation type="list" allowBlank="1" showInputMessage="1" showErrorMessage="1" sqref="E3:F39" xr:uid="{DB369BE2-54C4-457D-960F-7F2970759EC6}">
      <formula1>$AD$3:$AD$5</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79A40-BABB-4643-87FC-8779711C6A6E}">
  <sheetPr codeName="Sheet4"/>
  <dimension ref="A1:Y74"/>
  <sheetViews>
    <sheetView tabSelected="1" topLeftCell="A7" zoomScaleNormal="100" workbookViewId="0"/>
  </sheetViews>
  <sheetFormatPr defaultRowHeight="15" x14ac:dyDescent="0.25"/>
  <cols>
    <col min="1" max="1" width="9.140625" style="137"/>
    <col min="2" max="2" width="9.140625" style="22" bestFit="1" customWidth="1"/>
    <col min="3" max="9" width="10.28515625" style="22" customWidth="1"/>
    <col min="10" max="10" width="10.28515625" style="21" customWidth="1"/>
    <col min="11" max="11" width="34.28515625" style="21" customWidth="1"/>
    <col min="12" max="20" width="3.5703125" style="21" customWidth="1"/>
    <col min="21" max="16384" width="9.140625" style="21"/>
  </cols>
  <sheetData>
    <row r="1" spans="1:25" x14ac:dyDescent="0.25">
      <c r="D1" s="23"/>
      <c r="E1" s="23"/>
      <c r="F1" s="23"/>
      <c r="G1" s="23"/>
      <c r="H1" s="23"/>
      <c r="I1" s="23"/>
      <c r="J1" s="19"/>
    </row>
    <row r="2" spans="1:25" s="93" customFormat="1" x14ac:dyDescent="0.25">
      <c r="A2" s="137" t="s">
        <v>733</v>
      </c>
      <c r="B2" s="36" t="s">
        <v>732</v>
      </c>
      <c r="C2" s="22"/>
      <c r="D2" s="23"/>
      <c r="E2" s="23"/>
      <c r="F2" s="23"/>
      <c r="G2" s="23"/>
      <c r="H2" s="23"/>
      <c r="I2" s="23"/>
      <c r="J2" s="19"/>
      <c r="K2" s="92"/>
      <c r="L2" s="92"/>
      <c r="M2" s="92"/>
      <c r="N2" s="92"/>
      <c r="O2" s="92"/>
      <c r="P2" s="92"/>
      <c r="Q2" s="92"/>
      <c r="R2" s="92"/>
      <c r="S2" s="92"/>
      <c r="T2" s="92"/>
      <c r="U2" s="92"/>
      <c r="V2" s="92"/>
      <c r="W2" s="92"/>
      <c r="X2" s="92"/>
    </row>
    <row r="3" spans="1:25" s="36" customFormat="1" x14ac:dyDescent="0.25">
      <c r="A3" s="137">
        <v>7</v>
      </c>
      <c r="B3" s="144" t="s">
        <v>1375</v>
      </c>
      <c r="C3" s="36" t="s">
        <v>181</v>
      </c>
      <c r="D3" s="36" t="s">
        <v>156</v>
      </c>
      <c r="K3" s="21" t="s">
        <v>181</v>
      </c>
      <c r="L3" s="20">
        <v>1</v>
      </c>
      <c r="M3" s="20">
        <v>3</v>
      </c>
      <c r="N3" s="20">
        <v>18</v>
      </c>
      <c r="O3" s="20">
        <v>20</v>
      </c>
      <c r="P3" s="20">
        <v>33</v>
      </c>
      <c r="Q3" s="20">
        <v>35</v>
      </c>
      <c r="R3" s="20"/>
      <c r="S3" s="20"/>
      <c r="T3" s="21"/>
      <c r="U3" s="21"/>
      <c r="V3" s="21"/>
      <c r="W3" s="21"/>
      <c r="X3" s="21"/>
    </row>
    <row r="4" spans="1:25" s="36" customFormat="1" x14ac:dyDescent="0.25">
      <c r="A4" s="138">
        <v>16</v>
      </c>
      <c r="B4" s="275" t="s">
        <v>1553</v>
      </c>
      <c r="C4" s="21" t="s">
        <v>158</v>
      </c>
      <c r="D4" s="21" t="s">
        <v>167</v>
      </c>
      <c r="E4" s="21" t="s">
        <v>173</v>
      </c>
      <c r="F4" s="21" t="s">
        <v>174</v>
      </c>
      <c r="G4" s="21" t="s">
        <v>178</v>
      </c>
      <c r="H4" s="22"/>
      <c r="I4" s="22"/>
      <c r="J4" s="21"/>
      <c r="K4" s="21" t="s">
        <v>149</v>
      </c>
      <c r="L4" s="20">
        <v>3</v>
      </c>
      <c r="M4" s="20">
        <v>20</v>
      </c>
      <c r="N4" s="20">
        <v>29</v>
      </c>
      <c r="O4" s="20"/>
      <c r="P4" s="20"/>
      <c r="Q4" s="20"/>
      <c r="R4" s="20"/>
      <c r="S4" s="20"/>
      <c r="T4" s="21"/>
      <c r="U4" s="21"/>
      <c r="V4" s="21"/>
      <c r="W4" s="21"/>
      <c r="X4" s="21"/>
    </row>
    <row r="5" spans="1:25" s="36" customFormat="1" x14ac:dyDescent="0.25">
      <c r="A5" s="137">
        <v>8</v>
      </c>
      <c r="B5" s="144" t="s">
        <v>1378</v>
      </c>
      <c r="C5" s="36" t="s">
        <v>181</v>
      </c>
      <c r="D5" s="36" t="s">
        <v>149</v>
      </c>
      <c r="K5" s="21" t="s">
        <v>150</v>
      </c>
      <c r="L5" s="20">
        <v>10</v>
      </c>
      <c r="M5" s="20">
        <v>14</v>
      </c>
      <c r="N5" s="20">
        <v>19</v>
      </c>
      <c r="O5" s="20">
        <v>21</v>
      </c>
      <c r="P5" s="20">
        <v>31</v>
      </c>
      <c r="Q5" s="20">
        <v>43</v>
      </c>
      <c r="R5" s="20">
        <v>44</v>
      </c>
      <c r="S5" s="20"/>
      <c r="T5" s="21"/>
      <c r="U5" s="21"/>
      <c r="V5" s="21"/>
      <c r="W5" s="21"/>
      <c r="X5" s="21"/>
    </row>
    <row r="6" spans="1:25" s="36" customFormat="1" ht="15.75" thickBot="1" x14ac:dyDescent="0.3">
      <c r="A6" s="138">
        <v>12</v>
      </c>
      <c r="B6" s="180" t="s">
        <v>1554</v>
      </c>
      <c r="C6" s="21" t="s">
        <v>151</v>
      </c>
      <c r="D6" s="21" t="s">
        <v>156</v>
      </c>
      <c r="E6" s="21" t="s">
        <v>167</v>
      </c>
      <c r="K6" s="21" t="s">
        <v>151</v>
      </c>
      <c r="L6" s="20">
        <v>4</v>
      </c>
      <c r="M6" s="20">
        <v>15</v>
      </c>
      <c r="N6" s="20">
        <v>31</v>
      </c>
      <c r="O6" s="20">
        <v>35</v>
      </c>
      <c r="P6" s="20">
        <v>48</v>
      </c>
      <c r="Q6" s="20"/>
      <c r="R6" s="20"/>
      <c r="S6" s="20"/>
      <c r="T6" s="21"/>
      <c r="U6" s="21"/>
      <c r="V6" s="21"/>
      <c r="W6" s="21"/>
      <c r="X6" s="21"/>
    </row>
    <row r="7" spans="1:25" s="36" customFormat="1" ht="15.75" thickBot="1" x14ac:dyDescent="0.3">
      <c r="A7" s="138">
        <v>7</v>
      </c>
      <c r="B7" s="180" t="s">
        <v>1555</v>
      </c>
      <c r="C7" s="21" t="s">
        <v>165</v>
      </c>
      <c r="D7" s="22"/>
      <c r="E7" s="22"/>
      <c r="F7" s="22"/>
      <c r="K7" s="21" t="s">
        <v>152</v>
      </c>
      <c r="L7" s="20">
        <v>7</v>
      </c>
      <c r="M7" s="20">
        <v>26</v>
      </c>
      <c r="N7" s="20"/>
      <c r="O7" s="20"/>
      <c r="P7" s="20"/>
      <c r="Q7" s="20"/>
      <c r="R7" s="20"/>
      <c r="S7" s="20"/>
      <c r="T7" s="35">
        <v>13</v>
      </c>
      <c r="U7" s="21"/>
      <c r="V7" s="21"/>
      <c r="W7" s="21"/>
      <c r="X7" s="21"/>
    </row>
    <row r="8" spans="1:25" s="36" customFormat="1" x14ac:dyDescent="0.25">
      <c r="A8" s="137">
        <v>37</v>
      </c>
      <c r="B8" s="145" t="s">
        <v>1376</v>
      </c>
      <c r="C8" s="36" t="s">
        <v>153</v>
      </c>
      <c r="D8" s="36" t="s">
        <v>154</v>
      </c>
      <c r="E8" s="36" t="s">
        <v>157</v>
      </c>
      <c r="K8" s="21" t="s">
        <v>153</v>
      </c>
      <c r="L8" s="20">
        <v>6</v>
      </c>
      <c r="M8" s="20">
        <v>17</v>
      </c>
      <c r="N8" s="20">
        <v>21</v>
      </c>
      <c r="O8" s="20">
        <v>38</v>
      </c>
      <c r="P8" s="20">
        <v>42</v>
      </c>
      <c r="Q8" s="20">
        <v>44</v>
      </c>
      <c r="R8" s="20">
        <v>50</v>
      </c>
      <c r="S8" s="20"/>
      <c r="T8" s="21"/>
      <c r="U8" s="20"/>
      <c r="V8" s="21"/>
      <c r="W8" s="21"/>
      <c r="X8" s="21"/>
    </row>
    <row r="9" spans="1:25" s="36" customFormat="1" x14ac:dyDescent="0.25">
      <c r="A9" s="137">
        <v>21</v>
      </c>
      <c r="B9" s="179" t="s">
        <v>1377</v>
      </c>
      <c r="C9" s="21" t="s">
        <v>152</v>
      </c>
      <c r="D9" s="21" t="s">
        <v>173</v>
      </c>
      <c r="E9" s="21" t="s">
        <v>174</v>
      </c>
      <c r="F9" s="21"/>
      <c r="G9" s="21"/>
      <c r="I9" s="21" t="s">
        <v>176</v>
      </c>
      <c r="K9" s="21" t="s">
        <v>154</v>
      </c>
      <c r="L9" s="20">
        <v>6</v>
      </c>
      <c r="M9" s="20">
        <v>17</v>
      </c>
      <c r="N9" s="20">
        <v>21</v>
      </c>
      <c r="O9" s="20">
        <v>44</v>
      </c>
      <c r="P9" s="20"/>
      <c r="Q9" s="20"/>
      <c r="R9" s="20"/>
      <c r="S9" s="20"/>
      <c r="T9" s="21"/>
      <c r="U9" s="21"/>
      <c r="V9" s="21"/>
      <c r="W9" s="21"/>
      <c r="X9" s="21"/>
    </row>
    <row r="10" spans="1:25" s="36" customFormat="1" x14ac:dyDescent="0.25">
      <c r="A10" s="138">
        <v>6</v>
      </c>
      <c r="B10" s="180" t="s">
        <v>1556</v>
      </c>
      <c r="C10" s="21" t="s">
        <v>164</v>
      </c>
      <c r="K10" s="21" t="s">
        <v>155</v>
      </c>
      <c r="L10" s="20">
        <v>38</v>
      </c>
      <c r="M10" s="20">
        <v>39</v>
      </c>
      <c r="N10" s="20">
        <v>44</v>
      </c>
      <c r="O10" s="20"/>
      <c r="P10" s="20"/>
      <c r="Q10" s="20"/>
      <c r="R10" s="20"/>
      <c r="S10" s="20"/>
      <c r="T10" s="21"/>
      <c r="U10" s="21"/>
      <c r="V10" s="21"/>
      <c r="W10" s="21"/>
      <c r="X10" s="21"/>
    </row>
    <row r="11" spans="1:25" s="36" customFormat="1" x14ac:dyDescent="0.25">
      <c r="A11" s="138">
        <v>24</v>
      </c>
      <c r="B11" s="275" t="s">
        <v>1557</v>
      </c>
      <c r="C11" s="21" t="s">
        <v>173</v>
      </c>
      <c r="D11" s="21" t="s">
        <v>174</v>
      </c>
      <c r="E11" s="21" t="s">
        <v>175</v>
      </c>
      <c r="F11" s="21" t="s">
        <v>177</v>
      </c>
      <c r="G11" s="21" t="s">
        <v>178</v>
      </c>
      <c r="H11" s="21" t="s">
        <v>179</v>
      </c>
      <c r="I11" s="22"/>
      <c r="J11" s="21"/>
      <c r="K11" s="21" t="s">
        <v>156</v>
      </c>
      <c r="L11" s="20">
        <v>4</v>
      </c>
      <c r="M11" s="20">
        <v>1</v>
      </c>
      <c r="N11" s="20">
        <v>17</v>
      </c>
      <c r="O11" s="20">
        <v>25</v>
      </c>
      <c r="P11" s="20">
        <v>38</v>
      </c>
      <c r="Q11" s="20">
        <v>13</v>
      </c>
      <c r="R11" s="20"/>
      <c r="S11" s="20"/>
      <c r="T11" s="21"/>
      <c r="U11" s="21"/>
      <c r="V11" s="21"/>
      <c r="W11" s="21"/>
      <c r="X11" s="21"/>
      <c r="Y11" s="173"/>
    </row>
    <row r="12" spans="1:25" s="36" customFormat="1" x14ac:dyDescent="0.25">
      <c r="A12" s="137">
        <v>25</v>
      </c>
      <c r="B12" s="144" t="s">
        <v>961</v>
      </c>
      <c r="C12" s="36" t="s">
        <v>150</v>
      </c>
      <c r="D12" s="36" t="s">
        <v>158</v>
      </c>
      <c r="E12" s="36" t="s">
        <v>169</v>
      </c>
      <c r="K12" s="21" t="s">
        <v>157</v>
      </c>
      <c r="L12" s="20">
        <v>6</v>
      </c>
      <c r="M12" s="20">
        <v>12</v>
      </c>
      <c r="N12" s="20">
        <v>24</v>
      </c>
      <c r="O12" s="20">
        <v>42</v>
      </c>
      <c r="P12" s="20"/>
      <c r="Q12" s="20"/>
      <c r="R12" s="20"/>
      <c r="S12" s="20"/>
      <c r="T12" s="21"/>
      <c r="U12" s="21"/>
      <c r="V12" s="21"/>
      <c r="W12" s="21"/>
      <c r="X12" s="21"/>
    </row>
    <row r="13" spans="1:25" s="36" customFormat="1" x14ac:dyDescent="0.25">
      <c r="A13" s="137">
        <v>5</v>
      </c>
      <c r="B13" s="179" t="s">
        <v>1475</v>
      </c>
      <c r="C13" s="21" t="s">
        <v>168</v>
      </c>
      <c r="K13" s="21" t="s">
        <v>158</v>
      </c>
      <c r="L13" s="20">
        <v>2</v>
      </c>
      <c r="M13" s="20">
        <v>10</v>
      </c>
      <c r="N13" s="20">
        <v>17</v>
      </c>
      <c r="O13" s="20">
        <v>38</v>
      </c>
      <c r="P13" s="20">
        <v>42</v>
      </c>
      <c r="Q13" s="20"/>
      <c r="R13" s="20"/>
      <c r="S13" s="20"/>
      <c r="T13" s="21"/>
      <c r="U13" s="21"/>
      <c r="V13" s="21"/>
      <c r="W13" s="21"/>
      <c r="X13" s="21"/>
    </row>
    <row r="14" spans="1:25" s="36" customFormat="1" x14ac:dyDescent="0.25">
      <c r="A14" s="138">
        <v>11</v>
      </c>
      <c r="B14" s="180" t="s">
        <v>1537</v>
      </c>
      <c r="C14" s="21" t="s">
        <v>157</v>
      </c>
      <c r="D14" s="21" t="s">
        <v>180</v>
      </c>
      <c r="E14" s="22"/>
      <c r="F14" s="22"/>
      <c r="K14" s="21" t="s">
        <v>159</v>
      </c>
      <c r="L14" s="20">
        <v>35</v>
      </c>
      <c r="M14" s="20">
        <v>36</v>
      </c>
      <c r="N14" s="20">
        <v>41</v>
      </c>
      <c r="O14" s="20">
        <v>46</v>
      </c>
      <c r="P14" s="20"/>
      <c r="Q14" s="20"/>
      <c r="R14" s="20"/>
      <c r="S14" s="20"/>
      <c r="T14" s="21"/>
      <c r="U14" s="21"/>
      <c r="V14" s="21"/>
      <c r="W14" s="21"/>
      <c r="X14" s="21"/>
    </row>
    <row r="15" spans="1:25" s="36" customFormat="1" x14ac:dyDescent="0.25">
      <c r="A15" s="138">
        <v>12</v>
      </c>
      <c r="B15" s="180" t="s">
        <v>1540</v>
      </c>
      <c r="C15" s="21" t="s">
        <v>156</v>
      </c>
      <c r="D15" s="22"/>
      <c r="E15" s="22"/>
      <c r="F15" s="22"/>
      <c r="G15" s="22"/>
      <c r="H15" s="22"/>
      <c r="I15" s="22"/>
      <c r="J15" s="21"/>
      <c r="K15" s="21" t="s">
        <v>160</v>
      </c>
      <c r="L15" s="20">
        <v>14</v>
      </c>
      <c r="M15" s="20">
        <v>34</v>
      </c>
      <c r="N15" s="20">
        <v>37</v>
      </c>
      <c r="O15" s="20">
        <v>43</v>
      </c>
      <c r="P15" s="20"/>
      <c r="Q15" s="20"/>
      <c r="R15" s="20"/>
      <c r="S15" s="20"/>
      <c r="T15" s="21"/>
      <c r="U15" s="21"/>
      <c r="V15" s="21"/>
      <c r="W15" s="21"/>
      <c r="X15" s="21"/>
    </row>
    <row r="16" spans="1:25" s="36" customFormat="1" x14ac:dyDescent="0.25">
      <c r="A16" s="137">
        <v>25</v>
      </c>
      <c r="B16" s="179" t="s">
        <v>1387</v>
      </c>
      <c r="C16" s="36" t="s">
        <v>150</v>
      </c>
      <c r="D16" s="36" t="s">
        <v>160</v>
      </c>
      <c r="E16" s="36" t="s">
        <v>162</v>
      </c>
      <c r="F16" s="36" t="s">
        <v>163</v>
      </c>
      <c r="G16" s="36" t="s">
        <v>172</v>
      </c>
      <c r="H16" s="36" t="s">
        <v>180</v>
      </c>
      <c r="K16" s="21" t="s">
        <v>161</v>
      </c>
      <c r="L16" s="20">
        <v>34</v>
      </c>
      <c r="M16" s="20"/>
      <c r="N16" s="20"/>
      <c r="O16" s="20"/>
      <c r="P16" s="20"/>
      <c r="Q16" s="20"/>
      <c r="R16" s="20"/>
      <c r="S16" s="20"/>
      <c r="T16" s="21"/>
      <c r="U16" s="21"/>
      <c r="V16" s="21"/>
      <c r="W16" s="21"/>
      <c r="X16" s="21"/>
    </row>
    <row r="17" spans="1:19" x14ac:dyDescent="0.25">
      <c r="A17" s="137">
        <v>11</v>
      </c>
      <c r="B17" s="144" t="s">
        <v>1255</v>
      </c>
      <c r="C17" s="36" t="s">
        <v>151</v>
      </c>
      <c r="D17" s="36" t="s">
        <v>173</v>
      </c>
      <c r="E17" s="36" t="s">
        <v>175</v>
      </c>
      <c r="F17" s="36" t="s">
        <v>178</v>
      </c>
      <c r="G17" s="36"/>
      <c r="H17" s="36"/>
      <c r="I17" s="36"/>
      <c r="J17" s="36"/>
      <c r="K17" s="21" t="s">
        <v>162</v>
      </c>
      <c r="L17" s="20">
        <v>14</v>
      </c>
      <c r="M17" s="20">
        <v>34</v>
      </c>
      <c r="N17" s="20">
        <v>51</v>
      </c>
      <c r="O17" s="20"/>
      <c r="P17" s="20"/>
      <c r="Q17" s="20"/>
      <c r="R17" s="20"/>
      <c r="S17" s="20"/>
    </row>
    <row r="18" spans="1:19" x14ac:dyDescent="0.25">
      <c r="A18" s="138">
        <v>11</v>
      </c>
      <c r="B18" s="180" t="s">
        <v>1538</v>
      </c>
      <c r="C18" s="21" t="s">
        <v>166</v>
      </c>
      <c r="G18" s="36"/>
      <c r="H18" s="36"/>
      <c r="I18" s="36"/>
      <c r="J18" s="36"/>
      <c r="K18" s="21" t="s">
        <v>163</v>
      </c>
      <c r="L18" s="20">
        <v>14</v>
      </c>
      <c r="M18" s="20">
        <v>21</v>
      </c>
      <c r="N18" s="20">
        <v>32</v>
      </c>
      <c r="O18" s="20">
        <v>44</v>
      </c>
      <c r="P18" s="20">
        <v>50</v>
      </c>
      <c r="Q18" s="20">
        <v>51</v>
      </c>
      <c r="R18" s="20"/>
      <c r="S18" s="20"/>
    </row>
    <row r="19" spans="1:19" x14ac:dyDescent="0.25">
      <c r="A19" s="137">
        <v>15</v>
      </c>
      <c r="B19" s="144" t="s">
        <v>497</v>
      </c>
      <c r="C19" s="36" t="s">
        <v>153</v>
      </c>
      <c r="D19" s="36" t="s">
        <v>154</v>
      </c>
      <c r="E19" s="36" t="s">
        <v>156</v>
      </c>
      <c r="F19" s="36" t="s">
        <v>158</v>
      </c>
      <c r="G19" s="36"/>
      <c r="H19" s="36"/>
      <c r="I19" s="36"/>
      <c r="J19" s="36"/>
      <c r="K19" s="21" t="s">
        <v>164</v>
      </c>
      <c r="L19" s="20">
        <v>8</v>
      </c>
      <c r="M19" s="20">
        <v>32</v>
      </c>
      <c r="N19" s="20"/>
      <c r="O19" s="20"/>
      <c r="P19" s="20"/>
      <c r="Q19" s="20"/>
      <c r="R19" s="20"/>
      <c r="S19" s="20"/>
    </row>
    <row r="20" spans="1:19" x14ac:dyDescent="0.25">
      <c r="A20" s="137">
        <v>12</v>
      </c>
      <c r="B20" s="144" t="s">
        <v>498</v>
      </c>
      <c r="C20" s="36" t="s">
        <v>181</v>
      </c>
      <c r="D20" s="36" t="s">
        <v>171</v>
      </c>
      <c r="E20" s="36"/>
      <c r="F20" s="36"/>
      <c r="G20" s="36"/>
      <c r="H20" s="36"/>
      <c r="I20" s="36"/>
      <c r="J20" s="36"/>
      <c r="K20" s="21" t="s">
        <v>165</v>
      </c>
      <c r="L20" s="20">
        <v>5</v>
      </c>
      <c r="M20" s="20">
        <v>27</v>
      </c>
      <c r="N20" s="20">
        <v>28</v>
      </c>
      <c r="O20" s="20"/>
      <c r="P20" s="20"/>
      <c r="Q20" s="20"/>
      <c r="R20" s="20"/>
      <c r="S20" s="20"/>
    </row>
    <row r="21" spans="1:19" x14ac:dyDescent="0.25">
      <c r="A21" s="138">
        <v>34</v>
      </c>
      <c r="B21" s="275" t="s">
        <v>1552</v>
      </c>
      <c r="C21" s="21" t="s">
        <v>150</v>
      </c>
      <c r="D21" s="21" t="s">
        <v>169</v>
      </c>
      <c r="E21" s="21" t="s">
        <v>170</v>
      </c>
      <c r="F21" s="21" t="s">
        <v>173</v>
      </c>
      <c r="G21" s="21" t="s">
        <v>174</v>
      </c>
      <c r="H21" s="21" t="s">
        <v>175</v>
      </c>
      <c r="K21" s="21" t="s">
        <v>166</v>
      </c>
      <c r="L21" s="20">
        <v>16</v>
      </c>
      <c r="M21" s="20"/>
      <c r="N21" s="20"/>
      <c r="O21" s="20"/>
      <c r="P21" s="20"/>
      <c r="Q21" s="20"/>
      <c r="R21" s="20"/>
      <c r="S21" s="20"/>
    </row>
    <row r="22" spans="1:19" x14ac:dyDescent="0.25">
      <c r="A22" s="137">
        <v>8</v>
      </c>
      <c r="B22" s="144" t="s">
        <v>647</v>
      </c>
      <c r="C22" s="36" t="s">
        <v>181</v>
      </c>
      <c r="D22" s="36" t="s">
        <v>149</v>
      </c>
      <c r="E22" s="36"/>
      <c r="F22" s="36"/>
      <c r="G22" s="36"/>
      <c r="H22" s="36"/>
      <c r="I22" s="36"/>
      <c r="J22" s="36"/>
      <c r="K22" s="21" t="s">
        <v>167</v>
      </c>
      <c r="L22" s="20">
        <v>2</v>
      </c>
      <c r="M22" s="20">
        <v>4</v>
      </c>
      <c r="N22" s="20">
        <v>33</v>
      </c>
      <c r="O22" s="20"/>
      <c r="P22" s="20"/>
      <c r="Q22" s="20"/>
      <c r="R22" s="20"/>
      <c r="S22" s="20"/>
    </row>
    <row r="23" spans="1:19" x14ac:dyDescent="0.25">
      <c r="A23" s="138">
        <v>23</v>
      </c>
      <c r="B23" s="275" t="s">
        <v>1547</v>
      </c>
      <c r="C23" s="21" t="s">
        <v>150</v>
      </c>
      <c r="D23" s="21" t="s">
        <v>153</v>
      </c>
      <c r="E23" s="21" t="s">
        <v>154</v>
      </c>
      <c r="F23" s="21" t="s">
        <v>163</v>
      </c>
      <c r="K23" s="21" t="s">
        <v>168</v>
      </c>
      <c r="L23" s="20">
        <v>11</v>
      </c>
      <c r="M23" s="20">
        <v>30</v>
      </c>
      <c r="N23" s="20"/>
      <c r="O23" s="20"/>
      <c r="P23" s="20"/>
      <c r="Q23" s="20"/>
      <c r="R23" s="20"/>
      <c r="S23" s="20"/>
    </row>
    <row r="24" spans="1:19" x14ac:dyDescent="0.25">
      <c r="A24" s="137">
        <v>19</v>
      </c>
      <c r="B24" s="144" t="s">
        <v>677</v>
      </c>
      <c r="C24" s="36" t="s">
        <v>171</v>
      </c>
      <c r="D24" s="36"/>
      <c r="E24" s="36"/>
      <c r="F24" s="36"/>
      <c r="G24" s="36"/>
      <c r="H24" s="36"/>
      <c r="I24" s="36"/>
      <c r="J24" s="36"/>
      <c r="K24" s="21" t="s">
        <v>169</v>
      </c>
      <c r="L24" s="20">
        <v>10</v>
      </c>
      <c r="M24" s="20">
        <v>19</v>
      </c>
      <c r="N24" s="20">
        <v>23</v>
      </c>
      <c r="O24" s="20">
        <v>39</v>
      </c>
      <c r="P24" s="20">
        <v>47</v>
      </c>
      <c r="Q24" s="20"/>
      <c r="R24" s="20"/>
      <c r="S24" s="20"/>
    </row>
    <row r="25" spans="1:19" x14ac:dyDescent="0.25">
      <c r="A25" s="137">
        <v>19</v>
      </c>
      <c r="B25" s="144" t="s">
        <v>734</v>
      </c>
      <c r="C25" s="36" t="s">
        <v>169</v>
      </c>
      <c r="D25" s="36" t="s">
        <v>170</v>
      </c>
      <c r="E25" s="36"/>
      <c r="F25" s="36"/>
      <c r="G25" s="36"/>
      <c r="H25" s="36"/>
      <c r="I25" s="36"/>
      <c r="J25" s="36"/>
      <c r="K25" s="21" t="s">
        <v>170</v>
      </c>
      <c r="L25" s="20">
        <v>6</v>
      </c>
      <c r="M25" s="20">
        <v>19</v>
      </c>
      <c r="N25" s="20">
        <v>23</v>
      </c>
      <c r="O25" s="20"/>
      <c r="P25" s="20"/>
      <c r="Q25" s="20"/>
      <c r="R25" s="20"/>
      <c r="S25" s="20"/>
    </row>
    <row r="26" spans="1:19" x14ac:dyDescent="0.25">
      <c r="A26" s="137">
        <v>14</v>
      </c>
      <c r="B26" s="179" t="s">
        <v>730</v>
      </c>
      <c r="C26" s="36" t="s">
        <v>157</v>
      </c>
      <c r="D26" s="36"/>
      <c r="E26" s="36"/>
      <c r="F26" s="36"/>
      <c r="G26" s="36"/>
      <c r="H26" s="36"/>
      <c r="I26" s="36"/>
      <c r="J26" s="36"/>
      <c r="K26" s="21" t="s">
        <v>171</v>
      </c>
      <c r="L26" s="20">
        <v>18</v>
      </c>
      <c r="M26" s="20">
        <v>22</v>
      </c>
      <c r="N26" s="20"/>
      <c r="O26" s="20"/>
      <c r="P26" s="20"/>
      <c r="Q26" s="20"/>
      <c r="R26" s="20"/>
      <c r="S26" s="20"/>
    </row>
    <row r="27" spans="1:19" x14ac:dyDescent="0.25">
      <c r="A27" s="138">
        <v>11</v>
      </c>
      <c r="B27" s="180" t="s">
        <v>1539</v>
      </c>
      <c r="C27" s="21" t="s">
        <v>156</v>
      </c>
      <c r="F27" s="36"/>
      <c r="G27" s="36"/>
      <c r="H27" s="36"/>
      <c r="I27" s="36"/>
      <c r="J27" s="36"/>
      <c r="K27" s="21" t="s">
        <v>172</v>
      </c>
      <c r="L27" s="20">
        <v>14</v>
      </c>
      <c r="M27" s="20">
        <v>32</v>
      </c>
      <c r="N27" s="20">
        <v>37</v>
      </c>
      <c r="O27" s="20"/>
      <c r="P27" s="20"/>
      <c r="Q27" s="20"/>
      <c r="R27" s="20"/>
      <c r="S27" s="20"/>
    </row>
    <row r="28" spans="1:19" x14ac:dyDescent="0.25">
      <c r="A28" s="137">
        <v>3</v>
      </c>
      <c r="B28" s="144" t="s">
        <v>1397</v>
      </c>
      <c r="C28" s="21" t="s">
        <v>152</v>
      </c>
      <c r="D28" s="36"/>
      <c r="E28" s="36"/>
      <c r="F28" s="36"/>
      <c r="G28" s="36"/>
      <c r="H28" s="36"/>
      <c r="I28" s="36"/>
      <c r="J28" s="36"/>
      <c r="K28" s="21" t="s">
        <v>173</v>
      </c>
      <c r="L28" s="20">
        <v>2</v>
      </c>
      <c r="M28" s="20">
        <v>7</v>
      </c>
      <c r="N28" s="20">
        <v>9</v>
      </c>
      <c r="O28" s="20">
        <v>15</v>
      </c>
      <c r="P28" s="20">
        <v>19</v>
      </c>
      <c r="Q28" s="20">
        <v>33</v>
      </c>
      <c r="R28" s="20">
        <v>41</v>
      </c>
      <c r="S28" s="20">
        <v>43</v>
      </c>
    </row>
    <row r="29" spans="1:19" x14ac:dyDescent="0.25">
      <c r="A29" s="138">
        <v>9</v>
      </c>
      <c r="B29" s="180" t="s">
        <v>1535</v>
      </c>
      <c r="C29" s="21" t="s">
        <v>165</v>
      </c>
      <c r="D29" s="36"/>
      <c r="E29" s="36"/>
      <c r="F29" s="36"/>
      <c r="G29" s="36"/>
      <c r="H29" s="36"/>
      <c r="I29" s="36"/>
      <c r="J29" s="36"/>
      <c r="K29" s="21" t="s">
        <v>174</v>
      </c>
      <c r="L29" s="20">
        <v>2</v>
      </c>
      <c r="M29" s="20">
        <v>7</v>
      </c>
      <c r="N29" s="20">
        <v>9</v>
      </c>
      <c r="O29" s="20">
        <v>19</v>
      </c>
      <c r="P29" s="20">
        <v>33</v>
      </c>
      <c r="Q29" s="20">
        <v>41</v>
      </c>
      <c r="R29" s="20">
        <v>43</v>
      </c>
      <c r="S29" s="20">
        <v>49</v>
      </c>
    </row>
    <row r="30" spans="1:19" x14ac:dyDescent="0.25">
      <c r="A30" s="138">
        <v>5</v>
      </c>
      <c r="B30" s="180" t="s">
        <v>1530</v>
      </c>
      <c r="C30" s="21" t="s">
        <v>165</v>
      </c>
      <c r="D30" s="36"/>
      <c r="E30" s="36"/>
      <c r="F30" s="36"/>
      <c r="G30" s="36"/>
      <c r="H30" s="36"/>
      <c r="I30" s="36"/>
      <c r="J30" s="36"/>
      <c r="K30" s="21" t="s">
        <v>175</v>
      </c>
      <c r="L30" s="20">
        <v>9</v>
      </c>
      <c r="M30" s="20">
        <v>15</v>
      </c>
      <c r="N30" s="20">
        <v>19</v>
      </c>
      <c r="O30" s="20">
        <v>49</v>
      </c>
      <c r="P30" s="20"/>
      <c r="Q30" s="20"/>
      <c r="R30" s="20"/>
      <c r="S30" s="20"/>
    </row>
    <row r="31" spans="1:19" x14ac:dyDescent="0.25">
      <c r="A31" s="138">
        <v>6</v>
      </c>
      <c r="B31" s="180" t="s">
        <v>1531</v>
      </c>
      <c r="C31" s="21" t="s">
        <v>149</v>
      </c>
      <c r="D31" s="36"/>
      <c r="E31" s="36"/>
      <c r="F31" s="36"/>
      <c r="G31" s="36"/>
      <c r="H31" s="36"/>
      <c r="I31" s="36"/>
      <c r="J31" s="36"/>
      <c r="K31" s="21" t="s">
        <v>176</v>
      </c>
      <c r="L31" s="20">
        <v>7</v>
      </c>
      <c r="M31" s="20">
        <v>40</v>
      </c>
      <c r="N31" s="20">
        <v>41</v>
      </c>
      <c r="O31" s="20"/>
      <c r="P31" s="20"/>
      <c r="Q31" s="20"/>
      <c r="R31" s="20"/>
      <c r="S31" s="20"/>
    </row>
    <row r="32" spans="1:19" x14ac:dyDescent="0.25">
      <c r="A32" s="138">
        <v>7</v>
      </c>
      <c r="B32" s="180" t="s">
        <v>1533</v>
      </c>
      <c r="C32" s="21" t="s">
        <v>168</v>
      </c>
      <c r="D32" s="36"/>
      <c r="E32" s="36"/>
      <c r="F32" s="36"/>
      <c r="G32" s="36"/>
      <c r="H32" s="36"/>
      <c r="I32" s="36"/>
      <c r="J32" s="36"/>
      <c r="K32" s="21" t="s">
        <v>177</v>
      </c>
      <c r="L32" s="20">
        <v>9</v>
      </c>
      <c r="M32" s="20">
        <v>33</v>
      </c>
      <c r="N32" s="20">
        <v>43</v>
      </c>
      <c r="O32" s="20"/>
      <c r="P32" s="20"/>
      <c r="Q32" s="20"/>
      <c r="R32" s="20"/>
      <c r="S32" s="20"/>
    </row>
    <row r="33" spans="1:19" x14ac:dyDescent="0.25">
      <c r="A33" s="138">
        <v>12</v>
      </c>
      <c r="B33" s="275" t="s">
        <v>1541</v>
      </c>
      <c r="C33" s="21" t="s">
        <v>150</v>
      </c>
      <c r="D33" s="21" t="s">
        <v>151</v>
      </c>
      <c r="E33" s="21" t="s">
        <v>180</v>
      </c>
      <c r="K33" s="21" t="s">
        <v>178</v>
      </c>
      <c r="L33" s="20">
        <v>2</v>
      </c>
      <c r="M33" s="20">
        <v>9</v>
      </c>
      <c r="N33" s="20">
        <v>15</v>
      </c>
      <c r="O33" s="20"/>
      <c r="P33" s="20"/>
      <c r="Q33" s="20"/>
      <c r="R33" s="20"/>
      <c r="S33" s="20"/>
    </row>
    <row r="34" spans="1:19" x14ac:dyDescent="0.25">
      <c r="A34" s="137">
        <v>9</v>
      </c>
      <c r="B34" s="144" t="s">
        <v>1491</v>
      </c>
      <c r="C34" s="21" t="s">
        <v>181</v>
      </c>
      <c r="D34" s="21" t="s">
        <v>167</v>
      </c>
      <c r="E34" s="21" t="s">
        <v>173</v>
      </c>
      <c r="F34" s="21" t="s">
        <v>174</v>
      </c>
      <c r="G34" s="21" t="s">
        <v>177</v>
      </c>
      <c r="H34" s="36"/>
      <c r="I34" s="36"/>
      <c r="J34" s="36"/>
      <c r="K34" s="21" t="s">
        <v>179</v>
      </c>
      <c r="L34" s="20">
        <v>9</v>
      </c>
      <c r="M34" s="20">
        <v>45</v>
      </c>
      <c r="N34" s="20"/>
      <c r="O34" s="20"/>
      <c r="P34" s="20"/>
      <c r="Q34" s="20"/>
      <c r="R34" s="20"/>
      <c r="S34" s="20"/>
    </row>
    <row r="35" spans="1:19" x14ac:dyDescent="0.25">
      <c r="A35" s="137">
        <v>24</v>
      </c>
      <c r="B35" s="144" t="s">
        <v>1254</v>
      </c>
      <c r="C35" s="36" t="s">
        <v>160</v>
      </c>
      <c r="D35" s="36" t="s">
        <v>161</v>
      </c>
      <c r="E35" s="36" t="s">
        <v>162</v>
      </c>
      <c r="F35" s="21" t="s">
        <v>180</v>
      </c>
      <c r="G35" s="36"/>
      <c r="H35" s="36"/>
      <c r="I35" s="36"/>
      <c r="J35" s="36"/>
      <c r="K35" s="21" t="s">
        <v>180</v>
      </c>
      <c r="L35" s="20">
        <v>12</v>
      </c>
      <c r="M35" s="20">
        <v>14</v>
      </c>
      <c r="N35" s="20">
        <v>31</v>
      </c>
      <c r="O35" s="20">
        <v>34</v>
      </c>
      <c r="P35" s="20">
        <v>43</v>
      </c>
      <c r="Q35" s="20"/>
      <c r="R35" s="20"/>
      <c r="S35" s="20"/>
    </row>
    <row r="36" spans="1:19" x14ac:dyDescent="0.25">
      <c r="A36" s="137">
        <v>20</v>
      </c>
      <c r="B36" s="144" t="s">
        <v>2</v>
      </c>
      <c r="C36" s="36" t="str">
        <f>+K25</f>
        <v>22: Events after the reporting period</v>
      </c>
      <c r="D36" s="36" t="str">
        <f>+K28</f>
        <v>26: Consolidated financial statements: Acquisition accounting</v>
      </c>
      <c r="E36" s="36">
        <f>+K36</f>
        <v>0</v>
      </c>
      <c r="F36" s="36"/>
      <c r="G36" s="36"/>
      <c r="J36" s="36"/>
    </row>
    <row r="37" spans="1:19" x14ac:dyDescent="0.25">
      <c r="A37" s="138">
        <v>10</v>
      </c>
      <c r="B37" s="180" t="s">
        <v>1536</v>
      </c>
      <c r="C37" s="21" t="s">
        <v>159</v>
      </c>
      <c r="D37" s="36"/>
      <c r="E37" s="36"/>
      <c r="F37" s="36"/>
      <c r="G37" s="36"/>
      <c r="H37" s="36"/>
      <c r="I37" s="36"/>
      <c r="J37" s="36"/>
    </row>
    <row r="38" spans="1:19" x14ac:dyDescent="0.25">
      <c r="A38" s="137">
        <v>24</v>
      </c>
      <c r="B38" s="144" t="s">
        <v>1</v>
      </c>
      <c r="C38" s="36" t="str">
        <f>+K31</f>
        <v>29: Consolidated financial statements: Changes in ownership</v>
      </c>
      <c r="D38" s="36" t="str">
        <f>+K33</f>
        <v>32: Consolidated financial statements: Accounting requirements</v>
      </c>
      <c r="E38" s="36" t="str">
        <f>+K34</f>
        <v>35: Disclosure: Statement of profit or loss and other comprehensive income</v>
      </c>
      <c r="F38" s="36">
        <f>+K36</f>
        <v>0</v>
      </c>
      <c r="G38" s="36"/>
      <c r="J38" s="36"/>
    </row>
    <row r="39" spans="1:19" x14ac:dyDescent="0.25">
      <c r="A39" s="138">
        <v>16</v>
      </c>
      <c r="B39" s="275" t="s">
        <v>1543</v>
      </c>
      <c r="C39" s="21" t="s">
        <v>155</v>
      </c>
      <c r="D39" s="21" t="s">
        <v>169</v>
      </c>
      <c r="I39" s="36"/>
      <c r="J39" s="36"/>
    </row>
    <row r="40" spans="1:19" x14ac:dyDescent="0.25">
      <c r="A40" s="137">
        <v>4</v>
      </c>
      <c r="B40" s="144" t="s">
        <v>1416</v>
      </c>
      <c r="C40" s="21" t="s">
        <v>176</v>
      </c>
      <c r="D40" s="36"/>
      <c r="E40" s="36"/>
      <c r="F40" s="36"/>
      <c r="G40" s="36"/>
      <c r="H40" s="36"/>
      <c r="I40" s="36"/>
      <c r="J40" s="36"/>
    </row>
    <row r="41" spans="1:19" x14ac:dyDescent="0.25">
      <c r="A41" s="138">
        <v>22</v>
      </c>
      <c r="B41" s="275" t="s">
        <v>1546</v>
      </c>
      <c r="C41" s="21" t="s">
        <v>159</v>
      </c>
      <c r="D41" s="21" t="s">
        <v>173</v>
      </c>
      <c r="E41" s="21" t="s">
        <v>174</v>
      </c>
      <c r="F41" s="21" t="s">
        <v>176</v>
      </c>
    </row>
    <row r="42" spans="1:19" x14ac:dyDescent="0.25">
      <c r="A42" s="137">
        <v>19</v>
      </c>
      <c r="B42" s="144" t="s">
        <v>614</v>
      </c>
      <c r="C42" s="36" t="s">
        <v>153</v>
      </c>
      <c r="D42" s="36" t="s">
        <v>157</v>
      </c>
      <c r="E42" s="36" t="s">
        <v>158</v>
      </c>
      <c r="F42" s="36"/>
      <c r="G42" s="36"/>
      <c r="I42" s="36"/>
      <c r="J42" s="36"/>
    </row>
    <row r="43" spans="1:19" x14ac:dyDescent="0.25">
      <c r="A43" s="138">
        <v>30</v>
      </c>
      <c r="B43" s="275" t="s">
        <v>1551</v>
      </c>
      <c r="C43" s="21" t="s">
        <v>150</v>
      </c>
      <c r="D43" s="21" t="s">
        <v>160</v>
      </c>
      <c r="E43" s="21" t="s">
        <v>173</v>
      </c>
      <c r="F43" s="21" t="s">
        <v>174</v>
      </c>
      <c r="G43" s="21" t="s">
        <v>177</v>
      </c>
      <c r="H43" s="21" t="s">
        <v>180</v>
      </c>
    </row>
    <row r="44" spans="1:19" x14ac:dyDescent="0.25">
      <c r="A44" s="138">
        <v>20</v>
      </c>
      <c r="B44" s="275" t="s">
        <v>1396</v>
      </c>
      <c r="C44" s="21" t="s">
        <v>150</v>
      </c>
      <c r="D44" s="21" t="s">
        <v>153</v>
      </c>
      <c r="E44" s="21" t="s">
        <v>154</v>
      </c>
      <c r="F44" s="21" t="s">
        <v>155</v>
      </c>
      <c r="G44" s="21" t="s">
        <v>163</v>
      </c>
      <c r="H44" s="36"/>
      <c r="I44" s="36"/>
      <c r="J44" s="36"/>
    </row>
    <row r="45" spans="1:19" x14ac:dyDescent="0.25">
      <c r="A45" s="137">
        <v>4</v>
      </c>
      <c r="B45" s="144" t="s">
        <v>1433</v>
      </c>
      <c r="C45" s="21" t="s">
        <v>179</v>
      </c>
      <c r="D45" s="36"/>
      <c r="E45" s="36"/>
      <c r="F45" s="36"/>
      <c r="G45" s="36"/>
      <c r="H45" s="36"/>
      <c r="I45" s="36"/>
      <c r="J45" s="36"/>
    </row>
    <row r="46" spans="1:19" x14ac:dyDescent="0.25">
      <c r="A46" s="138">
        <v>7</v>
      </c>
      <c r="B46" s="180" t="s">
        <v>1534</v>
      </c>
      <c r="C46" s="21" t="s">
        <v>159</v>
      </c>
      <c r="D46" s="36"/>
      <c r="E46" s="36"/>
      <c r="F46" s="36"/>
      <c r="G46" s="36"/>
      <c r="H46" s="36"/>
      <c r="I46" s="36"/>
      <c r="J46" s="36"/>
    </row>
    <row r="47" spans="1:19" x14ac:dyDescent="0.25">
      <c r="A47" s="138">
        <v>14</v>
      </c>
      <c r="B47" s="275" t="s">
        <v>1542</v>
      </c>
      <c r="C47" s="21" t="s">
        <v>169</v>
      </c>
    </row>
    <row r="48" spans="1:19" x14ac:dyDescent="0.25">
      <c r="A48" s="138">
        <v>6</v>
      </c>
      <c r="B48" s="180" t="s">
        <v>1532</v>
      </c>
      <c r="C48" s="21" t="s">
        <v>151</v>
      </c>
      <c r="D48" s="36"/>
      <c r="E48" s="36"/>
      <c r="F48" s="36"/>
      <c r="G48" s="36"/>
      <c r="H48" s="36"/>
      <c r="I48" s="36"/>
      <c r="J48" s="36"/>
    </row>
    <row r="49" spans="1:10" x14ac:dyDescent="0.25">
      <c r="A49" s="138">
        <v>20</v>
      </c>
      <c r="B49" s="275" t="s">
        <v>1545</v>
      </c>
      <c r="C49" s="21" t="s">
        <v>153</v>
      </c>
      <c r="D49" s="21" t="s">
        <v>163</v>
      </c>
    </row>
    <row r="50" spans="1:10" x14ac:dyDescent="0.25">
      <c r="A50" s="138">
        <v>16</v>
      </c>
      <c r="B50" s="275" t="s">
        <v>1544</v>
      </c>
      <c r="C50" s="21" t="s">
        <v>162</v>
      </c>
      <c r="D50" s="21" t="s">
        <v>163</v>
      </c>
      <c r="F50" s="36"/>
      <c r="G50" s="36"/>
      <c r="H50" s="36"/>
      <c r="I50" s="36"/>
      <c r="J50" s="36"/>
    </row>
    <row r="51" spans="1:10" x14ac:dyDescent="0.25">
      <c r="A51" s="138">
        <v>28</v>
      </c>
      <c r="B51" s="275" t="s">
        <v>1550</v>
      </c>
      <c r="C51" s="21" t="s">
        <v>160</v>
      </c>
      <c r="D51" s="21" t="s">
        <v>172</v>
      </c>
      <c r="E51" s="36"/>
    </row>
    <row r="52" spans="1:10" x14ac:dyDescent="0.25">
      <c r="A52" s="138">
        <v>24</v>
      </c>
      <c r="B52" s="143" t="s">
        <v>1548</v>
      </c>
      <c r="C52" s="21" t="s">
        <v>174</v>
      </c>
      <c r="D52" s="21" t="s">
        <v>175</v>
      </c>
      <c r="H52" s="36"/>
      <c r="I52" s="36"/>
      <c r="J52" s="36"/>
    </row>
    <row r="53" spans="1:10" x14ac:dyDescent="0.25">
      <c r="A53" s="138">
        <v>25</v>
      </c>
      <c r="B53" s="143" t="s">
        <v>1549</v>
      </c>
      <c r="C53" s="21" t="s">
        <v>163</v>
      </c>
      <c r="D53" s="21" t="s">
        <v>164</v>
      </c>
      <c r="E53" s="21" t="s">
        <v>172</v>
      </c>
      <c r="H53" s="36"/>
    </row>
    <row r="54" spans="1:10" x14ac:dyDescent="0.25">
      <c r="A54" s="138"/>
      <c r="B54" s="275"/>
      <c r="C54" s="21"/>
      <c r="D54" s="21"/>
      <c r="F54" s="36"/>
      <c r="G54" s="36"/>
    </row>
    <row r="55" spans="1:10" x14ac:dyDescent="0.25">
      <c r="E55" s="36"/>
      <c r="F55" s="36"/>
      <c r="G55" s="36"/>
    </row>
    <row r="56" spans="1:10" ht="15.75" thickBot="1" x14ac:dyDescent="0.3">
      <c r="A56" s="139">
        <f>+SUM(A$3:$A55)/777</f>
        <v>1</v>
      </c>
      <c r="B56" s="140">
        <f>+COUNTA($B$3:B55)/51</f>
        <v>1</v>
      </c>
    </row>
    <row r="57" spans="1:10" ht="15.75" thickTop="1" x14ac:dyDescent="0.25">
      <c r="J57" s="36"/>
    </row>
    <row r="58" spans="1:10" x14ac:dyDescent="0.25">
      <c r="A58" s="138"/>
    </row>
    <row r="59" spans="1:10" x14ac:dyDescent="0.25">
      <c r="A59" s="21"/>
      <c r="B59" s="21"/>
      <c r="C59" s="21"/>
      <c r="D59" s="21"/>
      <c r="E59" s="21"/>
    </row>
    <row r="60" spans="1:10" x14ac:dyDescent="0.25">
      <c r="F60" s="36"/>
      <c r="G60" s="36"/>
      <c r="H60" s="36"/>
      <c r="I60" s="36"/>
      <c r="J60" s="36"/>
    </row>
    <row r="61" spans="1:10" x14ac:dyDescent="0.25">
      <c r="B61" s="21"/>
    </row>
    <row r="63" spans="1:10" x14ac:dyDescent="0.25">
      <c r="B63" s="21"/>
      <c r="E63" s="36"/>
    </row>
    <row r="64" spans="1:10" x14ac:dyDescent="0.25">
      <c r="B64" s="21"/>
    </row>
    <row r="67" spans="2:2" x14ac:dyDescent="0.25">
      <c r="B67" s="21"/>
    </row>
    <row r="68" spans="2:2" x14ac:dyDescent="0.25">
      <c r="B68" s="21"/>
    </row>
    <row r="72" spans="2:2" x14ac:dyDescent="0.25">
      <c r="B72" s="21"/>
    </row>
    <row r="74" spans="2:2" x14ac:dyDescent="0.25">
      <c r="B74" s="21"/>
    </row>
  </sheetData>
  <autoFilter ref="A2:J20" xr:uid="{8D079A40-BABB-4643-87FC-8779711C6A6E}">
    <sortState xmlns:xlrd2="http://schemas.microsoft.com/office/spreadsheetml/2017/richdata2" ref="A3:J50">
      <sortCondition ref="B2:B20"/>
    </sortState>
  </autoFilter>
  <sortState xmlns:xlrd2="http://schemas.microsoft.com/office/spreadsheetml/2017/richdata2" ref="A40:K56">
    <sortCondition ref="A40:A56"/>
  </sortState>
  <conditionalFormatting sqref="L3:S35">
    <cfRule type="cellIs" dxfId="6" priority="2" operator="equal">
      <formula>$T$7</formula>
    </cfRule>
  </conditionalFormatting>
  <hyperlinks>
    <hyperlink ref="B38" location="'AMQ38'!A1" display="AMQ38" xr:uid="{928D82A5-3309-4995-B6A7-88EC39619F35}"/>
    <hyperlink ref="B36" location="'AMQ35'!A1" display="AMQ35" xr:uid="{D0B5A279-5AF6-41C2-8FD2-739073316067}"/>
    <hyperlink ref="B19" location="'AMQ17'!A1" display="AMQ17" xr:uid="{DD7CCBAE-0DAB-4EAC-8126-C9CE9446851D}"/>
    <hyperlink ref="B20" location="'AMQ18'!A1" display="AMQ18" xr:uid="{B8F839A4-68F6-41AB-8B12-16E2B7992490}"/>
    <hyperlink ref="B3" location="'AMQ01'!A1" display="AMQ01" xr:uid="{CBB801F7-257B-4A2A-AA4C-1E786EEFB4C4}"/>
    <hyperlink ref="B42" location="'AMQ42'!A1" display="AMQ42" xr:uid="{DBCFF730-3561-4EBD-8FDA-C4BB5F21BFF8}"/>
    <hyperlink ref="B5" location="'AMQ03'!A1" display="AMQ03" xr:uid="{B6F96396-C5B2-48DB-A281-8539AB8C4095}"/>
    <hyperlink ref="B22" location="'AMQ20'!A1" display="AMQ20" xr:uid="{CF7A5709-CC6E-48C6-9FB2-D1B0097FFA6D}"/>
    <hyperlink ref="B24" location="'AMQ22'!A1" display="AMQ22" xr:uid="{D10019E2-0E48-48D5-98F5-ABBFB9AD4436}"/>
    <hyperlink ref="B26" location="'AMQ24'!A1" display="AMQ24" xr:uid="{664394BD-4856-4AB8-807D-E9ADC096F50D}"/>
    <hyperlink ref="B25" location="'AMQ23'!A1" display="AMQ23" xr:uid="{369432A2-4B2F-4E72-8BEA-A5D9CCAF03E6}"/>
    <hyperlink ref="B12" location="'AMQ10'!A1" display="AMQ10" xr:uid="{3DD089A5-6CA8-4A11-9352-BE4C0002F350}"/>
    <hyperlink ref="B9" location="'AMQ07'!A1" display="AMQ07" xr:uid="{CA48C6CC-3611-478B-A368-56E37414FFC9}"/>
    <hyperlink ref="B35" location="'AMQ34'!A1" display="AMQ34" xr:uid="{DFF25140-5AE5-4F23-B074-E9DB094444BD}"/>
    <hyperlink ref="B17" location="'AMQ15'!A1" display="AMQ15" xr:uid="{901E18B6-125B-415E-B574-ACA9B4B8F0F2}"/>
    <hyperlink ref="B8" location="'AMQ06'!A1" display="AMQ06" xr:uid="{C898F3B4-2CCB-48B5-BA4D-5DCC974DB23A}"/>
    <hyperlink ref="B16" location="'AMQ14'!A1" display="AMQ14" xr:uid="{125496FE-645B-480E-B4F1-42C35D3D9ED3}"/>
    <hyperlink ref="B28" location="'AMQ26'!A1" display="AMQ26" xr:uid="{D3821FC6-C9B2-461E-8A27-0516661B3CC8}"/>
    <hyperlink ref="B40" location="'AMQ40'!A1" display="AMQ40" xr:uid="{E9706315-901D-4516-BA6F-4012282DB255}"/>
    <hyperlink ref="B45" location="'AMQ45'!A1" display="AMQ45" xr:uid="{402DB6CF-2629-4077-9D1F-F9C66B6AAD60}"/>
    <hyperlink ref="B13" location="'AMQ11'!A1" display="AMQ11" xr:uid="{17FA455A-2CFF-4372-B07F-79CBAAF774A3}"/>
    <hyperlink ref="B34" location="'AMQ33'!A1" display="AMQ33" xr:uid="{C9491F6B-6704-457F-8588-01B0EF3975BE}"/>
    <hyperlink ref="B44" location="'AMQ44'!A1" display="AMQ44" xr:uid="{630C2561-2A2D-40F8-8469-07DF0B4042E3}"/>
    <hyperlink ref="B51" location="'AMQ37'!A1" display="AMQ37" xr:uid="{973A5E4D-2B20-4FF8-BBF9-C260119555C9}"/>
    <hyperlink ref="B30" location="'AMQ28'!A1" display="AMQ28" xr:uid="{06BA94E1-2B6F-4DB6-A546-E854A167271B}"/>
    <hyperlink ref="B10" location="'AMQ08'!A1" display="AMQ08" xr:uid="{7D6ED303-0410-4AE8-AAA7-1F1F2932F9E9}"/>
    <hyperlink ref="B31" location="'AMQ29'!A1" display="AMQ29" xr:uid="{6855F2B2-CF92-4C4F-9972-F41DC1924BF2}"/>
    <hyperlink ref="B48" location="'AMQ48'!A1" display="AMQ48" xr:uid="{37C282D6-F127-4E7E-AE51-57F0105CB1A2}"/>
    <hyperlink ref="B32" location="'AMQ30'!A1" display="AMQ30" xr:uid="{9521F4D0-6730-4A2D-BD0D-EF6F614FC885}"/>
    <hyperlink ref="B46" location="'AMQ46'!A1" display="AMQ46" xr:uid="{DC4B1DE6-66C5-48F5-8CCC-760A148153BC}"/>
    <hyperlink ref="B6" location="'AMQ04'!A1" display="AMQ04" xr:uid="{F8323AA0-BEC6-449B-ACF6-AF56D34EC6BE}"/>
    <hyperlink ref="B7" location="'AMQ05'!A1" display="AMQ05" xr:uid="{FE05143B-BD37-4A9D-8327-6F1378BBAC5F}"/>
    <hyperlink ref="B29" location="'AMQ27'!A1" display="AMQ27" xr:uid="{8036DEB8-E52A-4D18-A0DE-B560C4642924}"/>
    <hyperlink ref="B37" location="'AMQ36'!A1" display="AMQ36" xr:uid="{FAF263FB-78A6-478B-A75D-F10F60DDEEB9}"/>
    <hyperlink ref="B14" location="'AMQ12'!A1" display="AMQ12" xr:uid="{063E4287-91BC-4046-9AEE-909B3CA8DB75}"/>
    <hyperlink ref="B18" location="'AMQ16'!A1" display="AMQ16" xr:uid="{B08BFFE0-7C33-42F7-8A79-F35F7C0FE928}"/>
    <hyperlink ref="B27" location="'AMQ25'!A1" display="AMQ25" xr:uid="{33949AF1-A812-4986-AA72-01010A96909B}"/>
    <hyperlink ref="B15" location="'AMQ13'!A1" display="AMQ13" xr:uid="{BB7AF419-A6C2-424B-95E8-CB6652CC9E2A}"/>
    <hyperlink ref="B33" location="'AMQ31'!A1" display="AMQ31" xr:uid="{69C6D222-6447-4D1A-A48F-75CEE0A08DAB}"/>
    <hyperlink ref="B47" location="'AMQ47'!A1" display="AMQ47" xr:uid="{07AE9EEA-03B2-489C-BD97-6AA9117D467F}"/>
    <hyperlink ref="B4" location="'AMQ02'!A1" display="AMQ02" xr:uid="{47277B4E-684B-4981-979B-BA24329132DD}"/>
    <hyperlink ref="B39" location="'AMQ39'!A1" display="AMQ39" xr:uid="{CB22F0D7-062F-4754-BC51-15CBFA239BFB}"/>
    <hyperlink ref="B50" location="'AMQ51'!A1" display="AMQ51" xr:uid="{F7E7A69B-A054-43AE-994A-506394453EE8}"/>
    <hyperlink ref="B49" location="'AMQ50'!A1" display="AMQ50" xr:uid="{00A58F18-1711-4843-8A7D-A387D494DB47}"/>
    <hyperlink ref="B41" location="'AMQ41'!A1" display="AMQ41" xr:uid="{460EF4AC-DF81-4BF6-85E2-69F4BDF22BBC}"/>
    <hyperlink ref="B23" location="'AMQ21'!A1" display="AMQ21" xr:uid="{7505DC65-07C9-4D65-8DA4-AE35EC56E83F}"/>
    <hyperlink ref="B11" location="'AMQ09'!A1" display="AMQ09" xr:uid="{587C0A9B-3B6A-4D4A-8459-F91033D3E589}"/>
    <hyperlink ref="B21" location="'AMQ19'!A1" display="AMQ19" xr:uid="{83B93945-70B1-4DA7-A3F0-257D67ACCB62}"/>
    <hyperlink ref="B43" location="'AMQ43'!A1" display="AMQ43" xr:uid="{EAA228B6-50B5-4F1F-A856-0E1569E5A145}"/>
    <hyperlink ref="B52" location="'AMQ49'!A1" display="AMQ49" xr:uid="{5A328C35-17A7-4AD3-A971-3614A5395CA2}"/>
    <hyperlink ref="B53" location="'AMQ32'!A1" display="AMQ32" xr:uid="{93F6AD95-2540-4A1F-B001-816A0298D208}"/>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FB149-C6EC-4163-9B64-0F1495F9041A}">
  <sheetPr codeName="Sheet5"/>
  <dimension ref="A1:F65"/>
  <sheetViews>
    <sheetView zoomScaleNormal="100" workbookViewId="0"/>
  </sheetViews>
  <sheetFormatPr defaultRowHeight="12" x14ac:dyDescent="0.2"/>
  <cols>
    <col min="1" max="16384" width="9.140625" style="1"/>
  </cols>
  <sheetData>
    <row r="1" spans="1:4" ht="15" x14ac:dyDescent="0.25">
      <c r="A1" s="2" t="s">
        <v>0</v>
      </c>
    </row>
    <row r="3" spans="1:4" x14ac:dyDescent="0.2">
      <c r="B3" s="1" t="s">
        <v>499</v>
      </c>
    </row>
    <row r="4" spans="1:4" x14ac:dyDescent="0.2">
      <c r="B4" s="1" t="s">
        <v>5</v>
      </c>
      <c r="C4" s="3">
        <v>44712</v>
      </c>
    </row>
    <row r="6" spans="1:4" x14ac:dyDescent="0.2">
      <c r="B6" s="1" t="s">
        <v>9</v>
      </c>
    </row>
    <row r="7" spans="1:4" x14ac:dyDescent="0.2">
      <c r="B7" s="1" t="s">
        <v>500</v>
      </c>
    </row>
    <row r="8" spans="1:4" x14ac:dyDescent="0.2">
      <c r="B8" s="1" t="s">
        <v>501</v>
      </c>
    </row>
    <row r="11" spans="1:4" x14ac:dyDescent="0.2">
      <c r="B11" s="1" t="s">
        <v>49</v>
      </c>
    </row>
    <row r="12" spans="1:4" x14ac:dyDescent="0.2">
      <c r="B12" s="1" t="s">
        <v>502</v>
      </c>
    </row>
    <row r="13" spans="1:4" x14ac:dyDescent="0.2">
      <c r="B13" s="1" t="s">
        <v>503</v>
      </c>
      <c r="C13" s="3">
        <v>44681</v>
      </c>
      <c r="D13" s="6">
        <v>688000</v>
      </c>
    </row>
    <row r="14" spans="1:4" x14ac:dyDescent="0.2">
      <c r="B14" s="1" t="s">
        <v>504</v>
      </c>
      <c r="C14" s="3">
        <v>44712</v>
      </c>
      <c r="D14" s="4">
        <v>0.03</v>
      </c>
    </row>
    <row r="15" spans="1:4" x14ac:dyDescent="0.2">
      <c r="B15" s="1" t="s">
        <v>504</v>
      </c>
      <c r="C15" s="3">
        <v>44804</v>
      </c>
    </row>
    <row r="16" spans="1:4" x14ac:dyDescent="0.2">
      <c r="B16" s="1" t="s">
        <v>506</v>
      </c>
      <c r="D16" s="6">
        <v>154</v>
      </c>
    </row>
    <row r="17" spans="2:5" x14ac:dyDescent="0.2">
      <c r="B17" s="1" t="s">
        <v>507</v>
      </c>
      <c r="D17" s="6">
        <f>+D32-D33+D16</f>
        <v>1365</v>
      </c>
    </row>
    <row r="18" spans="2:5" x14ac:dyDescent="0.2">
      <c r="B18" s="1" t="s">
        <v>519</v>
      </c>
      <c r="D18" s="33">
        <v>1.0200000000000001E-2</v>
      </c>
      <c r="E18" s="1" t="s">
        <v>520</v>
      </c>
    </row>
    <row r="19" spans="2:5" x14ac:dyDescent="0.2">
      <c r="D19" s="6"/>
    </row>
    <row r="20" spans="2:5" x14ac:dyDescent="0.2">
      <c r="B20" s="1" t="s">
        <v>508</v>
      </c>
      <c r="D20" s="6">
        <v>18750</v>
      </c>
    </row>
    <row r="21" spans="2:5" x14ac:dyDescent="0.2">
      <c r="B21" s="1" t="s">
        <v>510</v>
      </c>
      <c r="D21" s="33">
        <v>0.13800000000000001</v>
      </c>
      <c r="E21" s="1" t="s">
        <v>509</v>
      </c>
    </row>
    <row r="24" spans="2:5" x14ac:dyDescent="0.2">
      <c r="B24" s="1" t="s">
        <v>515</v>
      </c>
      <c r="D24" s="1">
        <v>1628</v>
      </c>
    </row>
    <row r="25" spans="2:5" x14ac:dyDescent="0.2">
      <c r="B25" s="1" t="s">
        <v>514</v>
      </c>
      <c r="D25" s="1">
        <v>670</v>
      </c>
    </row>
    <row r="26" spans="2:5" x14ac:dyDescent="0.2">
      <c r="B26" s="1" t="s">
        <v>513</v>
      </c>
      <c r="D26" s="1">
        <v>274</v>
      </c>
    </row>
    <row r="27" spans="2:5" x14ac:dyDescent="0.2">
      <c r="B27" s="1" t="s">
        <v>512</v>
      </c>
      <c r="D27" s="1">
        <v>94</v>
      </c>
    </row>
    <row r="28" spans="2:5" x14ac:dyDescent="0.2">
      <c r="B28" s="1" t="s">
        <v>511</v>
      </c>
      <c r="D28" s="1">
        <v>141</v>
      </c>
    </row>
    <row r="31" spans="2:5" x14ac:dyDescent="0.2">
      <c r="B31" s="1" t="s">
        <v>516</v>
      </c>
    </row>
    <row r="32" spans="2:5" x14ac:dyDescent="0.2">
      <c r="B32" s="1" t="s">
        <v>505</v>
      </c>
      <c r="C32" s="3">
        <v>44712</v>
      </c>
      <c r="D32" s="6">
        <v>1357</v>
      </c>
    </row>
    <row r="33" spans="2:6" x14ac:dyDescent="0.2">
      <c r="B33" s="1" t="s">
        <v>517</v>
      </c>
      <c r="D33" s="6">
        <v>146</v>
      </c>
    </row>
    <row r="34" spans="2:6" x14ac:dyDescent="0.2">
      <c r="D34" s="6">
        <f>+D32-D33</f>
        <v>1211</v>
      </c>
    </row>
    <row r="35" spans="2:6" x14ac:dyDescent="0.2">
      <c r="B35" s="1" t="s">
        <v>518</v>
      </c>
      <c r="D35" s="6">
        <f>+D34*D18*3</f>
        <v>37.056600000000003</v>
      </c>
    </row>
    <row r="36" spans="2:6" x14ac:dyDescent="0.2">
      <c r="B36" s="1" t="s">
        <v>521</v>
      </c>
      <c r="D36" s="6">
        <f>+D34-D35</f>
        <v>1173.9434000000001</v>
      </c>
    </row>
    <row r="38" spans="2:6" x14ac:dyDescent="0.2">
      <c r="B38" s="1" t="s">
        <v>503</v>
      </c>
    </row>
    <row r="39" spans="2:6" x14ac:dyDescent="0.2">
      <c r="B39" s="1" t="s">
        <v>522</v>
      </c>
      <c r="D39" s="6">
        <f>+D36*D14*D20</f>
        <v>660343.16249999998</v>
      </c>
    </row>
    <row r="40" spans="2:6" x14ac:dyDescent="0.2">
      <c r="B40" s="1" t="s">
        <v>513</v>
      </c>
      <c r="D40" s="6">
        <f>0.138*D39</f>
        <v>91127.356425000005</v>
      </c>
    </row>
    <row r="41" spans="2:6" x14ac:dyDescent="0.2">
      <c r="B41" s="1" t="s">
        <v>523</v>
      </c>
      <c r="D41" s="6">
        <f>+D39+D40</f>
        <v>751470.51892499998</v>
      </c>
    </row>
    <row r="42" spans="2:6" x14ac:dyDescent="0.2">
      <c r="B42" s="1" t="s">
        <v>524</v>
      </c>
      <c r="D42" s="6">
        <f>+D13</f>
        <v>688000</v>
      </c>
    </row>
    <row r="43" spans="2:6" x14ac:dyDescent="0.2">
      <c r="B43" s="1" t="s">
        <v>525</v>
      </c>
      <c r="D43" s="6">
        <f>+D41-D42</f>
        <v>63470.518924999982</v>
      </c>
    </row>
    <row r="45" spans="2:6" x14ac:dyDescent="0.2">
      <c r="B45" s="1" t="s">
        <v>526</v>
      </c>
      <c r="E45" s="6">
        <f>+D43</f>
        <v>63470.518924999982</v>
      </c>
    </row>
    <row r="46" spans="2:6" x14ac:dyDescent="0.2">
      <c r="C46" s="1" t="s">
        <v>527</v>
      </c>
      <c r="F46" s="6">
        <f>+E45</f>
        <v>63470.518924999982</v>
      </c>
    </row>
    <row r="47" spans="2:6" x14ac:dyDescent="0.2">
      <c r="B47" s="1" t="s">
        <v>528</v>
      </c>
    </row>
    <row r="49" spans="2:6" x14ac:dyDescent="0.2">
      <c r="B49" s="1" t="s">
        <v>529</v>
      </c>
    </row>
    <row r="50" spans="2:6" x14ac:dyDescent="0.2">
      <c r="B50" s="1" t="s">
        <v>530</v>
      </c>
    </row>
    <row r="51" spans="2:6" x14ac:dyDescent="0.2">
      <c r="B51" s="1" t="s">
        <v>513</v>
      </c>
      <c r="D51" s="1">
        <f>+D25</f>
        <v>670</v>
      </c>
    </row>
    <row r="52" spans="2:6" x14ac:dyDescent="0.2">
      <c r="B52" s="1" t="s">
        <v>531</v>
      </c>
      <c r="D52" s="1">
        <f>+D26</f>
        <v>274</v>
      </c>
    </row>
    <row r="53" spans="2:6" x14ac:dyDescent="0.2">
      <c r="D53" s="1">
        <f>SUM(D51:D52)</f>
        <v>944</v>
      </c>
    </row>
    <row r="55" spans="2:6" x14ac:dyDescent="0.2">
      <c r="B55" s="1" t="s">
        <v>532</v>
      </c>
      <c r="D55" s="1">
        <f>+D27</f>
        <v>94</v>
      </c>
    </row>
    <row r="56" spans="2:6" x14ac:dyDescent="0.2">
      <c r="B56" s="1" t="s">
        <v>533</v>
      </c>
      <c r="D56" s="1">
        <f>+D28</f>
        <v>141</v>
      </c>
    </row>
    <row r="57" spans="2:6" x14ac:dyDescent="0.2">
      <c r="B57" s="1" t="s">
        <v>539</v>
      </c>
      <c r="D57" s="1">
        <f>SUM(D55:D56)</f>
        <v>235</v>
      </c>
    </row>
    <row r="59" spans="2:6" x14ac:dyDescent="0.2">
      <c r="B59" s="1" t="s">
        <v>534</v>
      </c>
    </row>
    <row r="60" spans="2:6" x14ac:dyDescent="0.2">
      <c r="B60" s="1" t="s">
        <v>535</v>
      </c>
    </row>
    <row r="62" spans="2:6" x14ac:dyDescent="0.2">
      <c r="B62" s="1" t="s">
        <v>536</v>
      </c>
      <c r="E62" s="1">
        <f>SUM(F63:F64)</f>
        <v>1179</v>
      </c>
    </row>
    <row r="63" spans="2:6" x14ac:dyDescent="0.2">
      <c r="C63" s="1" t="s">
        <v>537</v>
      </c>
      <c r="F63" s="1">
        <f>+D53</f>
        <v>944</v>
      </c>
    </row>
    <row r="64" spans="2:6" x14ac:dyDescent="0.2">
      <c r="C64" s="1" t="s">
        <v>538</v>
      </c>
      <c r="F64" s="1">
        <v>235</v>
      </c>
    </row>
    <row r="65" spans="2:2" x14ac:dyDescent="0.2">
      <c r="B65" s="1" t="s">
        <v>540</v>
      </c>
    </row>
  </sheetData>
  <hyperlinks>
    <hyperlink ref="A1" location="Main!A1" display="Main" xr:uid="{54ED9C1D-8178-4707-BCEA-853D31442EDB}"/>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F024A-B271-48D5-94E8-E8EF17590C97}">
  <dimension ref="A1:L136"/>
  <sheetViews>
    <sheetView zoomScale="190" zoomScaleNormal="190" workbookViewId="0"/>
  </sheetViews>
  <sheetFormatPr defaultRowHeight="12" x14ac:dyDescent="0.2"/>
  <cols>
    <col min="1" max="1" width="9.140625" style="1"/>
    <col min="2" max="2" width="10.140625" style="1" customWidth="1"/>
    <col min="3" max="16384" width="9.140625" style="1"/>
  </cols>
  <sheetData>
    <row r="1" spans="1:8" ht="15" x14ac:dyDescent="0.25">
      <c r="A1" s="2" t="s">
        <v>0</v>
      </c>
    </row>
    <row r="3" spans="1:8" x14ac:dyDescent="0.2">
      <c r="B3" s="1" t="s">
        <v>2244</v>
      </c>
    </row>
    <row r="4" spans="1:8" x14ac:dyDescent="0.2">
      <c r="B4" s="1" t="s">
        <v>5</v>
      </c>
      <c r="C4" s="3">
        <v>44926</v>
      </c>
    </row>
    <row r="6" spans="1:8" x14ac:dyDescent="0.2">
      <c r="B6" s="1" t="s">
        <v>2245</v>
      </c>
    </row>
    <row r="7" spans="1:8" x14ac:dyDescent="0.2">
      <c r="B7" s="1" t="s">
        <v>2246</v>
      </c>
    </row>
    <row r="8" spans="1:8" x14ac:dyDescent="0.2">
      <c r="B8" s="1" t="s">
        <v>2247</v>
      </c>
    </row>
    <row r="9" spans="1:8" x14ac:dyDescent="0.2">
      <c r="B9" s="1" t="s">
        <v>2248</v>
      </c>
    </row>
    <row r="10" spans="1:8" x14ac:dyDescent="0.2">
      <c r="B10" s="1" t="s">
        <v>2249</v>
      </c>
    </row>
    <row r="12" spans="1:8" x14ac:dyDescent="0.2">
      <c r="E12" s="11" t="s">
        <v>1113</v>
      </c>
      <c r="F12" s="11" t="s">
        <v>21</v>
      </c>
      <c r="G12" s="11" t="s">
        <v>816</v>
      </c>
    </row>
    <row r="13" spans="1:8" x14ac:dyDescent="0.2">
      <c r="B13" s="1" t="s">
        <v>1405</v>
      </c>
      <c r="D13" s="89">
        <v>22537</v>
      </c>
      <c r="E13" s="89">
        <v>4</v>
      </c>
      <c r="F13" s="89">
        <f>+E102</f>
        <v>65</v>
      </c>
      <c r="G13" s="89"/>
      <c r="H13" s="89">
        <f>+D13-F13+G13</f>
        <v>22472</v>
      </c>
    </row>
    <row r="14" spans="1:8" x14ac:dyDescent="0.2">
      <c r="B14" s="1" t="s">
        <v>1404</v>
      </c>
      <c r="D14" s="89">
        <v>-10119</v>
      </c>
      <c r="E14" s="89"/>
      <c r="F14" s="89"/>
      <c r="G14" s="89"/>
      <c r="H14" s="89">
        <f>+D14-F14+G14</f>
        <v>-10119</v>
      </c>
    </row>
    <row r="15" spans="1:8" x14ac:dyDescent="0.2">
      <c r="B15" s="1" t="s">
        <v>1403</v>
      </c>
      <c r="D15" s="89">
        <f>SUM(D13:D14)</f>
        <v>12418</v>
      </c>
      <c r="E15" s="89"/>
      <c r="F15" s="89"/>
      <c r="G15" s="89"/>
      <c r="H15" s="89">
        <f>SUM(H13:H14)</f>
        <v>12353</v>
      </c>
    </row>
    <row r="16" spans="1:8" x14ac:dyDescent="0.2">
      <c r="B16" s="1" t="s">
        <v>2254</v>
      </c>
      <c r="D16" s="89">
        <v>145</v>
      </c>
      <c r="E16" s="89"/>
      <c r="F16" s="89"/>
      <c r="G16" s="89"/>
      <c r="H16" s="89">
        <f>+D16-F16+G16</f>
        <v>145</v>
      </c>
    </row>
    <row r="17" spans="2:8" x14ac:dyDescent="0.2">
      <c r="B17" s="1" t="s">
        <v>2253</v>
      </c>
      <c r="D17" s="89">
        <v>-5888</v>
      </c>
      <c r="E17" s="89"/>
      <c r="F17" s="89"/>
      <c r="G17" s="89"/>
      <c r="H17" s="89">
        <f>+D17-F17+G17</f>
        <v>-5888</v>
      </c>
    </row>
    <row r="18" spans="2:8" x14ac:dyDescent="0.2">
      <c r="B18" s="1" t="s">
        <v>2252</v>
      </c>
      <c r="D18" s="89">
        <v>-3419</v>
      </c>
      <c r="E18" s="89">
        <v>1</v>
      </c>
      <c r="F18" s="89">
        <f>+E35</f>
        <v>346.0969999999997</v>
      </c>
      <c r="G18" s="89"/>
      <c r="H18" s="89">
        <f>+D18-F18+G18</f>
        <v>-3765.0969999999998</v>
      </c>
    </row>
    <row r="19" spans="2:8" x14ac:dyDescent="0.2">
      <c r="B19" s="1" t="s">
        <v>2251</v>
      </c>
      <c r="D19" s="89">
        <v>522</v>
      </c>
      <c r="E19" s="89"/>
      <c r="F19" s="89"/>
      <c r="G19" s="89"/>
      <c r="H19" s="89">
        <f>+D19-F19+G19</f>
        <v>522</v>
      </c>
    </row>
    <row r="20" spans="2:8" x14ac:dyDescent="0.2">
      <c r="B20" s="1" t="s">
        <v>390</v>
      </c>
      <c r="D20" s="89">
        <v>-978</v>
      </c>
      <c r="E20" s="89"/>
      <c r="F20" s="89"/>
      <c r="G20" s="89"/>
      <c r="H20" s="89">
        <f>+D20-F20+G20</f>
        <v>-978</v>
      </c>
    </row>
    <row r="21" spans="2:8" x14ac:dyDescent="0.2">
      <c r="B21" s="1" t="s">
        <v>1400</v>
      </c>
      <c r="D21" s="89">
        <f>SUM(D15:D20)</f>
        <v>2800</v>
      </c>
      <c r="E21" s="89"/>
      <c r="F21" s="89"/>
      <c r="G21" s="89"/>
      <c r="H21" s="89">
        <f>SUM(H15:H20)</f>
        <v>2388.9030000000002</v>
      </c>
    </row>
    <row r="22" spans="2:8" x14ac:dyDescent="0.2">
      <c r="B22" s="1" t="s">
        <v>1399</v>
      </c>
      <c r="D22" s="89">
        <v>0</v>
      </c>
      <c r="E22" s="89" t="s">
        <v>1111</v>
      </c>
      <c r="F22" s="89">
        <f>+E91</f>
        <v>785</v>
      </c>
      <c r="G22" s="89">
        <f>+F103+F117</f>
        <v>143.10842999999994</v>
      </c>
      <c r="H22" s="89">
        <f>+D22-F22+G22</f>
        <v>-641.89157</v>
      </c>
    </row>
    <row r="23" spans="2:8" ht="12.75" thickBot="1" x14ac:dyDescent="0.25">
      <c r="B23" s="1" t="s">
        <v>2250</v>
      </c>
      <c r="D23" s="89">
        <f>SUM(D21:D22)</f>
        <v>2800</v>
      </c>
      <c r="E23" s="89"/>
      <c r="F23" s="89"/>
      <c r="G23" s="89"/>
      <c r="H23" s="90">
        <f>SUM(H21:H22)</f>
        <v>1747.0114300000002</v>
      </c>
    </row>
    <row r="24" spans="2:8" ht="12.75" thickTop="1" x14ac:dyDescent="0.2"/>
    <row r="26" spans="2:8" s="11" customFormat="1" x14ac:dyDescent="0.2">
      <c r="C26" s="11" t="s">
        <v>1593</v>
      </c>
      <c r="D26" s="11" t="s">
        <v>1594</v>
      </c>
      <c r="E26" s="11" t="s">
        <v>2255</v>
      </c>
      <c r="F26" s="11" t="s">
        <v>2256</v>
      </c>
    </row>
    <row r="27" spans="2:8" x14ac:dyDescent="0.2">
      <c r="B27" s="1" t="s">
        <v>34</v>
      </c>
      <c r="C27" s="89">
        <v>2700</v>
      </c>
      <c r="D27" s="89">
        <v>11900</v>
      </c>
      <c r="E27" s="89">
        <v>8478</v>
      </c>
      <c r="F27" s="89">
        <v>2750</v>
      </c>
    </row>
    <row r="28" spans="2:8" x14ac:dyDescent="0.2">
      <c r="B28" s="1" t="s">
        <v>35</v>
      </c>
      <c r="C28" s="89">
        <v>0</v>
      </c>
      <c r="D28" s="89">
        <v>-4215</v>
      </c>
      <c r="E28" s="89">
        <v>-2985</v>
      </c>
      <c r="F28" s="89">
        <v>-700</v>
      </c>
    </row>
    <row r="29" spans="2:8" ht="12.75" thickBot="1" x14ac:dyDescent="0.25">
      <c r="B29" s="1" t="s">
        <v>302</v>
      </c>
      <c r="C29" s="90">
        <f>SUM(C27:C28)</f>
        <v>2700</v>
      </c>
      <c r="D29" s="90">
        <f t="shared" ref="D29:F29" si="0">SUM(D27:D28)</f>
        <v>7685</v>
      </c>
      <c r="E29" s="90">
        <f t="shared" si="0"/>
        <v>5493</v>
      </c>
      <c r="F29" s="90">
        <f t="shared" si="0"/>
        <v>2050</v>
      </c>
      <c r="G29" s="89">
        <f>SUM(D29:F29)</f>
        <v>15228</v>
      </c>
    </row>
    <row r="30" spans="2:8" ht="12.75" thickTop="1" x14ac:dyDescent="0.2">
      <c r="B30" s="1" t="s">
        <v>32</v>
      </c>
      <c r="C30" s="277">
        <f>+C48</f>
        <v>2422</v>
      </c>
      <c r="D30" s="277">
        <f>+D67</f>
        <v>6650</v>
      </c>
      <c r="E30" s="277">
        <f>+E72</f>
        <v>5000</v>
      </c>
      <c r="F30" s="277">
        <f>+F29</f>
        <v>2050</v>
      </c>
      <c r="G30" s="89">
        <f>SUM(D30:F30)</f>
        <v>13700</v>
      </c>
    </row>
    <row r="31" spans="2:8" x14ac:dyDescent="0.2">
      <c r="C31" s="277">
        <f>+C52</f>
        <v>2025</v>
      </c>
      <c r="D31" s="277"/>
      <c r="E31" s="277"/>
      <c r="F31" s="277"/>
      <c r="G31" s="89">
        <f>+E83</f>
        <v>15159.903</v>
      </c>
    </row>
    <row r="32" spans="2:8" x14ac:dyDescent="0.2">
      <c r="C32" s="278"/>
      <c r="D32" s="278">
        <f>+D29/$G$29</f>
        <v>0.50466246388232205</v>
      </c>
      <c r="E32" s="278">
        <f>+E29/$G$29</f>
        <v>0.3607171000788022</v>
      </c>
      <c r="F32" s="278">
        <f>+F29/$G$29</f>
        <v>0.13462043603887575</v>
      </c>
      <c r="G32" s="89">
        <f>+G31-G29</f>
        <v>-68.096999999999753</v>
      </c>
    </row>
    <row r="33" spans="2:7" x14ac:dyDescent="0.2">
      <c r="C33" s="277">
        <f>+C30-C29</f>
        <v>-278</v>
      </c>
      <c r="D33" s="277">
        <f>+D32*$G$32</f>
        <v>-34.365999802994359</v>
      </c>
      <c r="E33" s="277">
        <f>+E32*$G$32</f>
        <v>-24.563752364066104</v>
      </c>
      <c r="F33" s="277">
        <f>+F32*$G$32</f>
        <v>-9.1672478329392888</v>
      </c>
      <c r="G33" s="89">
        <f>SUM(C33:F33)</f>
        <v>-346.0969999999997</v>
      </c>
    </row>
    <row r="34" spans="2:7" x14ac:dyDescent="0.2">
      <c r="C34" s="277"/>
      <c r="D34" s="277"/>
      <c r="E34" s="277"/>
      <c r="F34" s="277"/>
      <c r="G34" s="89"/>
    </row>
    <row r="35" spans="2:7" x14ac:dyDescent="0.2">
      <c r="B35" s="1" t="s">
        <v>2295</v>
      </c>
      <c r="C35" s="277"/>
      <c r="D35" s="277"/>
      <c r="E35" s="277">
        <f>-G33</f>
        <v>346.0969999999997</v>
      </c>
      <c r="F35" s="277"/>
      <c r="G35" s="89"/>
    </row>
    <row r="36" spans="2:7" x14ac:dyDescent="0.2">
      <c r="C36" s="277" t="s">
        <v>2296</v>
      </c>
      <c r="D36" s="277"/>
      <c r="E36" s="277"/>
      <c r="F36" s="277" cm="1">
        <f t="array" ref="F36:F39">+-TRANSPOSE(C33:F33)</f>
        <v>278</v>
      </c>
      <c r="G36" s="89"/>
    </row>
    <row r="37" spans="2:7" x14ac:dyDescent="0.2">
      <c r="C37" s="277" t="s">
        <v>2297</v>
      </c>
      <c r="D37" s="277"/>
      <c r="E37" s="277"/>
      <c r="F37" s="277">
        <v>34.365999802994359</v>
      </c>
      <c r="G37" s="89"/>
    </row>
    <row r="38" spans="2:7" x14ac:dyDescent="0.2">
      <c r="C38" s="277" t="s">
        <v>2298</v>
      </c>
      <c r="D38" s="277"/>
      <c r="E38" s="277"/>
      <c r="F38" s="277">
        <v>24.563752364066104</v>
      </c>
      <c r="G38" s="89"/>
    </row>
    <row r="39" spans="2:7" x14ac:dyDescent="0.2">
      <c r="C39" s="277" t="s">
        <v>2299</v>
      </c>
      <c r="D39" s="277"/>
      <c r="E39" s="277"/>
      <c r="F39" s="277">
        <v>9.1672478329392888</v>
      </c>
    </row>
    <row r="40" spans="2:7" x14ac:dyDescent="0.2">
      <c r="B40" s="1" t="s">
        <v>2300</v>
      </c>
      <c r="C40" s="277"/>
      <c r="D40" s="277"/>
      <c r="E40" s="277"/>
      <c r="F40" s="277"/>
    </row>
    <row r="42" spans="2:7" x14ac:dyDescent="0.2">
      <c r="B42" s="1" t="s">
        <v>1593</v>
      </c>
    </row>
    <row r="43" spans="2:7" x14ac:dyDescent="0.2">
      <c r="B43" s="1" t="s">
        <v>2257</v>
      </c>
      <c r="C43" s="1">
        <v>2022</v>
      </c>
      <c r="D43" s="1">
        <v>2021</v>
      </c>
    </row>
    <row r="44" spans="2:7" x14ac:dyDescent="0.2">
      <c r="C44" s="276">
        <v>8.5</v>
      </c>
      <c r="D44" s="276">
        <v>9.5</v>
      </c>
    </row>
    <row r="45" spans="2:7" x14ac:dyDescent="0.2">
      <c r="C45" s="89">
        <v>300</v>
      </c>
      <c r="D45" s="89">
        <v>300</v>
      </c>
    </row>
    <row r="46" spans="2:7" x14ac:dyDescent="0.2">
      <c r="B46" s="1" t="s">
        <v>32</v>
      </c>
      <c r="C46" s="89">
        <f>+C44*C45</f>
        <v>2550</v>
      </c>
      <c r="D46" s="89">
        <f>+D44*D45</f>
        <v>2850</v>
      </c>
    </row>
    <row r="47" spans="2:7" x14ac:dyDescent="0.2">
      <c r="B47" s="1" t="s">
        <v>45</v>
      </c>
      <c r="C47" s="1">
        <v>-128</v>
      </c>
      <c r="D47" s="1">
        <v>-128</v>
      </c>
    </row>
    <row r="48" spans="2:7" ht="12.75" thickBot="1" x14ac:dyDescent="0.25">
      <c r="B48" s="1" t="s">
        <v>46</v>
      </c>
      <c r="C48" s="90" cm="1">
        <f t="array" ref="C48">SUM(+C46:C47)</f>
        <v>2422</v>
      </c>
      <c r="D48" s="90">
        <f>SUM(D46:D47)</f>
        <v>2722</v>
      </c>
    </row>
    <row r="49" spans="2:12" ht="12.75" thickTop="1" x14ac:dyDescent="0.2">
      <c r="C49" s="277"/>
      <c r="D49" s="277"/>
    </row>
    <row r="50" spans="2:12" x14ac:dyDescent="0.2">
      <c r="B50" s="1" t="s">
        <v>225</v>
      </c>
      <c r="C50" s="279">
        <v>0.27</v>
      </c>
      <c r="D50" s="277" t="s">
        <v>2292</v>
      </c>
    </row>
    <row r="51" spans="2:12" x14ac:dyDescent="0.2">
      <c r="C51" s="277">
        <f>+C50*300</f>
        <v>81</v>
      </c>
      <c r="D51" s="277" t="s">
        <v>2293</v>
      </c>
    </row>
    <row r="52" spans="2:12" x14ac:dyDescent="0.2">
      <c r="B52" s="1" t="s">
        <v>83</v>
      </c>
      <c r="C52" s="277">
        <f>+C51/0.04</f>
        <v>2025</v>
      </c>
      <c r="D52" s="277" t="s">
        <v>2268</v>
      </c>
    </row>
    <row r="53" spans="2:12" x14ac:dyDescent="0.2">
      <c r="C53" s="277"/>
      <c r="D53" s="277"/>
    </row>
    <row r="54" spans="2:12" x14ac:dyDescent="0.2">
      <c r="B54" s="1" t="s">
        <v>2294</v>
      </c>
      <c r="C54" s="277">
        <f>+C48</f>
        <v>2422</v>
      </c>
      <c r="D54" s="277"/>
    </row>
    <row r="55" spans="2:12" x14ac:dyDescent="0.2">
      <c r="C55" s="277">
        <f>+C54-C27</f>
        <v>-278</v>
      </c>
      <c r="D55" s="277"/>
    </row>
    <row r="57" spans="2:12" x14ac:dyDescent="0.2">
      <c r="B57" s="1" t="s">
        <v>2258</v>
      </c>
    </row>
    <row r="58" spans="2:12" x14ac:dyDescent="0.2">
      <c r="B58" s="1" t="s">
        <v>2259</v>
      </c>
    </row>
    <row r="59" spans="2:12" x14ac:dyDescent="0.2">
      <c r="B59" s="1" t="s">
        <v>2260</v>
      </c>
    </row>
    <row r="60" spans="2:12" x14ac:dyDescent="0.2">
      <c r="B60" s="1" t="s">
        <v>2261</v>
      </c>
    </row>
    <row r="61" spans="2:12" x14ac:dyDescent="0.2">
      <c r="B61" s="1" t="s">
        <v>2262</v>
      </c>
    </row>
    <row r="62" spans="2:12" x14ac:dyDescent="0.2">
      <c r="B62" s="9"/>
      <c r="K62" s="89"/>
    </row>
    <row r="63" spans="2:12" x14ac:dyDescent="0.2">
      <c r="K63" s="89"/>
      <c r="L63" s="33"/>
    </row>
    <row r="64" spans="2:12" x14ac:dyDescent="0.2">
      <c r="B64" s="1" t="s">
        <v>2263</v>
      </c>
      <c r="K64" s="89"/>
      <c r="L64" s="33"/>
    </row>
    <row r="65" spans="2:12" x14ac:dyDescent="0.2">
      <c r="B65" s="1" t="s">
        <v>32</v>
      </c>
      <c r="C65" s="3">
        <v>44926</v>
      </c>
      <c r="D65" s="89">
        <v>7000</v>
      </c>
      <c r="K65" s="89"/>
      <c r="L65" s="33"/>
    </row>
    <row r="66" spans="2:12" x14ac:dyDescent="0.2">
      <c r="B66" s="1" t="s">
        <v>2264</v>
      </c>
      <c r="D66" s="89">
        <f>-0.05*D65</f>
        <v>-350</v>
      </c>
      <c r="K66" s="89"/>
      <c r="L66" s="33"/>
    </row>
    <row r="67" spans="2:12" ht="12.75" thickBot="1" x14ac:dyDescent="0.25">
      <c r="B67" s="1" t="s">
        <v>46</v>
      </c>
      <c r="D67" s="280">
        <f>SUM(D65:D66)</f>
        <v>6650</v>
      </c>
      <c r="K67" s="89"/>
    </row>
    <row r="68" spans="2:12" ht="12.75" thickTop="1" x14ac:dyDescent="0.2">
      <c r="B68" s="1" t="s">
        <v>302</v>
      </c>
      <c r="D68" s="89">
        <f>+D29</f>
        <v>7685</v>
      </c>
      <c r="K68" s="89"/>
      <c r="L68" s="33"/>
    </row>
    <row r="69" spans="2:12" x14ac:dyDescent="0.2">
      <c r="B69" s="1" t="s">
        <v>2265</v>
      </c>
      <c r="D69" s="89">
        <f>+D67-D68</f>
        <v>-1035</v>
      </c>
      <c r="K69" s="89"/>
      <c r="L69" s="33"/>
    </row>
    <row r="70" spans="2:12" x14ac:dyDescent="0.2">
      <c r="K70" s="89"/>
      <c r="L70" s="33"/>
    </row>
    <row r="71" spans="2:12" x14ac:dyDescent="0.2">
      <c r="B71" s="89" t="s">
        <v>2255</v>
      </c>
      <c r="K71" s="89"/>
    </row>
    <row r="72" spans="2:12" x14ac:dyDescent="0.2">
      <c r="B72" s="1" t="s">
        <v>32</v>
      </c>
      <c r="E72" s="16">
        <v>5000</v>
      </c>
      <c r="K72" s="89"/>
      <c r="L72" s="33"/>
    </row>
    <row r="73" spans="2:12" x14ac:dyDescent="0.2">
      <c r="B73" s="89" t="s">
        <v>302</v>
      </c>
      <c r="E73" s="89">
        <f>+E29</f>
        <v>5493</v>
      </c>
      <c r="K73" s="89"/>
      <c r="L73" s="33"/>
    </row>
    <row r="74" spans="2:12" x14ac:dyDescent="0.2">
      <c r="B74" s="1" t="s">
        <v>399</v>
      </c>
      <c r="E74" s="89">
        <f>+E73-E72</f>
        <v>493</v>
      </c>
      <c r="K74" s="89"/>
      <c r="L74" s="33"/>
    </row>
    <row r="77" spans="2:12" x14ac:dyDescent="0.2">
      <c r="B77" s="1" t="s">
        <v>2266</v>
      </c>
      <c r="C77" s="1" t="s">
        <v>2267</v>
      </c>
      <c r="E77" s="1" t="s">
        <v>2268</v>
      </c>
    </row>
    <row r="78" spans="2:12" x14ac:dyDescent="0.2">
      <c r="B78" s="3">
        <v>45291</v>
      </c>
      <c r="C78" s="89">
        <v>3000</v>
      </c>
      <c r="D78" s="1">
        <v>0.90900000000000003</v>
      </c>
      <c r="E78" s="89">
        <f>+C78*D78</f>
        <v>2727</v>
      </c>
    </row>
    <row r="79" spans="2:12" x14ac:dyDescent="0.2">
      <c r="B79" s="3">
        <v>45657</v>
      </c>
      <c r="C79" s="89">
        <v>3210</v>
      </c>
      <c r="D79" s="1">
        <v>0.82599999999999996</v>
      </c>
      <c r="E79" s="89">
        <f t="shared" ref="E79:E82" si="1">+C79*D79</f>
        <v>2651.46</v>
      </c>
    </row>
    <row r="80" spans="2:12" x14ac:dyDescent="0.2">
      <c r="B80" s="3">
        <v>46022</v>
      </c>
      <c r="C80" s="89">
        <v>3370</v>
      </c>
      <c r="D80" s="1">
        <v>0.751</v>
      </c>
      <c r="E80" s="89">
        <f t="shared" si="1"/>
        <v>2530.87</v>
      </c>
    </row>
    <row r="81" spans="2:6" x14ac:dyDescent="0.2">
      <c r="B81" s="3">
        <v>46387</v>
      </c>
      <c r="C81" s="89">
        <v>3472</v>
      </c>
      <c r="D81" s="1">
        <v>0.68300000000000005</v>
      </c>
      <c r="E81" s="89">
        <f t="shared" si="1"/>
        <v>2371.3760000000002</v>
      </c>
    </row>
    <row r="82" spans="2:6" x14ac:dyDescent="0.2">
      <c r="B82" s="3">
        <v>46752</v>
      </c>
      <c r="C82" s="89">
        <v>7857</v>
      </c>
      <c r="D82" s="1">
        <v>0.621</v>
      </c>
      <c r="E82" s="89">
        <f t="shared" si="1"/>
        <v>4879.1970000000001</v>
      </c>
    </row>
    <row r="83" spans="2:6" ht="12.75" thickBot="1" x14ac:dyDescent="0.25">
      <c r="E83" s="280">
        <f>SUM(E78:E82)</f>
        <v>15159.903</v>
      </c>
    </row>
    <row r="84" spans="2:6" ht="12.75" thickTop="1" x14ac:dyDescent="0.2"/>
    <row r="87" spans="2:6" x14ac:dyDescent="0.2">
      <c r="B87" s="1" t="s">
        <v>2269</v>
      </c>
    </row>
    <row r="89" spans="2:6" x14ac:dyDescent="0.2">
      <c r="B89" s="1" t="s">
        <v>1494</v>
      </c>
      <c r="C89" s="3">
        <v>44926</v>
      </c>
      <c r="E89" s="1">
        <v>785</v>
      </c>
    </row>
    <row r="91" spans="2:6" x14ac:dyDescent="0.2">
      <c r="B91" s="1" t="s">
        <v>2271</v>
      </c>
      <c r="E91" s="1">
        <f>+E89</f>
        <v>785</v>
      </c>
    </row>
    <row r="92" spans="2:6" x14ac:dyDescent="0.2">
      <c r="C92" s="1" t="s">
        <v>1504</v>
      </c>
      <c r="F92" s="1">
        <f>+E91</f>
        <v>785</v>
      </c>
    </row>
    <row r="93" spans="2:6" x14ac:dyDescent="0.2">
      <c r="B93" s="1" t="s">
        <v>2272</v>
      </c>
    </row>
    <row r="95" spans="2:6" x14ac:dyDescent="0.2">
      <c r="B95" s="1" t="s">
        <v>2273</v>
      </c>
    </row>
    <row r="96" spans="2:6" x14ac:dyDescent="0.2">
      <c r="B96" s="1" t="s">
        <v>2274</v>
      </c>
      <c r="E96" s="1">
        <v>300</v>
      </c>
    </row>
    <row r="97" spans="2:6" x14ac:dyDescent="0.2">
      <c r="C97" s="1" t="s">
        <v>2275</v>
      </c>
      <c r="F97" s="1">
        <f>+E96</f>
        <v>300</v>
      </c>
    </row>
    <row r="98" spans="2:6" x14ac:dyDescent="0.2">
      <c r="B98" s="1" t="s">
        <v>2276</v>
      </c>
    </row>
    <row r="100" spans="2:6" x14ac:dyDescent="0.2">
      <c r="B100" s="1" t="s">
        <v>2270</v>
      </c>
      <c r="D100" s="1">
        <v>65</v>
      </c>
    </row>
    <row r="102" spans="2:6" x14ac:dyDescent="0.2">
      <c r="B102" s="1" t="s">
        <v>727</v>
      </c>
      <c r="E102" s="1">
        <f>+D100</f>
        <v>65</v>
      </c>
    </row>
    <row r="103" spans="2:6" x14ac:dyDescent="0.2">
      <c r="C103" s="1" t="s">
        <v>2277</v>
      </c>
      <c r="F103" s="1">
        <f>+E102</f>
        <v>65</v>
      </c>
    </row>
    <row r="104" spans="2:6" x14ac:dyDescent="0.2">
      <c r="B104" s="1" t="s">
        <v>2278</v>
      </c>
    </row>
    <row r="107" spans="2:6" x14ac:dyDescent="0.2">
      <c r="B107" s="1" t="s">
        <v>2279</v>
      </c>
    </row>
    <row r="109" spans="2:6" x14ac:dyDescent="0.2">
      <c r="B109" s="1" t="s">
        <v>2280</v>
      </c>
      <c r="E109" s="89">
        <f>+G33</f>
        <v>-346.0969999999997</v>
      </c>
      <c r="F109" s="1" t="s">
        <v>21</v>
      </c>
    </row>
    <row r="110" spans="2:6" x14ac:dyDescent="0.2">
      <c r="B110" s="1" t="s">
        <v>2282</v>
      </c>
      <c r="E110" s="89">
        <f>+-E102</f>
        <v>-65</v>
      </c>
      <c r="F110" s="1" t="s">
        <v>21</v>
      </c>
    </row>
    <row r="111" spans="2:6" x14ac:dyDescent="0.2">
      <c r="B111" s="1" t="s">
        <v>2281</v>
      </c>
      <c r="E111" s="89">
        <f>SUM(E109:E110)</f>
        <v>-411.0969999999997</v>
      </c>
    </row>
    <row r="112" spans="2:6" x14ac:dyDescent="0.2">
      <c r="B112" s="1" t="s">
        <v>2279</v>
      </c>
      <c r="E112" s="89">
        <f>0.19*E111</f>
        <v>-78.108429999999942</v>
      </c>
    </row>
    <row r="116" spans="2:6" x14ac:dyDescent="0.2">
      <c r="B116" s="1" t="s">
        <v>2274</v>
      </c>
      <c r="E116" s="89">
        <f>-E112</f>
        <v>78.108429999999942</v>
      </c>
      <c r="F116" s="89"/>
    </row>
    <row r="117" spans="2:6" x14ac:dyDescent="0.2">
      <c r="C117" s="1" t="s">
        <v>1515</v>
      </c>
      <c r="E117" s="89"/>
      <c r="F117" s="89">
        <f>++E116</f>
        <v>78.108429999999942</v>
      </c>
    </row>
    <row r="118" spans="2:6" x14ac:dyDescent="0.2">
      <c r="B118" s="1" t="s">
        <v>2283</v>
      </c>
    </row>
    <row r="125" spans="2:6" x14ac:dyDescent="0.2">
      <c r="B125" s="1" t="s">
        <v>2284</v>
      </c>
    </row>
    <row r="127" spans="2:6" x14ac:dyDescent="0.2">
      <c r="B127" s="1" t="s">
        <v>2284</v>
      </c>
    </row>
    <row r="128" spans="2:6" x14ac:dyDescent="0.2">
      <c r="B128" s="1" t="s">
        <v>2285</v>
      </c>
    </row>
    <row r="129" spans="2:2" x14ac:dyDescent="0.2">
      <c r="B129" s="1" t="s">
        <v>2286</v>
      </c>
    </row>
    <row r="130" spans="2:2" x14ac:dyDescent="0.2">
      <c r="B130" s="1" t="s">
        <v>2287</v>
      </c>
    </row>
    <row r="131" spans="2:2" x14ac:dyDescent="0.2">
      <c r="B131" s="1" t="s">
        <v>2288</v>
      </c>
    </row>
    <row r="132" spans="2:2" x14ac:dyDescent="0.2">
      <c r="B132" s="1" t="s">
        <v>2289</v>
      </c>
    </row>
    <row r="135" spans="2:2" x14ac:dyDescent="0.2">
      <c r="B135" s="1" t="s">
        <v>2290</v>
      </c>
    </row>
    <row r="136" spans="2:2" x14ac:dyDescent="0.2">
      <c r="B136" s="1" t="s">
        <v>2291</v>
      </c>
    </row>
  </sheetData>
  <hyperlinks>
    <hyperlink ref="A1" location="Main!A1" display="Main" xr:uid="{B2E9F48F-094E-4179-AB70-31BC8B1E3A82}"/>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4022A-566E-40DF-B878-41751F1B0FE1}">
  <sheetPr codeName="Sheet6"/>
  <dimension ref="A1:B27"/>
  <sheetViews>
    <sheetView zoomScaleNormal="100" workbookViewId="0"/>
  </sheetViews>
  <sheetFormatPr defaultRowHeight="12" x14ac:dyDescent="0.2"/>
  <cols>
    <col min="1" max="16384" width="9.140625" style="1"/>
  </cols>
  <sheetData>
    <row r="1" spans="1:2" ht="15" x14ac:dyDescent="0.25">
      <c r="A1" s="2" t="s">
        <v>0</v>
      </c>
    </row>
    <row r="2" spans="1:2" x14ac:dyDescent="0.2">
      <c r="B2" s="1" t="s">
        <v>628</v>
      </c>
    </row>
    <row r="3" spans="1:2" x14ac:dyDescent="0.2">
      <c r="B3" s="1" t="s">
        <v>629</v>
      </c>
    </row>
    <row r="4" spans="1:2" x14ac:dyDescent="0.2">
      <c r="B4" s="1" t="s">
        <v>630</v>
      </c>
    </row>
    <row r="6" spans="1:2" x14ac:dyDescent="0.2">
      <c r="B6" s="1" t="s">
        <v>639</v>
      </c>
    </row>
    <row r="8" spans="1:2" x14ac:dyDescent="0.2">
      <c r="B8" s="1" t="s">
        <v>631</v>
      </c>
    </row>
    <row r="9" spans="1:2" x14ac:dyDescent="0.2">
      <c r="B9" s="1" t="s">
        <v>632</v>
      </c>
    </row>
    <row r="11" spans="1:2" x14ac:dyDescent="0.2">
      <c r="B11" s="1" t="s">
        <v>32</v>
      </c>
    </row>
    <row r="12" spans="1:2" x14ac:dyDescent="0.2">
      <c r="B12" s="1" t="s">
        <v>633</v>
      </c>
    </row>
    <row r="13" spans="1:2" x14ac:dyDescent="0.2">
      <c r="B13" s="1" t="s">
        <v>634</v>
      </c>
    </row>
    <row r="15" spans="1:2" x14ac:dyDescent="0.2">
      <c r="B15" s="1" t="s">
        <v>635</v>
      </c>
    </row>
    <row r="16" spans="1:2" x14ac:dyDescent="0.2">
      <c r="B16" s="1" t="s">
        <v>636</v>
      </c>
    </row>
    <row r="17" spans="2:2" x14ac:dyDescent="0.2">
      <c r="B17" s="1" t="s">
        <v>637</v>
      </c>
    </row>
    <row r="18" spans="2:2" x14ac:dyDescent="0.2">
      <c r="B18" s="1" t="s">
        <v>638</v>
      </c>
    </row>
    <row r="19" spans="2:2" x14ac:dyDescent="0.2">
      <c r="B19" s="1" t="s">
        <v>640</v>
      </c>
    </row>
    <row r="21" spans="2:2" x14ac:dyDescent="0.2">
      <c r="B21" s="1" t="s">
        <v>641</v>
      </c>
    </row>
    <row r="22" spans="2:2" x14ac:dyDescent="0.2">
      <c r="B22" s="1" t="s">
        <v>642</v>
      </c>
    </row>
    <row r="24" spans="2:2" x14ac:dyDescent="0.2">
      <c r="B24" s="1" t="s">
        <v>643</v>
      </c>
    </row>
    <row r="25" spans="2:2" x14ac:dyDescent="0.2">
      <c r="B25" s="1" t="s">
        <v>644</v>
      </c>
    </row>
    <row r="26" spans="2:2" x14ac:dyDescent="0.2">
      <c r="B26" s="1" t="s">
        <v>645</v>
      </c>
    </row>
    <row r="27" spans="2:2" x14ac:dyDescent="0.2">
      <c r="B27" s="1" t="s">
        <v>646</v>
      </c>
    </row>
  </sheetData>
  <hyperlinks>
    <hyperlink ref="A1" location="Main!A1" display="Main" xr:uid="{261E3C89-A42D-4B01-BF17-C5D71071917A}"/>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14F4C-8307-4306-9888-360B5DB3CCE8}">
  <sheetPr codeName="Sheet35"/>
  <dimension ref="A1:S94"/>
  <sheetViews>
    <sheetView zoomScale="160" zoomScaleNormal="160" workbookViewId="0"/>
  </sheetViews>
  <sheetFormatPr defaultRowHeight="12" x14ac:dyDescent="0.2"/>
  <cols>
    <col min="1" max="16384" width="9.140625" style="1"/>
  </cols>
  <sheetData>
    <row r="1" spans="1:6" ht="15" x14ac:dyDescent="0.25">
      <c r="A1" s="2" t="s">
        <v>0</v>
      </c>
    </row>
    <row r="2" spans="1:6" ht="15" x14ac:dyDescent="0.25">
      <c r="A2" s="2"/>
    </row>
    <row r="3" spans="1:6" ht="15" x14ac:dyDescent="0.25">
      <c r="A3" s="2"/>
    </row>
    <row r="4" spans="1:6" ht="15" x14ac:dyDescent="0.25">
      <c r="A4" s="2"/>
      <c r="B4" s="1" t="s">
        <v>2106</v>
      </c>
      <c r="E4" s="1">
        <v>37</v>
      </c>
    </row>
    <row r="5" spans="1:6" ht="15" x14ac:dyDescent="0.25">
      <c r="A5" s="2"/>
      <c r="C5" s="1" t="s">
        <v>1504</v>
      </c>
      <c r="F5" s="1">
        <f>+E4</f>
        <v>37</v>
      </c>
    </row>
    <row r="6" spans="1:6" ht="15" x14ac:dyDescent="0.25">
      <c r="A6" s="2"/>
    </row>
    <row r="7" spans="1:6" ht="15" x14ac:dyDescent="0.25">
      <c r="A7" s="2"/>
      <c r="B7" s="1" t="s">
        <v>2107</v>
      </c>
      <c r="E7" s="1">
        <v>3</v>
      </c>
    </row>
    <row r="8" spans="1:6" ht="15" x14ac:dyDescent="0.25">
      <c r="A8" s="2"/>
      <c r="C8" s="1" t="s">
        <v>1504</v>
      </c>
      <c r="F8" s="1">
        <f>+E7</f>
        <v>3</v>
      </c>
    </row>
    <row r="9" spans="1:6" ht="15" x14ac:dyDescent="0.25">
      <c r="A9" s="2"/>
    </row>
    <row r="10" spans="1:6" ht="15" x14ac:dyDescent="0.25">
      <c r="A10" s="2"/>
    </row>
    <row r="11" spans="1:6" ht="15" x14ac:dyDescent="0.25">
      <c r="A11" s="2"/>
    </row>
    <row r="12" spans="1:6" ht="15" x14ac:dyDescent="0.25">
      <c r="A12" s="2"/>
    </row>
    <row r="13" spans="1:6" customFormat="1" ht="15" x14ac:dyDescent="0.25">
      <c r="B13" s="115" t="s">
        <v>2016</v>
      </c>
    </row>
    <row r="14" spans="1:6" customFormat="1" ht="15" x14ac:dyDescent="0.25">
      <c r="B14" s="103" t="s">
        <v>2017</v>
      </c>
    </row>
    <row r="15" spans="1:6" customFormat="1" ht="15" x14ac:dyDescent="0.25">
      <c r="B15" s="103" t="s">
        <v>2018</v>
      </c>
    </row>
    <row r="16" spans="1:6" customFormat="1" ht="15" x14ac:dyDescent="0.25">
      <c r="B16" s="103" t="s">
        <v>2019</v>
      </c>
    </row>
    <row r="17" spans="2:19" customFormat="1" ht="15" x14ac:dyDescent="0.25">
      <c r="B17" s="103" t="s">
        <v>2020</v>
      </c>
    </row>
    <row r="18" spans="2:19" customFormat="1" ht="15" x14ac:dyDescent="0.25"/>
    <row r="19" spans="2:19" customFormat="1" ht="15" x14ac:dyDescent="0.25">
      <c r="B19" s="103" t="s">
        <v>2021</v>
      </c>
      <c r="G19" s="103" t="s">
        <v>2022</v>
      </c>
    </row>
    <row r="20" spans="2:19" customFormat="1" ht="15" x14ac:dyDescent="0.25">
      <c r="B20" s="103" t="s">
        <v>2023</v>
      </c>
      <c r="G20" s="103" t="s">
        <v>2024</v>
      </c>
    </row>
    <row r="21" spans="2:19" customFormat="1" ht="15" x14ac:dyDescent="0.25">
      <c r="B21" s="103" t="s">
        <v>2025</v>
      </c>
      <c r="G21" s="103" t="s">
        <v>2026</v>
      </c>
    </row>
    <row r="22" spans="2:19" customFormat="1" ht="15" x14ac:dyDescent="0.25">
      <c r="B22" s="103" t="s">
        <v>2027</v>
      </c>
      <c r="G22" s="103" t="s">
        <v>2028</v>
      </c>
    </row>
    <row r="23" spans="2:19" customFormat="1" ht="15" x14ac:dyDescent="0.25">
      <c r="B23" s="103" t="s">
        <v>2029</v>
      </c>
    </row>
    <row r="24" spans="2:19" customFormat="1" ht="15" x14ac:dyDescent="0.25">
      <c r="B24" s="103" t="s">
        <v>2030</v>
      </c>
      <c r="G24" s="254" t="s">
        <v>2031</v>
      </c>
    </row>
    <row r="25" spans="2:19" customFormat="1" ht="15" x14ac:dyDescent="0.25">
      <c r="B25" s="115" t="s">
        <v>2032</v>
      </c>
    </row>
    <row r="26" spans="2:19" customFormat="1" ht="15" x14ac:dyDescent="0.25"/>
    <row r="27" spans="2:19" customFormat="1" ht="15" x14ac:dyDescent="0.25">
      <c r="B27" s="97" t="s">
        <v>2033</v>
      </c>
      <c r="C27" s="255">
        <f>IF(C32="advance",C29+C30+C28,C29+C28)</f>
        <v>350.04199999999997</v>
      </c>
      <c r="D27" t="s">
        <v>32</v>
      </c>
      <c r="E27" s="224" t="s">
        <v>2034</v>
      </c>
    </row>
    <row r="28" spans="2:19" customFormat="1" ht="15" x14ac:dyDescent="0.25">
      <c r="B28" s="97" t="s">
        <v>2035</v>
      </c>
      <c r="C28" s="256">
        <v>0</v>
      </c>
      <c r="E28" s="224" t="s">
        <v>2036</v>
      </c>
      <c r="R28" s="106"/>
      <c r="S28" s="106"/>
    </row>
    <row r="29" spans="2:19" customFormat="1" ht="15" x14ac:dyDescent="0.25">
      <c r="B29" s="97" t="s">
        <v>2037</v>
      </c>
      <c r="C29" s="256">
        <f>77*3.546</f>
        <v>273.04199999999997</v>
      </c>
      <c r="D29" t="str">
        <f ca="1">IFERROR(_xlfn.FORMULATEXT(C29)," ")</f>
        <v>=77*3.546</v>
      </c>
      <c r="E29" t="s">
        <v>2038</v>
      </c>
      <c r="R29" s="106"/>
      <c r="S29" s="106"/>
    </row>
    <row r="30" spans="2:19" customFormat="1" ht="15" x14ac:dyDescent="0.25">
      <c r="B30" s="97" t="s">
        <v>2039</v>
      </c>
      <c r="C30" s="256">
        <v>77</v>
      </c>
      <c r="R30" s="106"/>
      <c r="S30" s="106"/>
    </row>
    <row r="31" spans="2:19" customFormat="1" ht="15" x14ac:dyDescent="0.25">
      <c r="B31" s="97" t="s">
        <v>2040</v>
      </c>
      <c r="C31" s="213">
        <v>0.05</v>
      </c>
    </row>
    <row r="32" spans="2:19" customFormat="1" ht="15" x14ac:dyDescent="0.25">
      <c r="B32" s="97" t="s">
        <v>2041</v>
      </c>
      <c r="C32" s="122" t="s">
        <v>2102</v>
      </c>
    </row>
    <row r="33" spans="2:19" customFormat="1" ht="15" x14ac:dyDescent="0.25">
      <c r="B33" s="97" t="s">
        <v>2042</v>
      </c>
      <c r="C33" s="122">
        <v>5</v>
      </c>
      <c r="D33" t="s">
        <v>740</v>
      </c>
    </row>
    <row r="34" spans="2:19" customFormat="1" ht="15" x14ac:dyDescent="0.25">
      <c r="B34" s="97" t="s">
        <v>2043</v>
      </c>
      <c r="C34" s="122">
        <v>10</v>
      </c>
      <c r="D34" t="s">
        <v>740</v>
      </c>
    </row>
    <row r="35" spans="2:19" customFormat="1" ht="15" x14ac:dyDescent="0.25">
      <c r="B35" s="97" t="s">
        <v>2044</v>
      </c>
      <c r="C35" s="122" t="s">
        <v>1127</v>
      </c>
      <c r="E35" s="102"/>
      <c r="R35" s="106"/>
    </row>
    <row r="36" spans="2:19" customFormat="1" ht="15" x14ac:dyDescent="0.25">
      <c r="B36" s="97" t="s">
        <v>2045</v>
      </c>
      <c r="C36" s="256">
        <v>0</v>
      </c>
      <c r="D36" s="102"/>
      <c r="F36" s="224" t="s">
        <v>2046</v>
      </c>
      <c r="S36" s="106"/>
    </row>
    <row r="37" spans="2:19" customFormat="1" ht="15" x14ac:dyDescent="0.25">
      <c r="B37" s="97" t="s">
        <v>2047</v>
      </c>
      <c r="C37" s="256">
        <v>0</v>
      </c>
      <c r="S37" s="106"/>
    </row>
    <row r="38" spans="2:19" customFormat="1" ht="15" x14ac:dyDescent="0.25">
      <c r="B38" s="97"/>
      <c r="S38" s="106"/>
    </row>
    <row r="39" spans="2:19" customFormat="1" ht="15" x14ac:dyDescent="0.25">
      <c r="S39" s="106"/>
    </row>
    <row r="40" spans="2:19" customFormat="1" ht="15.75" thickBot="1" x14ac:dyDescent="0.3">
      <c r="B40" s="257" t="s">
        <v>2048</v>
      </c>
    </row>
    <row r="41" spans="2:19" customFormat="1" ht="15.75" thickBot="1" x14ac:dyDescent="0.3">
      <c r="B41" s="152" t="s">
        <v>1657</v>
      </c>
      <c r="C41" s="153" t="s">
        <v>2049</v>
      </c>
      <c r="D41" s="153" t="s">
        <v>2050</v>
      </c>
      <c r="E41" s="153" t="s">
        <v>2051</v>
      </c>
      <c r="F41" s="154" t="s">
        <v>2052</v>
      </c>
    </row>
    <row r="42" spans="2:19" customFormat="1" ht="15" x14ac:dyDescent="0.25">
      <c r="B42" s="155"/>
      <c r="C42" s="156" t="s">
        <v>248</v>
      </c>
      <c r="D42" s="156" t="s">
        <v>248</v>
      </c>
      <c r="E42" s="156" t="s">
        <v>248</v>
      </c>
      <c r="F42" s="157" t="s">
        <v>248</v>
      </c>
    </row>
    <row r="43" spans="2:19" customFormat="1" ht="15" x14ac:dyDescent="0.25">
      <c r="B43" s="158">
        <v>44561</v>
      </c>
      <c r="C43" s="128">
        <f>C29</f>
        <v>273.04199999999997</v>
      </c>
      <c r="D43" s="128">
        <f t="shared" ref="D43:D48" si="0">IF($C$32="arrears",C43*$C$31,(C43+E43)*$C$31)</f>
        <v>13.652099999999999</v>
      </c>
      <c r="E43" s="258">
        <f>IF(C32="ADVANCE",0,-$C$30)</f>
        <v>0</v>
      </c>
      <c r="F43" s="114">
        <f t="shared" ref="F43:F48" si="1">C43+D43+E43</f>
        <v>286.69409999999999</v>
      </c>
      <c r="I43" s="102"/>
    </row>
    <row r="44" spans="2:19" customFormat="1" ht="15" x14ac:dyDescent="0.25">
      <c r="B44" s="158">
        <f>B43+365</f>
        <v>44926</v>
      </c>
      <c r="C44" s="128">
        <f>F43</f>
        <v>286.69409999999999</v>
      </c>
      <c r="D44" s="128">
        <f t="shared" si="0"/>
        <v>10.484705</v>
      </c>
      <c r="E44" s="258">
        <f>-$C$30</f>
        <v>-77</v>
      </c>
      <c r="F44" s="114">
        <f t="shared" si="1"/>
        <v>220.17880500000001</v>
      </c>
      <c r="H44" s="102"/>
    </row>
    <row r="45" spans="2:19" customFormat="1" ht="15" x14ac:dyDescent="0.25">
      <c r="B45" s="158">
        <f>B44+365</f>
        <v>45291</v>
      </c>
      <c r="C45" s="128">
        <f>F44</f>
        <v>220.17880500000001</v>
      </c>
      <c r="D45" s="128">
        <f t="shared" si="0"/>
        <v>7.1589402500000006</v>
      </c>
      <c r="E45" s="258">
        <f>-$C$30</f>
        <v>-77</v>
      </c>
      <c r="F45" s="114">
        <f t="shared" si="1"/>
        <v>150.33774525000001</v>
      </c>
      <c r="I45" s="102"/>
      <c r="J45" s="102"/>
    </row>
    <row r="46" spans="2:19" customFormat="1" ht="15" x14ac:dyDescent="0.25">
      <c r="B46" s="158">
        <f>B45+365</f>
        <v>45656</v>
      </c>
      <c r="C46" s="102">
        <f>F45</f>
        <v>150.33774525000001</v>
      </c>
      <c r="D46" s="128">
        <f t="shared" si="0"/>
        <v>3.6668872625000009</v>
      </c>
      <c r="E46" s="258">
        <f>-$C$30</f>
        <v>-77</v>
      </c>
      <c r="F46" s="114">
        <f t="shared" si="1"/>
        <v>77.004632512500024</v>
      </c>
      <c r="I46" s="102"/>
      <c r="J46" s="102"/>
    </row>
    <row r="47" spans="2:19" customFormat="1" ht="15" x14ac:dyDescent="0.25">
      <c r="B47" s="158">
        <f>B46+365</f>
        <v>46021</v>
      </c>
      <c r="C47" s="102">
        <f>F46</f>
        <v>77.004632512500024</v>
      </c>
      <c r="D47" s="128">
        <f t="shared" si="0"/>
        <v>2.3162562500118612E-4</v>
      </c>
      <c r="E47" s="258">
        <f>-$C$30</f>
        <v>-77</v>
      </c>
      <c r="F47" s="114">
        <f t="shared" si="1"/>
        <v>4.8641381250291715E-3</v>
      </c>
    </row>
    <row r="48" spans="2:19" customFormat="1" ht="15" x14ac:dyDescent="0.25">
      <c r="B48" s="158">
        <f>B47+365</f>
        <v>46386</v>
      </c>
      <c r="C48" s="102">
        <f>F47</f>
        <v>4.8641381250291715E-3</v>
      </c>
      <c r="D48" s="128">
        <f t="shared" si="0"/>
        <v>-3.8497567930937486</v>
      </c>
      <c r="E48" s="258">
        <f>-$C$30</f>
        <v>-77</v>
      </c>
      <c r="F48" s="114">
        <f t="shared" si="1"/>
        <v>-80.844892654968717</v>
      </c>
    </row>
    <row r="49" spans="2:7" customFormat="1" ht="15" x14ac:dyDescent="0.25">
      <c r="B49" s="113"/>
      <c r="F49" s="112"/>
    </row>
    <row r="50" spans="2:7" customFormat="1" ht="15" x14ac:dyDescent="0.25">
      <c r="B50" s="113"/>
      <c r="F50" s="112"/>
    </row>
    <row r="51" spans="2:7" customFormat="1" ht="15" x14ac:dyDescent="0.25">
      <c r="B51" s="113" t="s">
        <v>2053</v>
      </c>
      <c r="C51" s="102">
        <f>F44</f>
        <v>220.17880500000001</v>
      </c>
      <c r="F51" s="112"/>
    </row>
    <row r="52" spans="2:7" customFormat="1" ht="15" x14ac:dyDescent="0.25">
      <c r="B52" s="113" t="s">
        <v>2054</v>
      </c>
      <c r="C52" s="102">
        <f>F43-F44</f>
        <v>66.515294999999981</v>
      </c>
      <c r="D52" s="104" t="s">
        <v>1663</v>
      </c>
      <c r="E52" s="102"/>
      <c r="F52" s="112"/>
      <c r="G52" t="s">
        <v>2055</v>
      </c>
    </row>
    <row r="53" spans="2:7" customFormat="1" ht="15.75" thickBot="1" x14ac:dyDescent="0.3">
      <c r="B53" s="111" t="str">
        <f>"Lease payable at year end"</f>
        <v>Lease payable at year end</v>
      </c>
      <c r="C53" s="259">
        <f>C51+C52</f>
        <v>286.69409999999999</v>
      </c>
      <c r="F53" s="112"/>
    </row>
    <row r="54" spans="2:7" customFormat="1" ht="15.75" thickBot="1" x14ac:dyDescent="0.3">
      <c r="B54" s="118"/>
      <c r="C54" s="119"/>
      <c r="D54" s="119"/>
      <c r="E54" s="119"/>
      <c r="F54" s="120"/>
    </row>
    <row r="55" spans="2:7" customFormat="1" ht="15" x14ac:dyDescent="0.25">
      <c r="B55" s="103" t="s">
        <v>2056</v>
      </c>
    </row>
    <row r="56" spans="2:7" customFormat="1" ht="15" x14ac:dyDescent="0.25">
      <c r="B56" t="s">
        <v>2033</v>
      </c>
      <c r="C56" s="106">
        <f>C27</f>
        <v>350.04199999999997</v>
      </c>
      <c r="D56" s="106"/>
    </row>
    <row r="57" spans="2:7" customFormat="1" ht="15" x14ac:dyDescent="0.25">
      <c r="B57" t="s">
        <v>2057</v>
      </c>
      <c r="C57" s="106" cm="1">
        <f t="array" ref="C57">_xlfn.IFS(AND($C$33&lt;$C$34,$C$35="No"),(C56-$C$36)/$C$33,OR($C$34&lt;$C$33,$C$35="Yes"),(C56-$C$37)/$C$34)</f>
        <v>70.008399999999995</v>
      </c>
      <c r="D57" s="106"/>
      <c r="E57" s="102"/>
    </row>
    <row r="58" spans="2:7" customFormat="1" ht="15" x14ac:dyDescent="0.25">
      <c r="B58" s="103"/>
      <c r="C58" s="106"/>
      <c r="D58" s="106"/>
      <c r="E58" s="102"/>
    </row>
    <row r="59" spans="2:7" customFormat="1" ht="15.75" thickBot="1" x14ac:dyDescent="0.3">
      <c r="C59" s="106"/>
      <c r="D59" s="106"/>
      <c r="E59" s="102"/>
    </row>
    <row r="60" spans="2:7" customFormat="1" ht="15.75" thickBot="1" x14ac:dyDescent="0.3">
      <c r="B60" s="152" t="s">
        <v>2058</v>
      </c>
      <c r="C60" s="153"/>
      <c r="D60" s="154"/>
      <c r="E60" s="102"/>
    </row>
    <row r="61" spans="2:7" customFormat="1" ht="15" x14ac:dyDescent="0.25">
      <c r="B61" s="113"/>
      <c r="C61" s="156" t="s">
        <v>2059</v>
      </c>
      <c r="D61" s="157" t="s">
        <v>2060</v>
      </c>
      <c r="E61" s="102"/>
    </row>
    <row r="62" spans="2:7" customFormat="1" ht="15" x14ac:dyDescent="0.25">
      <c r="B62" s="113"/>
      <c r="C62" s="156"/>
      <c r="D62" s="157"/>
      <c r="E62" s="102"/>
    </row>
    <row r="63" spans="2:7" customFormat="1" ht="15" x14ac:dyDescent="0.25">
      <c r="B63" s="113"/>
      <c r="C63" s="95" t="s">
        <v>44</v>
      </c>
      <c r="D63" s="260" t="s">
        <v>44</v>
      </c>
      <c r="E63" s="102"/>
    </row>
    <row r="64" spans="2:7" customFormat="1" ht="15" x14ac:dyDescent="0.25">
      <c r="B64" s="113" t="s">
        <v>2061</v>
      </c>
      <c r="C64" s="164">
        <f>C27</f>
        <v>350.04199999999997</v>
      </c>
      <c r="D64" s="165"/>
      <c r="E64" s="102"/>
    </row>
    <row r="65" spans="2:5" customFormat="1" ht="15" x14ac:dyDescent="0.25">
      <c r="B65" s="113" t="s">
        <v>377</v>
      </c>
      <c r="C65" s="164"/>
      <c r="D65" s="165">
        <f>C29</f>
        <v>273.04199999999997</v>
      </c>
      <c r="E65" s="102"/>
    </row>
    <row r="66" spans="2:5" customFormat="1" ht="15" x14ac:dyDescent="0.25">
      <c r="B66" s="113" t="s">
        <v>2105</v>
      </c>
      <c r="C66" s="164"/>
      <c r="D66" s="268">
        <f>IF(C32="advance",C30,0)</f>
        <v>77</v>
      </c>
      <c r="E66" s="102"/>
    </row>
    <row r="67" spans="2:5" customFormat="1" ht="15" x14ac:dyDescent="0.25">
      <c r="B67" s="113"/>
      <c r="C67" s="164"/>
      <c r="D67" s="165"/>
      <c r="E67" s="102"/>
    </row>
    <row r="68" spans="2:5" customFormat="1" ht="15" x14ac:dyDescent="0.25">
      <c r="B68" s="113"/>
      <c r="D68" s="112"/>
      <c r="E68" s="102"/>
    </row>
    <row r="69" spans="2:5" customFormat="1" ht="15" x14ac:dyDescent="0.25">
      <c r="B69" s="113"/>
      <c r="C69" s="156" t="s">
        <v>2059</v>
      </c>
      <c r="D69" s="157" t="s">
        <v>2060</v>
      </c>
      <c r="E69" s="102"/>
    </row>
    <row r="70" spans="2:5" customFormat="1" ht="15" x14ac:dyDescent="0.25">
      <c r="B70" s="113"/>
      <c r="C70" s="95" t="s">
        <v>44</v>
      </c>
      <c r="D70" s="260" t="s">
        <v>44</v>
      </c>
      <c r="E70" s="102"/>
    </row>
    <row r="71" spans="2:5" customFormat="1" ht="15" x14ac:dyDescent="0.25">
      <c r="B71" s="113" t="s">
        <v>2062</v>
      </c>
      <c r="C71" s="164">
        <f>D43</f>
        <v>13.652099999999999</v>
      </c>
      <c r="D71" s="165"/>
      <c r="E71" s="102"/>
    </row>
    <row r="72" spans="2:5" customFormat="1" ht="15" x14ac:dyDescent="0.25">
      <c r="B72" s="113" t="s">
        <v>2104</v>
      </c>
      <c r="C72" s="163">
        <f>IF((D43+E43)&lt;0,-(D43+E43),0)</f>
        <v>0</v>
      </c>
      <c r="D72" s="268">
        <f>IF((D43+E43)&gt;0,(D43+E43),0)</f>
        <v>13.652099999999999</v>
      </c>
      <c r="E72" s="102"/>
    </row>
    <row r="73" spans="2:5" customFormat="1" ht="15" x14ac:dyDescent="0.25">
      <c r="B73" s="116" t="s">
        <v>2103</v>
      </c>
      <c r="D73" s="261">
        <f>E43</f>
        <v>0</v>
      </c>
      <c r="E73" s="102"/>
    </row>
    <row r="74" spans="2:5" customFormat="1" ht="15" x14ac:dyDescent="0.25">
      <c r="B74" s="113"/>
      <c r="D74" s="112"/>
      <c r="E74" s="102"/>
    </row>
    <row r="75" spans="2:5" customFormat="1" ht="15" x14ac:dyDescent="0.25">
      <c r="B75" s="113"/>
      <c r="D75" s="112"/>
      <c r="E75" s="102"/>
    </row>
    <row r="76" spans="2:5" customFormat="1" ht="15" x14ac:dyDescent="0.25">
      <c r="B76" s="113"/>
      <c r="C76" s="156" t="s">
        <v>2059</v>
      </c>
      <c r="D76" s="157" t="s">
        <v>2060</v>
      </c>
      <c r="E76" s="102"/>
    </row>
    <row r="77" spans="2:5" customFormat="1" ht="15" x14ac:dyDescent="0.25">
      <c r="B77" s="113"/>
      <c r="C77" s="95" t="s">
        <v>44</v>
      </c>
      <c r="D77" s="260" t="s">
        <v>44</v>
      </c>
      <c r="E77" s="102"/>
    </row>
    <row r="78" spans="2:5" customFormat="1" ht="15" x14ac:dyDescent="0.25">
      <c r="B78" s="113" t="s">
        <v>2063</v>
      </c>
      <c r="C78" s="164">
        <f>C57</f>
        <v>70.008399999999995</v>
      </c>
      <c r="D78" s="165"/>
      <c r="E78" s="102"/>
    </row>
    <row r="79" spans="2:5" customFormat="1" ht="15" x14ac:dyDescent="0.25">
      <c r="B79" s="113" t="s">
        <v>2064</v>
      </c>
      <c r="C79" s="164"/>
      <c r="D79" s="165">
        <f>C57</f>
        <v>70.008399999999995</v>
      </c>
      <c r="E79" s="102"/>
    </row>
    <row r="80" spans="2:5" customFormat="1" ht="15" x14ac:dyDescent="0.25">
      <c r="B80" s="113"/>
      <c r="D80" s="112"/>
      <c r="E80" s="102"/>
    </row>
    <row r="81" spans="2:6" customFormat="1" ht="15.75" thickBot="1" x14ac:dyDescent="0.3">
      <c r="B81" s="118"/>
      <c r="C81" s="119"/>
      <c r="D81" s="120"/>
      <c r="E81" s="102"/>
    </row>
    <row r="84" spans="2:6" x14ac:dyDescent="0.2">
      <c r="B84" s="1" t="s">
        <v>2108</v>
      </c>
      <c r="E84" s="89">
        <f>+D44</f>
        <v>10.484705</v>
      </c>
    </row>
    <row r="85" spans="2:6" x14ac:dyDescent="0.2">
      <c r="B85" s="1" t="s">
        <v>2109</v>
      </c>
      <c r="E85" s="89">
        <f>-+SUM(D44:E44)</f>
        <v>66.515294999999995</v>
      </c>
    </row>
    <row r="86" spans="2:6" x14ac:dyDescent="0.2">
      <c r="C86" s="1" t="s">
        <v>2110</v>
      </c>
      <c r="F86" s="89">
        <f>SUM(E84:E85)</f>
        <v>77</v>
      </c>
    </row>
    <row r="87" spans="2:6" x14ac:dyDescent="0.2">
      <c r="B87" s="1" t="s">
        <v>2111</v>
      </c>
    </row>
    <row r="89" spans="2:6" x14ac:dyDescent="0.2">
      <c r="B89" s="1" t="s">
        <v>2112</v>
      </c>
      <c r="E89" s="89">
        <f>+C78</f>
        <v>70.008399999999995</v>
      </c>
    </row>
    <row r="90" spans="2:6" x14ac:dyDescent="0.2">
      <c r="C90" s="1" t="s">
        <v>2113</v>
      </c>
      <c r="F90" s="89">
        <f>+E89</f>
        <v>70.008399999999995</v>
      </c>
    </row>
    <row r="91" spans="2:6" x14ac:dyDescent="0.2">
      <c r="B91" s="1" t="s">
        <v>2114</v>
      </c>
    </row>
    <row r="93" spans="2:6" x14ac:dyDescent="0.2">
      <c r="B93" s="1" t="s">
        <v>2115</v>
      </c>
    </row>
    <row r="94" spans="2:6" x14ac:dyDescent="0.2">
      <c r="B94" s="1" t="s">
        <v>2116</v>
      </c>
    </row>
  </sheetData>
  <hyperlinks>
    <hyperlink ref="A1" location="Main!A1" display="Main" xr:uid="{50184A30-D3BF-46D4-918B-5E32F3336D6C}"/>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3CCC0-A582-4F83-858B-3E002BD3F14D}">
  <dimension ref="A1:XFD73"/>
  <sheetViews>
    <sheetView zoomScaleNormal="100" workbookViewId="0"/>
  </sheetViews>
  <sheetFormatPr defaultRowHeight="12" x14ac:dyDescent="0.2"/>
  <cols>
    <col min="1" max="1" width="9.140625" style="1"/>
    <col min="2" max="3" width="10.7109375" style="1" bestFit="1" customWidth="1"/>
    <col min="4" max="4" width="9.5703125" style="1" bestFit="1" customWidth="1"/>
    <col min="5" max="12" width="9.140625" style="1"/>
    <col min="13" max="14" width="11.5703125" style="1" bestFit="1" customWidth="1"/>
    <col min="15" max="16384" width="9.140625" style="1"/>
  </cols>
  <sheetData>
    <row r="1" spans="1:15" ht="15" x14ac:dyDescent="0.25">
      <c r="A1" s="2" t="s">
        <v>0</v>
      </c>
    </row>
    <row r="2" spans="1:15" x14ac:dyDescent="0.2">
      <c r="B2" s="1" t="s">
        <v>1853</v>
      </c>
    </row>
    <row r="3" spans="1:15" x14ac:dyDescent="0.2">
      <c r="B3" s="1" t="s">
        <v>5</v>
      </c>
      <c r="C3" s="3">
        <v>44895</v>
      </c>
    </row>
    <row r="5" spans="1:15" customFormat="1" ht="18.75" x14ac:dyDescent="0.3">
      <c r="B5" s="181" t="s">
        <v>1718</v>
      </c>
      <c r="C5" s="182"/>
      <c r="D5" s="182"/>
      <c r="E5" s="182"/>
      <c r="F5" s="182"/>
      <c r="G5" s="182"/>
      <c r="H5" s="182"/>
      <c r="I5" s="182"/>
      <c r="J5" s="182"/>
      <c r="K5" s="182"/>
      <c r="L5" s="182"/>
      <c r="M5" s="182"/>
    </row>
    <row r="6" spans="1:15" customFormat="1" ht="15" x14ac:dyDescent="0.25">
      <c r="B6" s="103" t="s">
        <v>1719</v>
      </c>
      <c r="O6" s="103" t="s">
        <v>1720</v>
      </c>
    </row>
    <row r="7" spans="1:15" customFormat="1" ht="15" x14ac:dyDescent="0.25">
      <c r="B7" s="103" t="s">
        <v>1721</v>
      </c>
      <c r="O7" s="103" t="s">
        <v>1722</v>
      </c>
    </row>
    <row r="8" spans="1:15" customFormat="1" ht="15" x14ac:dyDescent="0.25">
      <c r="B8" s="103" t="s">
        <v>1723</v>
      </c>
      <c r="O8" s="103"/>
    </row>
    <row r="9" spans="1:15" customFormat="1" ht="15" x14ac:dyDescent="0.25">
      <c r="B9" s="103" t="s">
        <v>1724</v>
      </c>
      <c r="O9" s="103"/>
    </row>
    <row r="10" spans="1:15" customFormat="1" ht="15" x14ac:dyDescent="0.25">
      <c r="B10" t="s">
        <v>1725</v>
      </c>
      <c r="D10" s="166">
        <v>5</v>
      </c>
      <c r="O10" s="103" t="s">
        <v>1726</v>
      </c>
    </row>
    <row r="11" spans="1:15" customFormat="1" ht="15" x14ac:dyDescent="0.25">
      <c r="B11" t="s">
        <v>1727</v>
      </c>
      <c r="D11" s="183">
        <v>100</v>
      </c>
    </row>
    <row r="12" spans="1:15" customFormat="1" ht="15" x14ac:dyDescent="0.25">
      <c r="B12" t="s">
        <v>1728</v>
      </c>
      <c r="D12" s="166">
        <v>4</v>
      </c>
      <c r="O12" s="103" t="str">
        <f>"At year end, the share option scheme is at the end of year x of a "&amp;D12&amp;" year vesting period and therefore x/"&amp;D12&amp;" of the total fair value should be accounted for:"</f>
        <v>At year end, the share option scheme is at the end of year x of a 4 year vesting period and therefore x/4 of the total fair value should be accounted for:</v>
      </c>
    </row>
    <row r="13" spans="1:15" customFormat="1" ht="15" x14ac:dyDescent="0.25">
      <c r="B13" t="s">
        <v>1729</v>
      </c>
      <c r="D13" s="206">
        <v>0.55000000000000004</v>
      </c>
      <c r="O13" s="103"/>
    </row>
    <row r="14" spans="1:15" customFormat="1" ht="15" x14ac:dyDescent="0.25">
      <c r="D14" s="206"/>
      <c r="O14" s="103"/>
    </row>
    <row r="15" spans="1:15" customFormat="1" ht="15" x14ac:dyDescent="0.25">
      <c r="B15" t="s">
        <v>1867</v>
      </c>
      <c r="O15" s="103" t="s">
        <v>1730</v>
      </c>
    </row>
    <row r="16" spans="1:15" customFormat="1" ht="15" x14ac:dyDescent="0.25">
      <c r="B16" t="s">
        <v>1868</v>
      </c>
    </row>
    <row r="17" spans="2:9" customFormat="1" ht="15" x14ac:dyDescent="0.25"/>
    <row r="18" spans="2:9" customFormat="1" ht="15" x14ac:dyDescent="0.25">
      <c r="B18" s="1" t="s">
        <v>1869</v>
      </c>
      <c r="E18">
        <v>232.5</v>
      </c>
    </row>
    <row r="19" spans="2:9" customFormat="1" ht="15" x14ac:dyDescent="0.25">
      <c r="B19" s="1" t="s">
        <v>1870</v>
      </c>
      <c r="E19">
        <f>100*4*0.62</f>
        <v>248</v>
      </c>
    </row>
    <row r="20" spans="2:9" customFormat="1" ht="15" x14ac:dyDescent="0.25">
      <c r="B20" s="1" t="s">
        <v>1871</v>
      </c>
      <c r="E20">
        <f>+E19-E18</f>
        <v>15.5</v>
      </c>
    </row>
    <row r="21" spans="2:9" customFormat="1" ht="15" x14ac:dyDescent="0.25">
      <c r="B21" s="1"/>
    </row>
    <row r="22" spans="2:9" customFormat="1" ht="15" x14ac:dyDescent="0.25">
      <c r="B22" s="1" t="s">
        <v>1873</v>
      </c>
      <c r="E22">
        <f>+E20</f>
        <v>15.5</v>
      </c>
    </row>
    <row r="23" spans="2:9" customFormat="1" ht="15" x14ac:dyDescent="0.25">
      <c r="B23" s="1"/>
      <c r="C23" t="s">
        <v>1872</v>
      </c>
      <c r="F23">
        <f>+E20</f>
        <v>15.5</v>
      </c>
    </row>
    <row r="24" spans="2:9" customFormat="1" ht="15" x14ac:dyDescent="0.25">
      <c r="B24" s="1" t="s">
        <v>1874</v>
      </c>
    </row>
    <row r="25" spans="2:9" customFormat="1" ht="15" x14ac:dyDescent="0.25"/>
    <row r="26" spans="2:9" customFormat="1" ht="15" x14ac:dyDescent="0.25">
      <c r="B26" t="s">
        <v>1875</v>
      </c>
      <c r="C26" s="1"/>
      <c r="E26" s="163">
        <f>(2*D11)+(2*0.75*D11)</f>
        <v>350</v>
      </c>
    </row>
    <row r="27" spans="2:9" customFormat="1" ht="15" x14ac:dyDescent="0.25"/>
    <row r="28" spans="2:9" customFormat="1" ht="15" x14ac:dyDescent="0.25">
      <c r="B28" t="s">
        <v>450</v>
      </c>
      <c r="E28" s="164">
        <f>SUM(F29:F30)</f>
        <v>192.50000000000003</v>
      </c>
      <c r="I28" s="1"/>
    </row>
    <row r="29" spans="2:9" customFormat="1" ht="15" x14ac:dyDescent="0.25">
      <c r="C29" t="s">
        <v>1389</v>
      </c>
      <c r="F29" s="164">
        <f>+E26*0.1</f>
        <v>35</v>
      </c>
      <c r="I29" s="1"/>
    </row>
    <row r="30" spans="2:9" customFormat="1" ht="15" x14ac:dyDescent="0.25">
      <c r="C30" t="s">
        <v>1390</v>
      </c>
      <c r="F30" s="164">
        <f>+E26*(D13-0.1)</f>
        <v>157.50000000000003</v>
      </c>
    </row>
    <row r="31" spans="2:9" customFormat="1" ht="15" x14ac:dyDescent="0.25">
      <c r="B31" t="s">
        <v>1864</v>
      </c>
    </row>
    <row r="32" spans="2:9" customFormat="1" ht="15" x14ac:dyDescent="0.25"/>
    <row r="33" spans="2:6 16384:16384" customFormat="1" ht="15" x14ac:dyDescent="0.25">
      <c r="B33" t="s">
        <v>1865</v>
      </c>
      <c r="E33">
        <v>248</v>
      </c>
    </row>
    <row r="34" spans="2:6 16384:16384" customFormat="1" ht="15" x14ac:dyDescent="0.25">
      <c r="C34" t="s">
        <v>1105</v>
      </c>
      <c r="F34">
        <f>+E33</f>
        <v>248</v>
      </c>
    </row>
    <row r="35" spans="2:6 16384:16384" customFormat="1" ht="15" x14ac:dyDescent="0.25">
      <c r="B35" t="s">
        <v>1866</v>
      </c>
    </row>
    <row r="36" spans="2:6 16384:16384" customFormat="1" ht="15" x14ac:dyDescent="0.25"/>
    <row r="37" spans="2:6 16384:16384" customFormat="1" ht="15" x14ac:dyDescent="0.25"/>
    <row r="38" spans="2:6 16384:16384" customFormat="1" ht="15" x14ac:dyDescent="0.25"/>
    <row r="39" spans="2:6 16384:16384" customFormat="1" ht="15" x14ac:dyDescent="0.25"/>
    <row r="40" spans="2:6 16384:16384" customFormat="1" ht="15" x14ac:dyDescent="0.25">
      <c r="B40" t="s">
        <v>1876</v>
      </c>
    </row>
    <row r="41" spans="2:6 16384:16384" customFormat="1" ht="15" x14ac:dyDescent="0.25"/>
    <row r="42" spans="2:6 16384:16384" customFormat="1" ht="15" x14ac:dyDescent="0.25">
      <c r="B42" s="216">
        <v>44895</v>
      </c>
    </row>
    <row r="43" spans="2:6 16384:16384" customFormat="1" ht="15" x14ac:dyDescent="0.25">
      <c r="B43" t="s">
        <v>1877</v>
      </c>
      <c r="E43">
        <v>1750</v>
      </c>
    </row>
    <row r="44" spans="2:6 16384:16384" customFormat="1" ht="15" x14ac:dyDescent="0.25">
      <c r="B44" t="s">
        <v>1878</v>
      </c>
    </row>
    <row r="45" spans="2:6 16384:16384" customFormat="1" ht="15" x14ac:dyDescent="0.25">
      <c r="B45" t="s">
        <v>1262</v>
      </c>
      <c r="E45" t="s">
        <v>1879</v>
      </c>
      <c r="F45">
        <f>1400*0.1</f>
        <v>140</v>
      </c>
      <c r="XFD45" s="1"/>
    </row>
    <row r="46" spans="2:6 16384:16384" customFormat="1" ht="15" x14ac:dyDescent="0.25">
      <c r="B46" t="s">
        <v>1263</v>
      </c>
      <c r="E46" t="s">
        <v>1881</v>
      </c>
      <c r="F46">
        <f>1400*(0.97-0.1)</f>
        <v>1218</v>
      </c>
      <c r="XFD46" s="1"/>
    </row>
    <row r="47" spans="2:6 16384:16384" customFormat="1" ht="15" x14ac:dyDescent="0.25">
      <c r="B47" t="s">
        <v>1880</v>
      </c>
      <c r="F47">
        <v>500</v>
      </c>
    </row>
    <row r="48" spans="2:6 16384:16384" customFormat="1" ht="15" x14ac:dyDescent="0.25">
      <c r="F48">
        <f>SUM(F45:F47)</f>
        <v>1858</v>
      </c>
    </row>
    <row r="49" spans="2:15" customFormat="1" ht="21" x14ac:dyDescent="0.35">
      <c r="B49" s="217" t="s">
        <v>1882</v>
      </c>
      <c r="C49" s="182"/>
      <c r="D49" s="182"/>
      <c r="E49" s="182"/>
      <c r="F49" s="182"/>
      <c r="G49" s="182"/>
      <c r="H49" s="182"/>
      <c r="I49" s="182"/>
      <c r="J49" s="182"/>
      <c r="K49" s="182"/>
      <c r="L49" s="182"/>
      <c r="M49" s="182"/>
      <c r="N49" s="182"/>
      <c r="O49" s="182"/>
    </row>
    <row r="50" spans="2:15" customFormat="1" ht="15" x14ac:dyDescent="0.25">
      <c r="B50" s="103" t="s">
        <v>1883</v>
      </c>
    </row>
    <row r="51" spans="2:15" customFormat="1" ht="15" x14ac:dyDescent="0.25">
      <c r="B51" s="103" t="s">
        <v>1884</v>
      </c>
    </row>
    <row r="52" spans="2:15" customFormat="1" ht="21" x14ac:dyDescent="0.35">
      <c r="B52" s="218"/>
    </row>
    <row r="53" spans="2:15" customFormat="1" ht="15" x14ac:dyDescent="0.25">
      <c r="B53" t="s">
        <v>1885</v>
      </c>
      <c r="C53" s="183">
        <v>1400</v>
      </c>
    </row>
    <row r="54" spans="2:15" customFormat="1" ht="15" x14ac:dyDescent="0.25">
      <c r="B54" t="s">
        <v>1858</v>
      </c>
      <c r="C54" s="104">
        <v>0.1</v>
      </c>
    </row>
    <row r="55" spans="2:15" customFormat="1" ht="15" x14ac:dyDescent="0.25">
      <c r="B55" t="s">
        <v>1886</v>
      </c>
      <c r="C55" s="166">
        <f>+C53*0.97</f>
        <v>1358</v>
      </c>
      <c r="H55" s="103"/>
    </row>
    <row r="56" spans="2:15" customFormat="1" ht="15" x14ac:dyDescent="0.25">
      <c r="B56" t="s">
        <v>1887</v>
      </c>
      <c r="C56" s="219" t="s">
        <v>1126</v>
      </c>
      <c r="H56" s="103"/>
    </row>
    <row r="57" spans="2:15" customFormat="1" ht="15" x14ac:dyDescent="0.25">
      <c r="B57" t="s">
        <v>1888</v>
      </c>
      <c r="C57" s="183">
        <f>1750-500</f>
        <v>1250</v>
      </c>
      <c r="D57" s="164"/>
      <c r="H57" s="103"/>
    </row>
    <row r="58" spans="2:15" customFormat="1" ht="15" x14ac:dyDescent="0.25">
      <c r="C58" s="164"/>
      <c r="D58" s="164"/>
      <c r="H58" s="103"/>
    </row>
    <row r="59" spans="2:15" customFormat="1" ht="15" x14ac:dyDescent="0.25">
      <c r="B59" s="103" t="str">
        <f>IF(C56="Yes","As we know the fair value of the asset received, the market value of equity is not relevant. The asset should be recognised at its fair value of £"&amp;C57,"We do not know the FV of the asset received, therefore we must measure at the market value of the equity")</f>
        <v>As we know the fair value of the asset received, the market value of equity is not relevant. The asset should be recognised at its fair value of £1250</v>
      </c>
      <c r="C59" s="164"/>
      <c r="D59" s="164"/>
    </row>
    <row r="60" spans="2:15" customFormat="1" ht="15" x14ac:dyDescent="0.25">
      <c r="B60" s="103" t="s">
        <v>1889</v>
      </c>
      <c r="C60" s="164"/>
      <c r="D60" s="164"/>
      <c r="H60" s="103"/>
    </row>
    <row r="61" spans="2:15" customFormat="1" ht="15" x14ac:dyDescent="0.25">
      <c r="C61" s="164"/>
      <c r="D61" s="164"/>
      <c r="H61" s="103"/>
    </row>
    <row r="62" spans="2:15" customFormat="1" ht="15" x14ac:dyDescent="0.25">
      <c r="B62" t="s">
        <v>973</v>
      </c>
      <c r="C62" s="169">
        <f>C53*C54</f>
        <v>140</v>
      </c>
      <c r="D62" s="169"/>
      <c r="H62" s="103"/>
    </row>
    <row r="63" spans="2:15" customFormat="1" ht="15" x14ac:dyDescent="0.25">
      <c r="B63" t="s">
        <v>974</v>
      </c>
      <c r="C63" s="169">
        <f>IF(C56="Yes",C66-D67,(C55-C54)*C53)</f>
        <v>1110</v>
      </c>
      <c r="D63" s="169"/>
      <c r="H63" s="103"/>
    </row>
    <row r="64" spans="2:15" customFormat="1" ht="15.75" thickBot="1" x14ac:dyDescent="0.3">
      <c r="B64" t="s">
        <v>1890</v>
      </c>
      <c r="C64" s="220">
        <f>C57</f>
        <v>1250</v>
      </c>
      <c r="D64" s="169"/>
      <c r="H64" s="103"/>
    </row>
    <row r="65" spans="2:8" customFormat="1" ht="15.75" thickTop="1" x14ac:dyDescent="0.25">
      <c r="C65" s="169"/>
      <c r="D65" s="169"/>
      <c r="H65" s="103"/>
    </row>
    <row r="66" spans="2:8" customFormat="1" ht="15" x14ac:dyDescent="0.25">
      <c r="B66" t="s">
        <v>1891</v>
      </c>
      <c r="C66" s="169">
        <f>C64</f>
        <v>1250</v>
      </c>
      <c r="D66" s="169"/>
    </row>
    <row r="67" spans="2:8" customFormat="1" ht="15" x14ac:dyDescent="0.25">
      <c r="B67" t="s">
        <v>1855</v>
      </c>
      <c r="C67" s="169"/>
      <c r="D67" s="169">
        <f>C53*C54</f>
        <v>140</v>
      </c>
    </row>
    <row r="68" spans="2:8" customFormat="1" ht="15" x14ac:dyDescent="0.25">
      <c r="B68" t="s">
        <v>1854</v>
      </c>
      <c r="C68" s="169"/>
      <c r="D68" s="169">
        <f>C66-D67</f>
        <v>1110</v>
      </c>
    </row>
    <row r="69" spans="2:8" customFormat="1" ht="15" x14ac:dyDescent="0.25">
      <c r="H69" s="103"/>
    </row>
    <row r="70" spans="2:8" customFormat="1" ht="15" x14ac:dyDescent="0.25">
      <c r="B70" s="103" t="str">
        <f>"The shares issued should be recognised at their nominal value of £"&amp;C62&amp;", with £"&amp;C63&amp;" recognised in the share premium account"</f>
        <v>The shares issued should be recognised at their nominal value of £140, with £1110 recognised in the share premium account</v>
      </c>
    </row>
    <row r="71" spans="2:8" customFormat="1" ht="15" x14ac:dyDescent="0.25">
      <c r="B71" s="103" t="s">
        <v>1892</v>
      </c>
    </row>
    <row r="72" spans="2:8" customFormat="1" ht="15" x14ac:dyDescent="0.25"/>
    <row r="73" spans="2:8" customFormat="1" ht="15" x14ac:dyDescent="0.25"/>
  </sheetData>
  <hyperlinks>
    <hyperlink ref="A1" location="Main!A1" display="Main" xr:uid="{D67E38DB-696C-4470-85FB-EEA19F191022}"/>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FF72-EA31-4610-88B2-E38D6DD5071B}">
  <sheetPr codeName="Sheet7"/>
  <dimension ref="A1:N289"/>
  <sheetViews>
    <sheetView zoomScaleNormal="100" workbookViewId="0"/>
  </sheetViews>
  <sheetFormatPr defaultRowHeight="12" x14ac:dyDescent="0.2"/>
  <cols>
    <col min="1" max="4" width="9.140625" style="1"/>
    <col min="5" max="5" width="10.85546875" style="1" customWidth="1"/>
    <col min="6" max="10" width="7.5703125" style="1" customWidth="1"/>
    <col min="11" max="16384" width="9.140625" style="1"/>
  </cols>
  <sheetData>
    <row r="1" spans="1:12" ht="15" x14ac:dyDescent="0.25">
      <c r="A1" s="2" t="s">
        <v>0</v>
      </c>
      <c r="B1" s="4">
        <f>+A2/37</f>
        <v>0.43243243243243246</v>
      </c>
    </row>
    <row r="2" spans="1:12" x14ac:dyDescent="0.2">
      <c r="A2" s="1">
        <f>SUM(A3:A309)</f>
        <v>16</v>
      </c>
      <c r="B2" s="1" t="s">
        <v>807</v>
      </c>
    </row>
    <row r="3" spans="1:12" x14ac:dyDescent="0.2">
      <c r="B3" s="1" t="s">
        <v>5</v>
      </c>
      <c r="C3" s="3">
        <v>44834</v>
      </c>
    </row>
    <row r="6" spans="1:12" x14ac:dyDescent="0.2">
      <c r="B6" s="1" t="s">
        <v>808</v>
      </c>
    </row>
    <row r="7" spans="1:12" x14ac:dyDescent="0.2">
      <c r="B7" s="1" t="s">
        <v>807</v>
      </c>
    </row>
    <row r="8" spans="1:12" x14ac:dyDescent="0.2">
      <c r="B8" s="1" t="s">
        <v>809</v>
      </c>
      <c r="E8" s="34" t="s">
        <v>828</v>
      </c>
      <c r="F8" s="34"/>
      <c r="G8" s="34" t="s">
        <v>829</v>
      </c>
      <c r="H8" s="34"/>
      <c r="I8" s="34" t="s">
        <v>847</v>
      </c>
      <c r="J8" s="34"/>
    </row>
    <row r="9" spans="1:12" x14ac:dyDescent="0.2">
      <c r="B9" s="1" t="s">
        <v>810</v>
      </c>
      <c r="E9" s="1" t="s">
        <v>21</v>
      </c>
      <c r="F9" s="1" t="s">
        <v>816</v>
      </c>
      <c r="G9" s="1" t="s">
        <v>21</v>
      </c>
      <c r="H9" s="1" t="s">
        <v>816</v>
      </c>
      <c r="I9" s="1" t="s">
        <v>21</v>
      </c>
      <c r="J9" s="1" t="s">
        <v>816</v>
      </c>
    </row>
    <row r="10" spans="1:12" x14ac:dyDescent="0.2">
      <c r="B10" s="1" t="s">
        <v>811</v>
      </c>
      <c r="E10" s="6">
        <v>3932</v>
      </c>
      <c r="F10" s="6"/>
      <c r="G10" s="26">
        <v>3500</v>
      </c>
      <c r="H10" s="6">
        <v>2600</v>
      </c>
      <c r="I10" s="6">
        <f>+E10+SUM(G10:G13)</f>
        <v>8533</v>
      </c>
      <c r="J10" s="6">
        <f>+F10+SUM(H10:H13)</f>
        <v>2600</v>
      </c>
      <c r="K10" s="6">
        <f>+I10-J10</f>
        <v>5933</v>
      </c>
    </row>
    <row r="11" spans="1:12" x14ac:dyDescent="0.2">
      <c r="A11" s="1">
        <v>1</v>
      </c>
      <c r="E11" s="6"/>
      <c r="F11" s="6"/>
      <c r="G11" s="6">
        <v>550</v>
      </c>
      <c r="H11" s="6"/>
      <c r="I11" s="6"/>
      <c r="J11" s="6"/>
      <c r="K11" s="6"/>
    </row>
    <row r="12" spans="1:12" x14ac:dyDescent="0.2">
      <c r="E12" s="6"/>
      <c r="F12" s="6"/>
      <c r="G12" s="6">
        <v>22</v>
      </c>
      <c r="H12" s="6"/>
      <c r="I12" s="6"/>
      <c r="J12" s="6"/>
      <c r="K12" s="6"/>
    </row>
    <row r="13" spans="1:12" x14ac:dyDescent="0.2">
      <c r="E13" s="6"/>
      <c r="F13" s="6"/>
      <c r="G13" s="6">
        <v>529</v>
      </c>
      <c r="H13" s="6"/>
      <c r="I13" s="6"/>
      <c r="J13" s="6"/>
      <c r="K13" s="6"/>
    </row>
    <row r="14" spans="1:12" x14ac:dyDescent="0.2">
      <c r="B14" s="1" t="s">
        <v>817</v>
      </c>
      <c r="E14" s="6"/>
      <c r="F14" s="6">
        <v>837</v>
      </c>
      <c r="G14" s="6"/>
      <c r="H14" s="6">
        <v>43</v>
      </c>
      <c r="I14" s="6">
        <f>+E14+SUM(G14:G17)</f>
        <v>0</v>
      </c>
      <c r="J14" s="6">
        <f>+F14+SUM(H14:H17)</f>
        <v>1295</v>
      </c>
      <c r="K14" s="6">
        <f t="shared" ref="K14:K24" si="0">+I14-J14</f>
        <v>-1295</v>
      </c>
      <c r="L14" s="6">
        <f>SUM(K10:K14)</f>
        <v>4638</v>
      </c>
    </row>
    <row r="15" spans="1:12" x14ac:dyDescent="0.2">
      <c r="E15" s="6"/>
      <c r="F15" s="6"/>
      <c r="G15" s="6"/>
      <c r="H15" s="6">
        <v>50</v>
      </c>
      <c r="I15" s="6"/>
      <c r="J15" s="6"/>
      <c r="K15" s="6"/>
    </row>
    <row r="16" spans="1:12" x14ac:dyDescent="0.2">
      <c r="E16" s="6"/>
      <c r="F16" s="6"/>
      <c r="G16" s="6"/>
      <c r="H16" s="6">
        <v>354</v>
      </c>
      <c r="I16" s="6"/>
      <c r="J16" s="6"/>
      <c r="K16" s="6"/>
    </row>
    <row r="17" spans="1:14" x14ac:dyDescent="0.2">
      <c r="E17" s="6"/>
      <c r="F17" s="6"/>
      <c r="G17" s="6"/>
      <c r="H17" s="26">
        <v>11</v>
      </c>
      <c r="I17" s="6"/>
      <c r="J17" s="6"/>
      <c r="K17" s="6"/>
    </row>
    <row r="18" spans="1:14" x14ac:dyDescent="0.2">
      <c r="B18" s="1" t="s">
        <v>813</v>
      </c>
      <c r="E18" s="6">
        <v>672</v>
      </c>
      <c r="F18" s="6"/>
      <c r="G18" s="6">
        <v>0</v>
      </c>
      <c r="H18" s="6">
        <f>+F45</f>
        <v>217.12</v>
      </c>
      <c r="I18" s="6">
        <f>+E18+SUM(G18:G19)</f>
        <v>1047</v>
      </c>
      <c r="J18" s="6">
        <f>+F18+SUM(H18:H19)</f>
        <v>217.12</v>
      </c>
      <c r="K18" s="6">
        <f t="shared" si="0"/>
        <v>829.88</v>
      </c>
    </row>
    <row r="19" spans="1:14" x14ac:dyDescent="0.2">
      <c r="E19" s="6"/>
      <c r="F19" s="6"/>
      <c r="G19" s="26">
        <f>+E82</f>
        <v>375</v>
      </c>
      <c r="H19" s="6"/>
      <c r="I19" s="6"/>
      <c r="J19" s="6"/>
      <c r="K19" s="6"/>
    </row>
    <row r="20" spans="1:14" x14ac:dyDescent="0.2">
      <c r="B20" s="1" t="s">
        <v>818</v>
      </c>
      <c r="E20" s="6"/>
      <c r="F20" s="6">
        <v>188</v>
      </c>
      <c r="G20" s="6"/>
      <c r="H20" s="6">
        <f>+F41</f>
        <v>26.88</v>
      </c>
      <c r="I20" s="6"/>
      <c r="J20" s="6">
        <f>+F20+SUM(H20:H21)</f>
        <v>297.07444444444445</v>
      </c>
      <c r="K20" s="6">
        <f t="shared" si="0"/>
        <v>-297.07444444444445</v>
      </c>
      <c r="L20" s="6">
        <f>SUM(K18:K20)</f>
        <v>532.80555555555554</v>
      </c>
    </row>
    <row r="21" spans="1:14" x14ac:dyDescent="0.2">
      <c r="E21" s="6"/>
      <c r="F21" s="6"/>
      <c r="G21" s="6"/>
      <c r="H21" s="26">
        <f>+F87</f>
        <v>82.194444444444443</v>
      </c>
      <c r="I21" s="6"/>
      <c r="J21" s="6"/>
      <c r="K21" s="6"/>
    </row>
    <row r="22" spans="1:14" x14ac:dyDescent="0.2">
      <c r="B22" s="1" t="s">
        <v>814</v>
      </c>
      <c r="E22" s="6">
        <v>3300</v>
      </c>
      <c r="F22" s="6"/>
      <c r="G22" s="26">
        <v>200</v>
      </c>
      <c r="H22" s="26">
        <v>3500</v>
      </c>
      <c r="I22" s="6">
        <f>+E22+SUM(G22:G23)</f>
        <v>6100</v>
      </c>
      <c r="J22" s="6">
        <f>+F22+SUM(H22:H23)</f>
        <v>3600</v>
      </c>
      <c r="K22" s="6">
        <f t="shared" si="0"/>
        <v>2500</v>
      </c>
      <c r="L22" s="6">
        <f>+K22</f>
        <v>2500</v>
      </c>
    </row>
    <row r="23" spans="1:14" x14ac:dyDescent="0.2">
      <c r="E23" s="6"/>
      <c r="F23" s="6"/>
      <c r="G23" s="26">
        <v>2600</v>
      </c>
      <c r="H23" s="26">
        <v>100</v>
      </c>
      <c r="I23" s="6"/>
      <c r="J23" s="6"/>
      <c r="K23" s="6"/>
    </row>
    <row r="24" spans="1:14" x14ac:dyDescent="0.2">
      <c r="A24" s="1">
        <v>1</v>
      </c>
      <c r="B24" s="1" t="s">
        <v>815</v>
      </c>
      <c r="E24" s="6">
        <v>509</v>
      </c>
      <c r="F24" s="6"/>
      <c r="G24" s="6">
        <v>20</v>
      </c>
      <c r="H24" s="6">
        <v>529</v>
      </c>
      <c r="I24" s="6">
        <f>+E24+G24</f>
        <v>529</v>
      </c>
      <c r="J24" s="6">
        <f>+F24+H24</f>
        <v>529</v>
      </c>
      <c r="K24" s="6">
        <f t="shared" si="0"/>
        <v>0</v>
      </c>
      <c r="M24" s="6"/>
      <c r="N24" s="6"/>
    </row>
    <row r="25" spans="1:14" x14ac:dyDescent="0.2">
      <c r="L25" s="6">
        <f>SUM(L14:L24)</f>
        <v>7670.8055555555557</v>
      </c>
      <c r="M25" s="6"/>
      <c r="N25" s="6"/>
    </row>
    <row r="27" spans="1:14" x14ac:dyDescent="0.2">
      <c r="B27" s="1" t="s">
        <v>819</v>
      </c>
    </row>
    <row r="28" spans="1:14" x14ac:dyDescent="0.2">
      <c r="B28" s="1" t="s">
        <v>820</v>
      </c>
    </row>
    <row r="29" spans="1:14" x14ac:dyDescent="0.2">
      <c r="B29" s="1" t="s">
        <v>34</v>
      </c>
      <c r="D29" s="6">
        <f>+E18</f>
        <v>672</v>
      </c>
      <c r="E29" s="6"/>
      <c r="F29" s="6"/>
      <c r="G29" s="6"/>
    </row>
    <row r="30" spans="1:14" x14ac:dyDescent="0.2">
      <c r="B30" s="1" t="s">
        <v>544</v>
      </c>
      <c r="D30" s="6">
        <f>-F20</f>
        <v>-188</v>
      </c>
      <c r="E30" s="6"/>
      <c r="F30" s="6"/>
    </row>
    <row r="31" spans="1:14" x14ac:dyDescent="0.2">
      <c r="B31" s="1" t="s">
        <v>302</v>
      </c>
      <c r="D31" s="6">
        <f>SUM(D29:D30)</f>
        <v>484</v>
      </c>
      <c r="E31" s="6"/>
      <c r="F31" s="6"/>
    </row>
    <row r="32" spans="1:14" x14ac:dyDescent="0.2">
      <c r="B32" s="1" t="s">
        <v>294</v>
      </c>
      <c r="D32" s="6">
        <v>25</v>
      </c>
      <c r="E32" s="6" t="s">
        <v>740</v>
      </c>
      <c r="F32" s="6"/>
    </row>
    <row r="33" spans="1:6" x14ac:dyDescent="0.2">
      <c r="B33" s="1" t="s">
        <v>821</v>
      </c>
      <c r="D33" s="6">
        <f>+D29/D32</f>
        <v>26.88</v>
      </c>
      <c r="E33" s="6"/>
      <c r="F33" s="6"/>
    </row>
    <row r="34" spans="1:6" x14ac:dyDescent="0.2">
      <c r="B34" s="1" t="s">
        <v>302</v>
      </c>
      <c r="C34" s="3">
        <v>44834</v>
      </c>
      <c r="D34" s="6">
        <f>+D31-D33</f>
        <v>457.12</v>
      </c>
      <c r="E34" s="6"/>
      <c r="F34" s="6"/>
    </row>
    <row r="35" spans="1:6" x14ac:dyDescent="0.2">
      <c r="B35" s="1" t="s">
        <v>544</v>
      </c>
      <c r="C35" s="3">
        <v>44834</v>
      </c>
      <c r="D35" s="6">
        <f>+D30-D33</f>
        <v>-214.88</v>
      </c>
      <c r="E35" s="6"/>
      <c r="F35" s="6"/>
    </row>
    <row r="36" spans="1:6" x14ac:dyDescent="0.2">
      <c r="B36" s="1" t="s">
        <v>302</v>
      </c>
      <c r="C36" s="3"/>
      <c r="D36" s="6">
        <f>+D29+D35</f>
        <v>457.12</v>
      </c>
      <c r="E36" s="6"/>
      <c r="F36" s="6"/>
    </row>
    <row r="37" spans="1:6" x14ac:dyDescent="0.2">
      <c r="B37" s="1" t="s">
        <v>822</v>
      </c>
      <c r="C37" s="3">
        <v>44834</v>
      </c>
      <c r="D37" s="6">
        <v>240</v>
      </c>
      <c r="E37" s="6"/>
      <c r="F37" s="6"/>
    </row>
    <row r="38" spans="1:6" x14ac:dyDescent="0.2">
      <c r="B38" s="1" t="s">
        <v>399</v>
      </c>
      <c r="D38" s="6">
        <f>+D37-D36</f>
        <v>-217.12</v>
      </c>
      <c r="E38" s="6"/>
      <c r="F38" s="6"/>
    </row>
    <row r="39" spans="1:6" x14ac:dyDescent="0.2">
      <c r="D39" s="6"/>
      <c r="E39" s="6"/>
      <c r="F39" s="6"/>
    </row>
    <row r="40" spans="1:6" x14ac:dyDescent="0.2">
      <c r="B40" s="1" t="s">
        <v>830</v>
      </c>
      <c r="D40" s="6"/>
      <c r="E40" s="6">
        <f>+D33</f>
        <v>26.88</v>
      </c>
      <c r="F40" s="6"/>
    </row>
    <row r="41" spans="1:6" x14ac:dyDescent="0.2">
      <c r="C41" s="1" t="s">
        <v>823</v>
      </c>
      <c r="D41" s="6"/>
      <c r="E41" s="6"/>
      <c r="F41" s="6">
        <f>+E40</f>
        <v>26.88</v>
      </c>
    </row>
    <row r="42" spans="1:6" x14ac:dyDescent="0.2">
      <c r="A42" s="1">
        <v>0.5</v>
      </c>
      <c r="B42" s="1" t="s">
        <v>824</v>
      </c>
      <c r="D42" s="6"/>
      <c r="E42" s="6"/>
      <c r="F42" s="6"/>
    </row>
    <row r="43" spans="1:6" x14ac:dyDescent="0.2">
      <c r="D43" s="6"/>
      <c r="E43" s="6"/>
      <c r="F43" s="6"/>
    </row>
    <row r="44" spans="1:6" x14ac:dyDescent="0.2">
      <c r="B44" s="1" t="s">
        <v>825</v>
      </c>
      <c r="D44" s="6"/>
      <c r="E44" s="6">
        <f>-D38</f>
        <v>217.12</v>
      </c>
      <c r="F44" s="6"/>
    </row>
    <row r="45" spans="1:6" x14ac:dyDescent="0.2">
      <c r="C45" s="1" t="s">
        <v>826</v>
      </c>
      <c r="D45" s="6"/>
      <c r="E45" s="6"/>
      <c r="F45" s="6">
        <f>+E44</f>
        <v>217.12</v>
      </c>
    </row>
    <row r="46" spans="1:6" x14ac:dyDescent="0.2">
      <c r="B46" s="1" t="s">
        <v>827</v>
      </c>
      <c r="D46" s="6"/>
      <c r="E46" s="6"/>
      <c r="F46" s="6"/>
    </row>
    <row r="49" spans="1:6" x14ac:dyDescent="0.2">
      <c r="B49" s="1" t="s">
        <v>831</v>
      </c>
    </row>
    <row r="51" spans="1:6" x14ac:dyDescent="0.2">
      <c r="B51" s="1" t="s">
        <v>832</v>
      </c>
      <c r="E51" s="1">
        <v>214</v>
      </c>
    </row>
    <row r="52" spans="1:6" x14ac:dyDescent="0.2">
      <c r="B52" s="1" t="s">
        <v>833</v>
      </c>
      <c r="E52" s="1">
        <v>36</v>
      </c>
    </row>
    <row r="53" spans="1:6" x14ac:dyDescent="0.2">
      <c r="B53" s="1" t="s">
        <v>834</v>
      </c>
      <c r="E53" s="1">
        <v>12</v>
      </c>
    </row>
    <row r="54" spans="1:6" x14ac:dyDescent="0.2">
      <c r="B54" s="1" t="s">
        <v>835</v>
      </c>
      <c r="E54" s="1">
        <v>48</v>
      </c>
    </row>
    <row r="55" spans="1:6" x14ac:dyDescent="0.2">
      <c r="B55" s="1" t="s">
        <v>836</v>
      </c>
      <c r="E55" s="1">
        <v>26</v>
      </c>
    </row>
    <row r="56" spans="1:6" ht="12.75" thickBot="1" x14ac:dyDescent="0.25">
      <c r="E56" s="15">
        <f>SUM(E51:E55)</f>
        <v>336</v>
      </c>
    </row>
    <row r="57" spans="1:6" ht="12.75" thickTop="1" x14ac:dyDescent="0.2"/>
    <row r="58" spans="1:6" x14ac:dyDescent="0.2">
      <c r="B58" s="1" t="s">
        <v>954</v>
      </c>
    </row>
    <row r="60" spans="1:6" x14ac:dyDescent="0.2">
      <c r="B60" s="1" t="s">
        <v>213</v>
      </c>
      <c r="C60" s="3">
        <v>44743</v>
      </c>
      <c r="E60" s="1">
        <f>+E54</f>
        <v>48</v>
      </c>
    </row>
    <row r="61" spans="1:6" x14ac:dyDescent="0.2">
      <c r="B61" s="1" t="s">
        <v>294</v>
      </c>
      <c r="E61" s="1">
        <f>4*12</f>
        <v>48</v>
      </c>
      <c r="F61" s="1" t="s">
        <v>52</v>
      </c>
    </row>
    <row r="62" spans="1:6" x14ac:dyDescent="0.2">
      <c r="A62" s="1">
        <v>0.5</v>
      </c>
      <c r="B62" s="1" t="s">
        <v>837</v>
      </c>
      <c r="D62" s="6">
        <f>YEARFRAC(C60,C3)*12</f>
        <v>2.9666666666666668</v>
      </c>
      <c r="E62" s="6">
        <f>+D62/E61*E60</f>
        <v>2.9666666666666668</v>
      </c>
    </row>
    <row r="64" spans="1:6" x14ac:dyDescent="0.2">
      <c r="B64" s="1" t="s">
        <v>859</v>
      </c>
      <c r="E64" s="6">
        <f>+E60</f>
        <v>48</v>
      </c>
    </row>
    <row r="65" spans="1:6" x14ac:dyDescent="0.2">
      <c r="C65" s="1" t="s">
        <v>838</v>
      </c>
      <c r="F65" s="6">
        <f>+E64</f>
        <v>48</v>
      </c>
    </row>
    <row r="66" spans="1:6" x14ac:dyDescent="0.2">
      <c r="B66" s="1" t="s">
        <v>839</v>
      </c>
    </row>
    <row r="68" spans="1:6" x14ac:dyDescent="0.2">
      <c r="B68" s="1" t="s">
        <v>955</v>
      </c>
      <c r="E68" s="6">
        <f>+E62</f>
        <v>2.9666666666666668</v>
      </c>
    </row>
    <row r="69" spans="1:6" x14ac:dyDescent="0.2">
      <c r="C69" s="1" t="s">
        <v>956</v>
      </c>
      <c r="F69" s="6">
        <f>+E68</f>
        <v>2.9666666666666668</v>
      </c>
    </row>
    <row r="70" spans="1:6" x14ac:dyDescent="0.2">
      <c r="B70" s="1" t="s">
        <v>957</v>
      </c>
    </row>
    <row r="74" spans="1:6" x14ac:dyDescent="0.2">
      <c r="B74" s="1" t="s">
        <v>953</v>
      </c>
    </row>
    <row r="75" spans="1:6" x14ac:dyDescent="0.2">
      <c r="B75" s="1" t="s">
        <v>840</v>
      </c>
    </row>
    <row r="76" spans="1:6" x14ac:dyDescent="0.2">
      <c r="B76" s="1" t="s">
        <v>213</v>
      </c>
      <c r="C76" s="3">
        <v>44562</v>
      </c>
      <c r="D76" s="1">
        <v>375</v>
      </c>
    </row>
    <row r="77" spans="1:6" x14ac:dyDescent="0.2">
      <c r="B77" s="1" t="s">
        <v>294</v>
      </c>
      <c r="D77" s="1">
        <f>3*12</f>
        <v>36</v>
      </c>
      <c r="E77" s="1" t="s">
        <v>52</v>
      </c>
    </row>
    <row r="78" spans="1:6" x14ac:dyDescent="0.2">
      <c r="A78" s="1">
        <v>0.5</v>
      </c>
      <c r="B78" s="1" t="s">
        <v>295</v>
      </c>
      <c r="D78" s="1">
        <v>45</v>
      </c>
    </row>
    <row r="79" spans="1:6" x14ac:dyDescent="0.2">
      <c r="D79" s="1">
        <f>+D76-D78</f>
        <v>330</v>
      </c>
    </row>
    <row r="80" spans="1:6" x14ac:dyDescent="0.2">
      <c r="A80" s="1">
        <v>1</v>
      </c>
      <c r="C80" s="37">
        <f>YEARFRAC(C76,C3)*12</f>
        <v>8.9666666666666668</v>
      </c>
      <c r="D80" s="6">
        <f>+C80/D77*D79</f>
        <v>82.194444444444443</v>
      </c>
    </row>
    <row r="82" spans="1:6" x14ac:dyDescent="0.2">
      <c r="B82" s="1" t="s">
        <v>842</v>
      </c>
      <c r="E82" s="1">
        <f>+D76</f>
        <v>375</v>
      </c>
    </row>
    <row r="83" spans="1:6" x14ac:dyDescent="0.2">
      <c r="C83" s="1" t="s">
        <v>845</v>
      </c>
      <c r="F83" s="1">
        <f>+E82</f>
        <v>375</v>
      </c>
    </row>
    <row r="84" spans="1:6" x14ac:dyDescent="0.2">
      <c r="A84" s="1">
        <v>0.5</v>
      </c>
      <c r="B84" s="1" t="s">
        <v>846</v>
      </c>
    </row>
    <row r="86" spans="1:6" x14ac:dyDescent="0.2">
      <c r="B86" s="1" t="s">
        <v>841</v>
      </c>
      <c r="E86" s="6">
        <f>+D80</f>
        <v>82.194444444444443</v>
      </c>
    </row>
    <row r="87" spans="1:6" x14ac:dyDescent="0.2">
      <c r="C87" s="1" t="s">
        <v>843</v>
      </c>
      <c r="F87" s="6">
        <f>+E86</f>
        <v>82.194444444444443</v>
      </c>
    </row>
    <row r="88" spans="1:6" x14ac:dyDescent="0.2">
      <c r="A88" s="1">
        <v>0.5</v>
      </c>
      <c r="B88" s="1" t="s">
        <v>844</v>
      </c>
    </row>
    <row r="92" spans="1:6" x14ac:dyDescent="0.2">
      <c r="C92" s="1" t="s">
        <v>321</v>
      </c>
      <c r="D92" s="1" t="s">
        <v>852</v>
      </c>
    </row>
    <row r="93" spans="1:6" x14ac:dyDescent="0.2">
      <c r="B93" s="1" t="s">
        <v>848</v>
      </c>
      <c r="C93" s="3">
        <v>43009</v>
      </c>
      <c r="D93" s="3">
        <v>42736</v>
      </c>
    </row>
    <row r="94" spans="1:6" x14ac:dyDescent="0.2">
      <c r="B94" s="1" t="s">
        <v>849</v>
      </c>
      <c r="C94" s="6">
        <v>2975</v>
      </c>
      <c r="D94" s="6">
        <v>1900</v>
      </c>
    </row>
    <row r="95" spans="1:6" x14ac:dyDescent="0.2">
      <c r="B95" s="1" t="s">
        <v>850</v>
      </c>
      <c r="C95" s="1">
        <v>300</v>
      </c>
      <c r="D95" s="1">
        <v>300</v>
      </c>
      <c r="E95" s="1" t="s">
        <v>862</v>
      </c>
    </row>
    <row r="96" spans="1:6" x14ac:dyDescent="0.2">
      <c r="B96" s="1" t="s">
        <v>851</v>
      </c>
      <c r="C96" s="6">
        <v>0</v>
      </c>
      <c r="D96" s="6">
        <v>0</v>
      </c>
    </row>
    <row r="99" spans="1:4" x14ac:dyDescent="0.2">
      <c r="B99" s="1" t="s">
        <v>32</v>
      </c>
    </row>
    <row r="100" spans="1:4" x14ac:dyDescent="0.2">
      <c r="B100" s="3">
        <v>44469</v>
      </c>
      <c r="C100" s="1">
        <v>3300</v>
      </c>
      <c r="D100" s="1">
        <v>2100</v>
      </c>
    </row>
    <row r="101" spans="1:4" x14ac:dyDescent="0.2">
      <c r="B101" s="3">
        <v>44743</v>
      </c>
      <c r="C101" s="1">
        <v>3500</v>
      </c>
      <c r="D101" s="1">
        <v>2600</v>
      </c>
    </row>
    <row r="102" spans="1:4" x14ac:dyDescent="0.2">
      <c r="B102" s="3">
        <v>44834</v>
      </c>
      <c r="C102" s="1">
        <v>3400</v>
      </c>
      <c r="D102" s="1">
        <v>2500</v>
      </c>
    </row>
    <row r="105" spans="1:4" x14ac:dyDescent="0.2">
      <c r="B105" s="1" t="s">
        <v>853</v>
      </c>
    </row>
    <row r="106" spans="1:4" x14ac:dyDescent="0.2">
      <c r="B106" s="1" t="s">
        <v>854</v>
      </c>
    </row>
    <row r="109" spans="1:4" x14ac:dyDescent="0.2">
      <c r="C109" s="1" t="s">
        <v>32</v>
      </c>
    </row>
    <row r="110" spans="1:4" x14ac:dyDescent="0.2">
      <c r="B110" s="3">
        <v>44469</v>
      </c>
      <c r="C110" s="1">
        <v>3300</v>
      </c>
    </row>
    <row r="111" spans="1:4" x14ac:dyDescent="0.2">
      <c r="B111" s="3">
        <v>44743</v>
      </c>
      <c r="C111" s="1">
        <v>3500</v>
      </c>
    </row>
    <row r="112" spans="1:4" x14ac:dyDescent="0.2">
      <c r="A112" s="1">
        <v>1</v>
      </c>
      <c r="C112" s="1">
        <f>+C111-C110</f>
        <v>200</v>
      </c>
    </row>
    <row r="114" spans="1:6" x14ac:dyDescent="0.2">
      <c r="B114" s="1" t="s">
        <v>863</v>
      </c>
      <c r="C114" s="6">
        <f>YEARFRAC(C93,B111)*12</f>
        <v>57</v>
      </c>
    </row>
    <row r="115" spans="1:6" x14ac:dyDescent="0.2">
      <c r="B115" s="1" t="s">
        <v>743</v>
      </c>
      <c r="C115" s="6">
        <f>+C95-C114</f>
        <v>243</v>
      </c>
    </row>
    <row r="116" spans="1:6" x14ac:dyDescent="0.2">
      <c r="B116" s="1" t="s">
        <v>864</v>
      </c>
      <c r="C116" s="6">
        <f>+C111/C115</f>
        <v>14.403292181069959</v>
      </c>
    </row>
    <row r="117" spans="1:6" x14ac:dyDescent="0.2">
      <c r="C117" s="37">
        <f>+YEARFRAC(B111,C3)*12</f>
        <v>2.9666666666666668</v>
      </c>
    </row>
    <row r="118" spans="1:6" x14ac:dyDescent="0.2">
      <c r="B118" s="1" t="s">
        <v>865</v>
      </c>
      <c r="C118" s="37">
        <f>+C116*C117</f>
        <v>42.729766803840882</v>
      </c>
    </row>
    <row r="119" spans="1:6" x14ac:dyDescent="0.2">
      <c r="C119" s="37"/>
    </row>
    <row r="121" spans="1:6" x14ac:dyDescent="0.2">
      <c r="B121" s="1" t="s">
        <v>855</v>
      </c>
      <c r="E121" s="1">
        <f>+C112</f>
        <v>200</v>
      </c>
    </row>
    <row r="122" spans="1:6" x14ac:dyDescent="0.2">
      <c r="C122" s="1" t="s">
        <v>856</v>
      </c>
      <c r="F122" s="1">
        <f>+E121</f>
        <v>200</v>
      </c>
    </row>
    <row r="123" spans="1:6" x14ac:dyDescent="0.2">
      <c r="A123" s="1">
        <v>0.5</v>
      </c>
      <c r="B123" s="1" t="s">
        <v>857</v>
      </c>
    </row>
    <row r="125" spans="1:6" x14ac:dyDescent="0.2">
      <c r="B125" s="1" t="s">
        <v>859</v>
      </c>
      <c r="E125" s="1">
        <f>+C111</f>
        <v>3500</v>
      </c>
    </row>
    <row r="126" spans="1:6" x14ac:dyDescent="0.2">
      <c r="C126" s="1" t="s">
        <v>860</v>
      </c>
      <c r="F126" s="1">
        <f>+E125</f>
        <v>3500</v>
      </c>
    </row>
    <row r="127" spans="1:6" x14ac:dyDescent="0.2">
      <c r="A127" s="1">
        <v>0.5</v>
      </c>
      <c r="B127" s="1" t="s">
        <v>861</v>
      </c>
    </row>
    <row r="129" spans="1:6" x14ac:dyDescent="0.2">
      <c r="B129" s="1" t="s">
        <v>298</v>
      </c>
      <c r="E129" s="37">
        <f>+C118</f>
        <v>42.729766803840882</v>
      </c>
    </row>
    <row r="130" spans="1:6" x14ac:dyDescent="0.2">
      <c r="C130" s="1" t="s">
        <v>866</v>
      </c>
      <c r="F130" s="37">
        <f>+E129</f>
        <v>42.729766803840882</v>
      </c>
    </row>
    <row r="131" spans="1:6" x14ac:dyDescent="0.2">
      <c r="B131" s="1" t="s">
        <v>867</v>
      </c>
    </row>
    <row r="134" spans="1:6" x14ac:dyDescent="0.2">
      <c r="B134" s="1" t="s">
        <v>852</v>
      </c>
    </row>
    <row r="135" spans="1:6" x14ac:dyDescent="0.2">
      <c r="B135" s="1" t="s">
        <v>868</v>
      </c>
    </row>
    <row r="136" spans="1:6" x14ac:dyDescent="0.2">
      <c r="B136" s="1" t="s">
        <v>869</v>
      </c>
    </row>
    <row r="139" spans="1:6" x14ac:dyDescent="0.2">
      <c r="B139" s="1" t="s">
        <v>34</v>
      </c>
      <c r="C139" s="3">
        <v>44469</v>
      </c>
      <c r="D139" s="6">
        <f>+D94</f>
        <v>1900</v>
      </c>
    </row>
    <row r="140" spans="1:6" x14ac:dyDescent="0.2">
      <c r="B140" s="1" t="s">
        <v>35</v>
      </c>
      <c r="C140" s="6">
        <f>YEARFRAC(D93,C139)*12</f>
        <v>56.966666666666661</v>
      </c>
      <c r="D140" s="1">
        <f>+C140/D95*D94</f>
        <v>360.78888888888889</v>
      </c>
    </row>
    <row r="141" spans="1:6" x14ac:dyDescent="0.2">
      <c r="B141" s="1" t="s">
        <v>870</v>
      </c>
      <c r="C141" s="3">
        <v>44469</v>
      </c>
      <c r="D141" s="6">
        <f>+D139-D140</f>
        <v>1539.2111111111112</v>
      </c>
    </row>
    <row r="142" spans="1:6" x14ac:dyDescent="0.2">
      <c r="A142" s="1">
        <v>0.5</v>
      </c>
      <c r="B142" s="1" t="s">
        <v>32</v>
      </c>
      <c r="C142" s="3">
        <v>44469</v>
      </c>
      <c r="D142" s="1">
        <v>2600</v>
      </c>
    </row>
    <row r="143" spans="1:6" x14ac:dyDescent="0.2">
      <c r="D143" s="6">
        <f>+D142-D141</f>
        <v>1060.7888888888888</v>
      </c>
      <c r="E143" s="1" t="s">
        <v>871</v>
      </c>
    </row>
    <row r="144" spans="1:6" x14ac:dyDescent="0.2">
      <c r="B144" s="1" t="s">
        <v>872</v>
      </c>
      <c r="C144" s="6">
        <f>+D95-C140</f>
        <v>243.03333333333333</v>
      </c>
      <c r="D144" s="6">
        <f>+D142/C144</f>
        <v>10.698120971060211</v>
      </c>
      <c r="E144" s="1" t="s">
        <v>865</v>
      </c>
    </row>
    <row r="145" spans="2:6" x14ac:dyDescent="0.2">
      <c r="D145" s="6"/>
    </row>
    <row r="146" spans="2:6" x14ac:dyDescent="0.2">
      <c r="D146" s="6"/>
    </row>
    <row r="147" spans="2:6" x14ac:dyDescent="0.2">
      <c r="B147" s="1" t="s">
        <v>865</v>
      </c>
      <c r="C147" s="1">
        <v>6</v>
      </c>
      <c r="D147" s="1" t="s">
        <v>874</v>
      </c>
    </row>
    <row r="148" spans="2:6" x14ac:dyDescent="0.2">
      <c r="B148" s="1" t="s">
        <v>873</v>
      </c>
      <c r="D148" s="6">
        <f>+C147*D144</f>
        <v>64.188725826361264</v>
      </c>
    </row>
    <row r="149" spans="2:6" x14ac:dyDescent="0.2">
      <c r="C149" s="1" t="s">
        <v>875</v>
      </c>
      <c r="D149" s="6"/>
    </row>
    <row r="150" spans="2:6" x14ac:dyDescent="0.2">
      <c r="B150" s="1" t="s">
        <v>298</v>
      </c>
      <c r="D150" s="6"/>
      <c r="E150" s="6">
        <f>+D148</f>
        <v>64.188725826361264</v>
      </c>
    </row>
    <row r="151" spans="2:6" x14ac:dyDescent="0.2">
      <c r="C151" s="1" t="s">
        <v>307</v>
      </c>
      <c r="D151" s="6"/>
      <c r="F151" s="6">
        <f>+E150</f>
        <v>64.188725826361264</v>
      </c>
    </row>
    <row r="152" spans="2:6" x14ac:dyDescent="0.2">
      <c r="B152" s="1" t="s">
        <v>876</v>
      </c>
      <c r="D152" s="6"/>
    </row>
    <row r="153" spans="2:6" x14ac:dyDescent="0.2">
      <c r="D153" s="6"/>
    </row>
    <row r="154" spans="2:6" x14ac:dyDescent="0.2">
      <c r="B154" s="1" t="s">
        <v>877</v>
      </c>
      <c r="C154" s="3">
        <v>44742</v>
      </c>
      <c r="D154" s="6">
        <f>+D142-D148</f>
        <v>2535.8112741736386</v>
      </c>
    </row>
    <row r="155" spans="2:6" x14ac:dyDescent="0.2">
      <c r="B155" s="1" t="s">
        <v>878</v>
      </c>
      <c r="C155" s="3">
        <v>44743</v>
      </c>
      <c r="D155" s="1">
        <v>2600</v>
      </c>
    </row>
    <row r="156" spans="2:6" x14ac:dyDescent="0.2">
      <c r="D156" s="6">
        <f>+D155-D154</f>
        <v>64.188725826361406</v>
      </c>
    </row>
    <row r="158" spans="2:6" x14ac:dyDescent="0.2">
      <c r="B158" s="1" t="s">
        <v>859</v>
      </c>
      <c r="E158" s="6">
        <f>+F160-E159</f>
        <v>699.99999999999989</v>
      </c>
    </row>
    <row r="159" spans="2:6" x14ac:dyDescent="0.2">
      <c r="B159" s="1" t="s">
        <v>127</v>
      </c>
      <c r="E159" s="6">
        <f>+D140</f>
        <v>360.78888888888889</v>
      </c>
    </row>
    <row r="160" spans="2:6" x14ac:dyDescent="0.2">
      <c r="C160" s="1" t="s">
        <v>879</v>
      </c>
      <c r="F160" s="6">
        <f>+D143</f>
        <v>1060.7888888888888</v>
      </c>
    </row>
    <row r="161" spans="1:6" x14ac:dyDescent="0.2">
      <c r="B161" s="1" t="s">
        <v>880</v>
      </c>
    </row>
    <row r="163" spans="1:6" x14ac:dyDescent="0.2">
      <c r="B163" s="1" t="s">
        <v>305</v>
      </c>
      <c r="E163" s="1">
        <f>+D155</f>
        <v>2600</v>
      </c>
    </row>
    <row r="164" spans="1:6" x14ac:dyDescent="0.2">
      <c r="A164" s="1">
        <v>0.5</v>
      </c>
      <c r="C164" s="1" t="s">
        <v>881</v>
      </c>
      <c r="F164" s="1">
        <f>+D155</f>
        <v>2600</v>
      </c>
    </row>
    <row r="165" spans="1:6" x14ac:dyDescent="0.2">
      <c r="B165" s="1" t="s">
        <v>882</v>
      </c>
    </row>
    <row r="167" spans="1:6" x14ac:dyDescent="0.2">
      <c r="B167" s="1" t="s">
        <v>883</v>
      </c>
    </row>
    <row r="168" spans="1:6" x14ac:dyDescent="0.2">
      <c r="B168" s="1" t="s">
        <v>884</v>
      </c>
      <c r="E168" s="1">
        <v>100</v>
      </c>
    </row>
    <row r="169" spans="1:6" x14ac:dyDescent="0.2">
      <c r="C169" s="1" t="s">
        <v>885</v>
      </c>
      <c r="F169" s="1">
        <v>100</v>
      </c>
    </row>
    <row r="170" spans="1:6" x14ac:dyDescent="0.2">
      <c r="A170" s="1">
        <v>0.5</v>
      </c>
      <c r="B170" s="1" t="s">
        <v>886</v>
      </c>
    </row>
    <row r="172" spans="1:6" x14ac:dyDescent="0.2">
      <c r="B172" s="1" t="s">
        <v>887</v>
      </c>
    </row>
    <row r="173" spans="1:6" x14ac:dyDescent="0.2">
      <c r="B173" s="1" t="s">
        <v>888</v>
      </c>
    </row>
    <row r="175" spans="1:6" x14ac:dyDescent="0.2">
      <c r="B175" s="1" t="s">
        <v>958</v>
      </c>
    </row>
    <row r="176" spans="1:6" x14ac:dyDescent="0.2">
      <c r="B176" s="1">
        <v>3</v>
      </c>
    </row>
    <row r="177" spans="2:6" x14ac:dyDescent="0.2">
      <c r="B177" s="1">
        <v>300</v>
      </c>
      <c r="C177" s="1">
        <f>+B176/B177*D139</f>
        <v>19</v>
      </c>
    </row>
    <row r="178" spans="2:6" x14ac:dyDescent="0.2">
      <c r="B178" s="1" t="s">
        <v>959</v>
      </c>
      <c r="E178" s="1">
        <f>+F179</f>
        <v>19</v>
      </c>
    </row>
    <row r="179" spans="2:6" x14ac:dyDescent="0.2">
      <c r="C179" s="1" t="s">
        <v>298</v>
      </c>
      <c r="F179" s="1">
        <f>+C177</f>
        <v>19</v>
      </c>
    </row>
    <row r="182" spans="2:6" x14ac:dyDescent="0.2">
      <c r="B182" s="1" t="s">
        <v>889</v>
      </c>
    </row>
    <row r="184" spans="2:6" x14ac:dyDescent="0.2">
      <c r="B184" s="1" t="s">
        <v>890</v>
      </c>
      <c r="D184" s="3">
        <v>44652</v>
      </c>
    </row>
    <row r="186" spans="2:6" x14ac:dyDescent="0.2">
      <c r="B186" s="1" t="s">
        <v>891</v>
      </c>
    </row>
    <row r="187" spans="2:6" x14ac:dyDescent="0.2">
      <c r="B187" s="3"/>
    </row>
    <row r="188" spans="2:6" x14ac:dyDescent="0.2">
      <c r="B188" s="1" t="s">
        <v>892</v>
      </c>
      <c r="D188" s="1">
        <v>509</v>
      </c>
    </row>
    <row r="189" spans="2:6" x14ac:dyDescent="0.2">
      <c r="B189" s="1" t="s">
        <v>184</v>
      </c>
    </row>
    <row r="190" spans="2:6" x14ac:dyDescent="0.2">
      <c r="B190" s="1" t="s">
        <v>893</v>
      </c>
      <c r="D190" s="1">
        <v>0</v>
      </c>
    </row>
    <row r="191" spans="2:6" x14ac:dyDescent="0.2">
      <c r="B191" s="1" t="s">
        <v>894</v>
      </c>
      <c r="D191" s="1">
        <v>0</v>
      </c>
    </row>
    <row r="192" spans="2:6" x14ac:dyDescent="0.2">
      <c r="B192" s="1" t="s">
        <v>897</v>
      </c>
      <c r="D192" s="1">
        <v>-25</v>
      </c>
      <c r="E192" s="1" t="s">
        <v>899</v>
      </c>
    </row>
    <row r="193" spans="1:5" x14ac:dyDescent="0.2">
      <c r="B193" s="1" t="s">
        <v>898</v>
      </c>
      <c r="D193" s="1">
        <v>-7</v>
      </c>
    </row>
    <row r="194" spans="1:5" x14ac:dyDescent="0.2">
      <c r="B194" s="1" t="s">
        <v>895</v>
      </c>
      <c r="D194" s="1">
        <v>15</v>
      </c>
      <c r="E194" s="1" t="s">
        <v>906</v>
      </c>
    </row>
    <row r="195" spans="1:5" x14ac:dyDescent="0.2">
      <c r="B195" s="1" t="s">
        <v>895</v>
      </c>
      <c r="D195" s="1">
        <v>15</v>
      </c>
    </row>
    <row r="196" spans="1:5" x14ac:dyDescent="0.2">
      <c r="B196" s="1" t="s">
        <v>896</v>
      </c>
      <c r="D196" s="1">
        <v>15</v>
      </c>
    </row>
    <row r="197" spans="1:5" x14ac:dyDescent="0.2">
      <c r="D197" s="1">
        <f>SUM(D188:D196)</f>
        <v>522</v>
      </c>
    </row>
    <row r="200" spans="1:5" x14ac:dyDescent="0.2">
      <c r="B200" s="1" t="s">
        <v>900</v>
      </c>
      <c r="D200" s="1">
        <v>155</v>
      </c>
      <c r="E200" s="1">
        <f>+D200*3</f>
        <v>465</v>
      </c>
    </row>
    <row r="201" spans="1:5" x14ac:dyDescent="0.2">
      <c r="B201" s="1" t="s">
        <v>901</v>
      </c>
      <c r="D201" s="1">
        <v>15</v>
      </c>
      <c r="E201" s="1">
        <f>+D201*3</f>
        <v>45</v>
      </c>
    </row>
    <row r="202" spans="1:5" x14ac:dyDescent="0.2">
      <c r="B202" s="1" t="s">
        <v>902</v>
      </c>
      <c r="D202" s="1">
        <f>+D200-D201</f>
        <v>140</v>
      </c>
      <c r="E202" s="1">
        <f>+E200-E201</f>
        <v>420</v>
      </c>
    </row>
    <row r="204" spans="1:5" x14ac:dyDescent="0.2">
      <c r="B204" s="1" t="s">
        <v>903</v>
      </c>
    </row>
    <row r="205" spans="1:5" x14ac:dyDescent="0.2">
      <c r="B205" s="1" t="s">
        <v>904</v>
      </c>
    </row>
    <row r="207" spans="1:5" x14ac:dyDescent="0.2">
      <c r="A207" s="1">
        <v>0.5</v>
      </c>
      <c r="B207" s="1" t="s">
        <v>908</v>
      </c>
      <c r="E207" s="1">
        <f>-SUM(D192:D193)</f>
        <v>32</v>
      </c>
    </row>
    <row r="208" spans="1:5" x14ac:dyDescent="0.2">
      <c r="B208" s="1" t="s">
        <v>859</v>
      </c>
      <c r="E208" s="1">
        <f>+C235</f>
        <v>477</v>
      </c>
    </row>
    <row r="209" spans="2:6" x14ac:dyDescent="0.2">
      <c r="C209" s="1" t="s">
        <v>905</v>
      </c>
      <c r="F209" s="1">
        <f>+D188</f>
        <v>509</v>
      </c>
    </row>
    <row r="210" spans="2:6" x14ac:dyDescent="0.2">
      <c r="B210" s="1" t="s">
        <v>907</v>
      </c>
    </row>
    <row r="212" spans="2:6" x14ac:dyDescent="0.2">
      <c r="B212" s="1" t="s">
        <v>858</v>
      </c>
      <c r="E212" s="1">
        <f>+E201</f>
        <v>45</v>
      </c>
    </row>
    <row r="213" spans="2:6" x14ac:dyDescent="0.2">
      <c r="C213" s="1" t="s">
        <v>942</v>
      </c>
      <c r="F213" s="1">
        <f>+E212</f>
        <v>45</v>
      </c>
    </row>
    <row r="214" spans="2:6" x14ac:dyDescent="0.2">
      <c r="B214" s="1" t="s">
        <v>960</v>
      </c>
    </row>
    <row r="216" spans="2:6" x14ac:dyDescent="0.2">
      <c r="B216" s="1" t="s">
        <v>909</v>
      </c>
    </row>
    <row r="217" spans="2:6" x14ac:dyDescent="0.2">
      <c r="B217" s="1" t="s">
        <v>910</v>
      </c>
      <c r="C217" s="1">
        <v>500</v>
      </c>
      <c r="D217" s="1" t="s">
        <v>913</v>
      </c>
    </row>
    <row r="218" spans="2:6" x14ac:dyDescent="0.2">
      <c r="B218" s="1" t="s">
        <v>376</v>
      </c>
      <c r="C218" s="4">
        <v>7.0000000000000007E-2</v>
      </c>
      <c r="D218" s="1" t="s">
        <v>371</v>
      </c>
    </row>
    <row r="219" spans="2:6" x14ac:dyDescent="0.2">
      <c r="B219" s="1" t="s">
        <v>375</v>
      </c>
      <c r="C219" s="1">
        <v>100</v>
      </c>
    </row>
    <row r="220" spans="2:6" x14ac:dyDescent="0.2">
      <c r="B220" s="1" t="s">
        <v>911</v>
      </c>
      <c r="C220" s="3">
        <v>45199</v>
      </c>
    </row>
    <row r="221" spans="2:6" x14ac:dyDescent="0.2">
      <c r="B221" s="1" t="s">
        <v>912</v>
      </c>
      <c r="C221" s="1">
        <f>+C217*C218</f>
        <v>35</v>
      </c>
      <c r="D221" s="1" t="s">
        <v>748</v>
      </c>
    </row>
    <row r="223" spans="2:6" x14ac:dyDescent="0.2">
      <c r="C223" s="1" t="s">
        <v>914</v>
      </c>
    </row>
    <row r="224" spans="2:6" x14ac:dyDescent="0.2">
      <c r="B224" s="3">
        <v>45199</v>
      </c>
    </row>
    <row r="226" spans="1:9" x14ac:dyDescent="0.2">
      <c r="B226" s="1" t="s">
        <v>915</v>
      </c>
    </row>
    <row r="227" spans="1:9" x14ac:dyDescent="0.2">
      <c r="B227" s="1" t="s">
        <v>916</v>
      </c>
      <c r="E227" s="3">
        <v>44651</v>
      </c>
    </row>
    <row r="228" spans="1:9" x14ac:dyDescent="0.2">
      <c r="B228" s="1" t="s">
        <v>917</v>
      </c>
      <c r="C228" s="1" t="s">
        <v>918</v>
      </c>
      <c r="D228" s="1" t="s">
        <v>919</v>
      </c>
      <c r="F228" s="1" t="s">
        <v>920</v>
      </c>
      <c r="G228" s="1" t="s">
        <v>921</v>
      </c>
      <c r="H228" s="1" t="s">
        <v>922</v>
      </c>
      <c r="I228" s="1" t="s">
        <v>923</v>
      </c>
    </row>
    <row r="229" spans="1:9" x14ac:dyDescent="0.2">
      <c r="B229" s="1" t="s">
        <v>893</v>
      </c>
      <c r="C229" s="1">
        <v>20</v>
      </c>
      <c r="D229" s="3">
        <v>44592</v>
      </c>
      <c r="G229" s="33">
        <v>7.0000000000000007E-2</v>
      </c>
      <c r="H229" s="1">
        <f>YEARFRAC(D229,$E$227)*12</f>
        <v>2</v>
      </c>
      <c r="I229" s="38">
        <f>G229*(H229-F229)/12*C229</f>
        <v>0.23333333333333334</v>
      </c>
    </row>
    <row r="230" spans="1:9" x14ac:dyDescent="0.2">
      <c r="B230" s="1" t="s">
        <v>894</v>
      </c>
      <c r="C230" s="1">
        <v>37</v>
      </c>
      <c r="D230" s="3">
        <v>44592</v>
      </c>
      <c r="G230" s="33">
        <v>7.0000000000000007E-2</v>
      </c>
      <c r="H230" s="1">
        <f t="shared" ref="H230:H233" si="1">YEARFRAC(D230,$E$227)*12</f>
        <v>2</v>
      </c>
      <c r="I230" s="38">
        <f>G230*(H230-F230)/12*C230</f>
        <v>0.4316666666666667</v>
      </c>
    </row>
    <row r="231" spans="1:9" x14ac:dyDescent="0.2">
      <c r="B231" s="1" t="s">
        <v>895</v>
      </c>
      <c r="C231" s="1">
        <v>140</v>
      </c>
      <c r="D231" s="3">
        <v>44592</v>
      </c>
      <c r="G231" s="33">
        <v>7.0000000000000007E-2</v>
      </c>
      <c r="H231" s="1">
        <f t="shared" si="1"/>
        <v>2</v>
      </c>
      <c r="I231" s="38">
        <f t="shared" ref="I231:I233" si="2">G231*(H231-F231)/12*C231</f>
        <v>1.6333333333333333</v>
      </c>
    </row>
    <row r="232" spans="1:9" x14ac:dyDescent="0.2">
      <c r="B232" s="1" t="s">
        <v>895</v>
      </c>
      <c r="C232" s="1">
        <v>140</v>
      </c>
      <c r="D232" s="3">
        <v>44620</v>
      </c>
      <c r="G232" s="33">
        <v>7.0000000000000007E-2</v>
      </c>
      <c r="H232" s="37">
        <f t="shared" si="1"/>
        <v>1.0333333333333332</v>
      </c>
      <c r="I232" s="38">
        <f t="shared" si="2"/>
        <v>0.84388888888888891</v>
      </c>
    </row>
    <row r="233" spans="1:9" x14ac:dyDescent="0.2">
      <c r="B233" s="1" t="s">
        <v>896</v>
      </c>
      <c r="C233" s="1">
        <v>140</v>
      </c>
      <c r="D233" s="3">
        <v>44651</v>
      </c>
      <c r="G233" s="33">
        <v>7.0000000000000007E-2</v>
      </c>
      <c r="H233" s="1">
        <f t="shared" si="1"/>
        <v>0</v>
      </c>
      <c r="I233" s="38">
        <f t="shared" si="2"/>
        <v>0</v>
      </c>
    </row>
    <row r="234" spans="1:9" x14ac:dyDescent="0.2">
      <c r="A234" s="1">
        <v>1</v>
      </c>
      <c r="H234" s="1" t="s">
        <v>924</v>
      </c>
      <c r="I234" s="38">
        <f>SUM(I229:I233)</f>
        <v>3.1422222222222222</v>
      </c>
    </row>
    <row r="235" spans="1:9" x14ac:dyDescent="0.2">
      <c r="C235" s="1">
        <f>SUM(C229:C234)</f>
        <v>477</v>
      </c>
      <c r="H235" s="1" t="s">
        <v>925</v>
      </c>
      <c r="I235" s="6">
        <v>500</v>
      </c>
    </row>
    <row r="236" spans="1:9" x14ac:dyDescent="0.2">
      <c r="H236" s="1" t="s">
        <v>926</v>
      </c>
      <c r="I236" s="6"/>
    </row>
    <row r="237" spans="1:9" x14ac:dyDescent="0.2">
      <c r="I237" s="6">
        <f>SUM(I235:I236)</f>
        <v>500</v>
      </c>
    </row>
    <row r="238" spans="1:9" x14ac:dyDescent="0.2">
      <c r="H238" s="1" t="s">
        <v>923</v>
      </c>
      <c r="I238" s="6">
        <f>IF(I234&lt;I237,I234,I237)</f>
        <v>3.1422222222222222</v>
      </c>
    </row>
    <row r="241" spans="1:6" x14ac:dyDescent="0.2">
      <c r="A241" s="1">
        <v>1</v>
      </c>
      <c r="B241" s="1" t="s">
        <v>859</v>
      </c>
      <c r="E241" s="38">
        <f>+I238</f>
        <v>3.1422222222222222</v>
      </c>
    </row>
    <row r="242" spans="1:6" x14ac:dyDescent="0.2">
      <c r="C242" s="1" t="s">
        <v>927</v>
      </c>
      <c r="F242" s="38">
        <f>+E241</f>
        <v>3.1422222222222222</v>
      </c>
    </row>
    <row r="243" spans="1:6" x14ac:dyDescent="0.2">
      <c r="B243" s="1" t="s">
        <v>928</v>
      </c>
    </row>
    <row r="246" spans="1:6" x14ac:dyDescent="0.2">
      <c r="B246" s="1" t="s">
        <v>96</v>
      </c>
    </row>
    <row r="247" spans="1:6" x14ac:dyDescent="0.2">
      <c r="B247" s="1" t="s">
        <v>302</v>
      </c>
      <c r="C247" s="3">
        <v>44652</v>
      </c>
      <c r="D247" s="38">
        <f>+C235+E241+E212</f>
        <v>525.14222222222224</v>
      </c>
    </row>
    <row r="248" spans="1:6" x14ac:dyDescent="0.2">
      <c r="B248" s="1" t="s">
        <v>294</v>
      </c>
      <c r="D248" s="1">
        <f>25*12</f>
        <v>300</v>
      </c>
      <c r="E248" s="1" t="s">
        <v>52</v>
      </c>
    </row>
    <row r="249" spans="1:6" x14ac:dyDescent="0.2">
      <c r="A249" s="1">
        <v>0.5</v>
      </c>
      <c r="C249" s="6">
        <f>YEARFRAC(C247,C3)*12</f>
        <v>5.9666666666666668</v>
      </c>
      <c r="D249" s="6">
        <f>+C249/D248*D247</f>
        <v>10.444495308641976</v>
      </c>
    </row>
    <row r="251" spans="1:6" x14ac:dyDescent="0.2">
      <c r="B251" s="1" t="s">
        <v>929</v>
      </c>
      <c r="E251" s="6">
        <f>+D249</f>
        <v>10.444495308641976</v>
      </c>
      <c r="F251" s="6"/>
    </row>
    <row r="252" spans="1:6" x14ac:dyDescent="0.2">
      <c r="C252" s="1" t="s">
        <v>930</v>
      </c>
      <c r="E252" s="6"/>
      <c r="F252" s="6">
        <f>+E251</f>
        <v>10.444495308641976</v>
      </c>
    </row>
    <row r="253" spans="1:6" x14ac:dyDescent="0.2">
      <c r="A253" s="1">
        <v>0.5</v>
      </c>
      <c r="B253" s="1" t="s">
        <v>931</v>
      </c>
    </row>
    <row r="256" spans="1:6" x14ac:dyDescent="0.2">
      <c r="B256" s="1" t="s">
        <v>932</v>
      </c>
    </row>
    <row r="261" spans="1:5" x14ac:dyDescent="0.2">
      <c r="B261" s="1" t="s">
        <v>933</v>
      </c>
    </row>
    <row r="262" spans="1:5" x14ac:dyDescent="0.2">
      <c r="A262" s="1">
        <v>0.5</v>
      </c>
      <c r="B262" s="1" t="s">
        <v>934</v>
      </c>
    </row>
    <row r="263" spans="1:5" x14ac:dyDescent="0.2">
      <c r="B263" s="1" t="s">
        <v>935</v>
      </c>
    </row>
    <row r="264" spans="1:5" x14ac:dyDescent="0.2">
      <c r="B264" s="1" t="s">
        <v>936</v>
      </c>
    </row>
    <row r="267" spans="1:5" x14ac:dyDescent="0.2">
      <c r="B267" s="1" t="s">
        <v>937</v>
      </c>
    </row>
    <row r="268" spans="1:5" x14ac:dyDescent="0.2">
      <c r="A268" s="1">
        <v>0.5</v>
      </c>
      <c r="B268" s="1" t="s">
        <v>938</v>
      </c>
    </row>
    <row r="269" spans="1:5" x14ac:dyDescent="0.2">
      <c r="B269" s="1" t="s">
        <v>939</v>
      </c>
    </row>
    <row r="270" spans="1:5" x14ac:dyDescent="0.2">
      <c r="B270" s="1" t="s">
        <v>940</v>
      </c>
    </row>
    <row r="272" spans="1:5" x14ac:dyDescent="0.2">
      <c r="B272" s="1" t="s">
        <v>941</v>
      </c>
      <c r="E272" s="1">
        <f>130-95</f>
        <v>35</v>
      </c>
    </row>
    <row r="273" spans="1:6" x14ac:dyDescent="0.2">
      <c r="C273" s="1" t="s">
        <v>942</v>
      </c>
      <c r="F273" s="1">
        <f>+E272</f>
        <v>35</v>
      </c>
    </row>
    <row r="275" spans="1:6" x14ac:dyDescent="0.2">
      <c r="A275" s="1">
        <v>0.5</v>
      </c>
      <c r="B275" s="1" t="s">
        <v>943</v>
      </c>
    </row>
    <row r="276" spans="1:6" x14ac:dyDescent="0.2">
      <c r="B276" s="1" t="s">
        <v>944</v>
      </c>
    </row>
    <row r="277" spans="1:6" x14ac:dyDescent="0.2">
      <c r="B277" s="1" t="s">
        <v>945</v>
      </c>
    </row>
    <row r="278" spans="1:6" x14ac:dyDescent="0.2">
      <c r="B278" s="1" t="s">
        <v>946</v>
      </c>
    </row>
    <row r="281" spans="1:6" x14ac:dyDescent="0.2">
      <c r="B281" s="1" t="s">
        <v>947</v>
      </c>
    </row>
    <row r="282" spans="1:6" x14ac:dyDescent="0.2">
      <c r="B282" s="1" t="s">
        <v>948</v>
      </c>
    </row>
    <row r="283" spans="1:6" x14ac:dyDescent="0.2">
      <c r="A283" s="1">
        <v>1</v>
      </c>
      <c r="B283" s="1" t="s">
        <v>949</v>
      </c>
    </row>
    <row r="285" spans="1:6" x14ac:dyDescent="0.2">
      <c r="B285" s="1" t="s">
        <v>950</v>
      </c>
    </row>
    <row r="287" spans="1:6" x14ac:dyDescent="0.2">
      <c r="B287" s="1" t="s">
        <v>951</v>
      </c>
      <c r="E287" s="1">
        <v>101</v>
      </c>
    </row>
    <row r="288" spans="1:6" x14ac:dyDescent="0.2">
      <c r="A288" s="1">
        <v>1</v>
      </c>
      <c r="C288" s="1" t="s">
        <v>942</v>
      </c>
      <c r="F288" s="1">
        <v>101</v>
      </c>
    </row>
    <row r="289" spans="2:2" x14ac:dyDescent="0.2">
      <c r="B289" s="1" t="s">
        <v>952</v>
      </c>
    </row>
  </sheetData>
  <hyperlinks>
    <hyperlink ref="A1" location="Main!A1" display="Main" xr:uid="{1D2C1432-D0BE-43EF-AD9D-355C25A088CC}"/>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EBB2A-1CE3-4EEB-9A08-CF5E3669FD1C}">
  <sheetPr codeName="Sheet8"/>
  <dimension ref="A1:I182"/>
  <sheetViews>
    <sheetView zoomScale="175" zoomScaleNormal="175" workbookViewId="0"/>
  </sheetViews>
  <sheetFormatPr defaultRowHeight="12" x14ac:dyDescent="0.2"/>
  <cols>
    <col min="1" max="2" width="9.140625" style="1"/>
    <col min="3" max="4" width="11.5703125" style="1" bestFit="1" customWidth="1"/>
    <col min="5" max="5" width="12.85546875" style="1" bestFit="1" customWidth="1"/>
    <col min="6" max="16384" width="9.140625" style="1"/>
  </cols>
  <sheetData>
    <row r="1" spans="1:7" ht="15" x14ac:dyDescent="0.25">
      <c r="A1" s="2" t="s">
        <v>0</v>
      </c>
    </row>
    <row r="2" spans="1:7" x14ac:dyDescent="0.2">
      <c r="B2" s="1" t="s">
        <v>1385</v>
      </c>
    </row>
    <row r="3" spans="1:7" x14ac:dyDescent="0.2">
      <c r="B3" s="1" t="s">
        <v>1386</v>
      </c>
    </row>
    <row r="4" spans="1:7" x14ac:dyDescent="0.2">
      <c r="B4" s="1" t="s">
        <v>5</v>
      </c>
      <c r="C4" s="3">
        <v>44865</v>
      </c>
    </row>
    <row r="6" spans="1:7" x14ac:dyDescent="0.2">
      <c r="D6" s="1" t="s">
        <v>2467</v>
      </c>
      <c r="E6" s="1" t="s">
        <v>2466</v>
      </c>
    </row>
    <row r="7" spans="1:7" x14ac:dyDescent="0.2">
      <c r="D7" s="3">
        <v>44562</v>
      </c>
      <c r="E7" s="3">
        <v>44834</v>
      </c>
    </row>
    <row r="8" spans="1:7" x14ac:dyDescent="0.2">
      <c r="C8" s="1" t="s">
        <v>1385</v>
      </c>
      <c r="D8" s="1" t="s">
        <v>2464</v>
      </c>
      <c r="E8" s="1" t="s">
        <v>2465</v>
      </c>
    </row>
    <row r="12" spans="1:7" x14ac:dyDescent="0.2">
      <c r="B12" s="1" t="s">
        <v>2464</v>
      </c>
    </row>
    <row r="13" spans="1:7" x14ac:dyDescent="0.2">
      <c r="C13" s="1" t="s">
        <v>2468</v>
      </c>
      <c r="D13" s="1" t="s">
        <v>2469</v>
      </c>
      <c r="E13" s="1" t="s">
        <v>1264</v>
      </c>
    </row>
    <row r="14" spans="1:7" x14ac:dyDescent="0.2">
      <c r="B14" s="3">
        <v>43770</v>
      </c>
      <c r="C14" s="89">
        <v>25</v>
      </c>
      <c r="D14" s="89">
        <v>100</v>
      </c>
      <c r="E14" s="89">
        <v>790</v>
      </c>
      <c r="F14" s="4">
        <f>+C14/250</f>
        <v>0.1</v>
      </c>
    </row>
    <row r="15" spans="1:7" x14ac:dyDescent="0.2">
      <c r="B15" s="3">
        <v>44562</v>
      </c>
      <c r="C15" s="89">
        <v>150</v>
      </c>
      <c r="D15" s="89">
        <v>966</v>
      </c>
      <c r="E15" s="89">
        <v>1145</v>
      </c>
      <c r="F15" s="4">
        <f>+C15/250+F14</f>
        <v>0.7</v>
      </c>
      <c r="G15" s="1" t="s">
        <v>2470</v>
      </c>
    </row>
    <row r="16" spans="1:7" x14ac:dyDescent="0.2">
      <c r="B16" s="3">
        <v>44743</v>
      </c>
      <c r="C16" s="89">
        <v>38</v>
      </c>
      <c r="D16" s="89">
        <v>265</v>
      </c>
      <c r="E16" s="89">
        <v>1235</v>
      </c>
      <c r="F16" s="4">
        <f>+C16/250+F15</f>
        <v>0.85199999999999998</v>
      </c>
    </row>
    <row r="18" spans="2:4" x14ac:dyDescent="0.2">
      <c r="B18" s="1" t="s">
        <v>2471</v>
      </c>
    </row>
    <row r="19" spans="2:4" x14ac:dyDescent="0.2">
      <c r="B19" s="1" t="s">
        <v>2472</v>
      </c>
    </row>
    <row r="20" spans="2:4" x14ac:dyDescent="0.2">
      <c r="B20" s="1" t="s">
        <v>2473</v>
      </c>
    </row>
    <row r="21" spans="2:4" x14ac:dyDescent="0.2">
      <c r="B21" s="1" t="s">
        <v>2474</v>
      </c>
    </row>
    <row r="24" spans="2:4" x14ac:dyDescent="0.2">
      <c r="B24" s="1" t="s">
        <v>2475</v>
      </c>
    </row>
    <row r="25" spans="2:4" x14ac:dyDescent="0.2">
      <c r="B25" s="1" t="s">
        <v>1418</v>
      </c>
      <c r="D25" s="89">
        <f>+D15+120</f>
        <v>1086</v>
      </c>
    </row>
    <row r="26" spans="2:4" x14ac:dyDescent="0.2">
      <c r="B26" s="1" t="s">
        <v>1261</v>
      </c>
      <c r="C26" s="4">
        <f>1-F15</f>
        <v>0.30000000000000004</v>
      </c>
      <c r="D26" s="89">
        <f>-C26*D28</f>
        <v>381.00000000000006</v>
      </c>
    </row>
    <row r="27" spans="2:4" x14ac:dyDescent="0.2">
      <c r="B27" s="1" t="s">
        <v>1262</v>
      </c>
      <c r="C27" s="1">
        <f>250*0.5</f>
        <v>125</v>
      </c>
    </row>
    <row r="28" spans="2:4" x14ac:dyDescent="0.2">
      <c r="B28" s="1" t="s">
        <v>1264</v>
      </c>
      <c r="C28" s="89">
        <f>+E15</f>
        <v>1145</v>
      </c>
      <c r="D28" s="89">
        <f>-SUM(C27:C28)</f>
        <v>-1270</v>
      </c>
    </row>
    <row r="29" spans="2:4" x14ac:dyDescent="0.2">
      <c r="B29" s="1" t="s">
        <v>1266</v>
      </c>
      <c r="D29" s="89">
        <f>SUM(D25:D28)</f>
        <v>197</v>
      </c>
    </row>
    <row r="31" spans="2:4" x14ac:dyDescent="0.2">
      <c r="B31" s="1" t="s">
        <v>1271</v>
      </c>
      <c r="D31" s="1">
        <f>+C27</f>
        <v>125</v>
      </c>
    </row>
    <row r="32" spans="2:4" x14ac:dyDescent="0.2">
      <c r="B32" s="1" t="s">
        <v>1108</v>
      </c>
      <c r="D32" s="1">
        <f>+C28</f>
        <v>1145</v>
      </c>
    </row>
    <row r="33" spans="2:6" x14ac:dyDescent="0.2">
      <c r="B33" s="1" t="s">
        <v>2476</v>
      </c>
      <c r="D33" s="89">
        <f>+D29</f>
        <v>197</v>
      </c>
    </row>
    <row r="34" spans="2:6" x14ac:dyDescent="0.2">
      <c r="C34" s="1" t="s">
        <v>2477</v>
      </c>
      <c r="E34" s="89">
        <f>+D25</f>
        <v>1086</v>
      </c>
    </row>
    <row r="35" spans="2:6" x14ac:dyDescent="0.2">
      <c r="C35" s="1" t="s">
        <v>1276</v>
      </c>
      <c r="E35" s="89">
        <f>+D26</f>
        <v>381.00000000000006</v>
      </c>
    </row>
    <row r="36" spans="2:6" x14ac:dyDescent="0.2">
      <c r="B36" s="1" t="s">
        <v>2478</v>
      </c>
    </row>
    <row r="40" spans="2:6" ht="12.75" thickBot="1" x14ac:dyDescent="0.25"/>
    <row r="41" spans="2:6" ht="15.75" x14ac:dyDescent="0.2">
      <c r="B41" s="287" t="s">
        <v>2479</v>
      </c>
      <c r="C41" s="288"/>
      <c r="D41" s="288"/>
      <c r="E41" s="288"/>
      <c r="F41" s="289"/>
    </row>
    <row r="42" spans="2:6" ht="15" x14ac:dyDescent="0.25">
      <c r="B42" s="290" t="s">
        <v>2480</v>
      </c>
      <c r="C42" s="291"/>
      <c r="D42" s="291"/>
      <c r="E42" s="292">
        <f>+D16</f>
        <v>265</v>
      </c>
      <c r="F42" s="293"/>
    </row>
    <row r="43" spans="2:6" ht="15" x14ac:dyDescent="0.2">
      <c r="B43" s="290" t="s">
        <v>2481</v>
      </c>
      <c r="C43" s="294">
        <v>0.7</v>
      </c>
      <c r="D43" s="291"/>
      <c r="E43" s="291"/>
      <c r="F43" s="293"/>
    </row>
    <row r="44" spans="2:6" ht="15" x14ac:dyDescent="0.2">
      <c r="B44" s="290" t="s">
        <v>2482</v>
      </c>
      <c r="C44" s="295">
        <v>0.85</v>
      </c>
      <c r="D44" s="291"/>
      <c r="E44" s="291"/>
      <c r="F44" s="293"/>
    </row>
    <row r="45" spans="2:6" ht="15" x14ac:dyDescent="0.2">
      <c r="B45" s="290" t="s">
        <v>2483</v>
      </c>
      <c r="C45" s="296">
        <f>C44-C43</f>
        <v>0.15000000000000002</v>
      </c>
      <c r="D45" s="291"/>
      <c r="E45" s="291"/>
      <c r="F45" s="293"/>
    </row>
    <row r="46" spans="2:6" ht="15" x14ac:dyDescent="0.2">
      <c r="B46" s="290" t="s">
        <v>2484</v>
      </c>
      <c r="C46" s="297">
        <f>+E16</f>
        <v>1235</v>
      </c>
      <c r="D46" s="291"/>
      <c r="E46" s="291"/>
      <c r="F46" s="293"/>
    </row>
    <row r="47" spans="2:6" ht="15" x14ac:dyDescent="0.2">
      <c r="B47" s="290" t="s">
        <v>2485</v>
      </c>
      <c r="C47" s="297">
        <f>250*0.5</f>
        <v>125</v>
      </c>
      <c r="D47" s="298">
        <f>C46+C47</f>
        <v>1360</v>
      </c>
      <c r="E47" s="291"/>
      <c r="F47" s="293"/>
    </row>
    <row r="48" spans="2:6" ht="15" x14ac:dyDescent="0.2">
      <c r="B48" s="290" t="s">
        <v>2486</v>
      </c>
      <c r="C48" s="299"/>
      <c r="D48" s="299"/>
      <c r="E48" s="300">
        <f>D47*C45</f>
        <v>204.00000000000003</v>
      </c>
      <c r="F48" s="293"/>
    </row>
    <row r="49" spans="2:9" ht="16.5" thickBot="1" x14ac:dyDescent="0.25">
      <c r="B49" s="301" t="s">
        <v>2487</v>
      </c>
      <c r="C49" s="291"/>
      <c r="D49" s="302"/>
      <c r="E49" s="303">
        <f>E48-E42</f>
        <v>-60.999999999999972</v>
      </c>
      <c r="F49" s="293"/>
    </row>
    <row r="50" spans="2:9" ht="16.5" thickTop="1" thickBot="1" x14ac:dyDescent="0.25">
      <c r="B50" s="304"/>
      <c r="C50" s="305"/>
      <c r="D50" s="305"/>
      <c r="E50" s="305"/>
      <c r="F50" s="306"/>
    </row>
    <row r="52" spans="2:9" x14ac:dyDescent="0.2">
      <c r="B52" s="1" t="s">
        <v>2488</v>
      </c>
      <c r="D52" s="89">
        <f>+E48</f>
        <v>204.00000000000003</v>
      </c>
      <c r="E52" s="89"/>
    </row>
    <row r="53" spans="2:9" x14ac:dyDescent="0.2">
      <c r="B53" s="1" t="s">
        <v>2442</v>
      </c>
      <c r="D53" s="89">
        <f>-E49</f>
        <v>60.999999999999972</v>
      </c>
      <c r="E53" s="89"/>
    </row>
    <row r="54" spans="2:9" x14ac:dyDescent="0.2">
      <c r="C54" s="1" t="s">
        <v>2489</v>
      </c>
      <c r="D54" s="89"/>
      <c r="E54" s="89">
        <f>+E42</f>
        <v>265</v>
      </c>
    </row>
    <row r="57" spans="2:9" x14ac:dyDescent="0.2">
      <c r="B57" s="1" t="s">
        <v>2490</v>
      </c>
    </row>
    <row r="58" spans="2:9" x14ac:dyDescent="0.2">
      <c r="B58" s="1" t="s">
        <v>2494</v>
      </c>
    </row>
    <row r="60" spans="2:9" x14ac:dyDescent="0.2">
      <c r="B60" s="1" t="s">
        <v>2495</v>
      </c>
    </row>
    <row r="62" spans="2:9" ht="12.75" thickBot="1" x14ac:dyDescent="0.25">
      <c r="B62" s="1" t="s">
        <v>1264</v>
      </c>
      <c r="C62" s="3">
        <f>+C4</f>
        <v>44865</v>
      </c>
      <c r="E62" s="1">
        <v>180</v>
      </c>
      <c r="F62" s="1" t="s">
        <v>2492</v>
      </c>
      <c r="G62" s="1" t="s">
        <v>2493</v>
      </c>
    </row>
    <row r="63" spans="2:9" x14ac:dyDescent="0.2">
      <c r="B63" s="1" t="s">
        <v>2491</v>
      </c>
      <c r="C63" s="3">
        <f>+EOMONTH(C62,-1)</f>
        <v>44834</v>
      </c>
      <c r="E63" s="307">
        <f>180/12</f>
        <v>15</v>
      </c>
      <c r="F63" s="4">
        <v>0.85</v>
      </c>
      <c r="G63" s="4">
        <f>1-F63</f>
        <v>0.15000000000000002</v>
      </c>
      <c r="H63" s="89">
        <f>+$E63*F63</f>
        <v>12.75</v>
      </c>
      <c r="I63" s="89">
        <f>+$E63*G63</f>
        <v>2.2500000000000004</v>
      </c>
    </row>
    <row r="64" spans="2:9" x14ac:dyDescent="0.2">
      <c r="C64" s="3">
        <f>+EOMONTH(C63,-1)</f>
        <v>44804</v>
      </c>
      <c r="E64" s="308">
        <f t="shared" ref="E64:E74" si="0">180/12</f>
        <v>15</v>
      </c>
      <c r="F64" s="4">
        <v>0.85</v>
      </c>
      <c r="G64" s="4">
        <f t="shared" ref="G64:G71" si="1">1-F64</f>
        <v>0.15000000000000002</v>
      </c>
      <c r="H64" s="89">
        <f t="shared" ref="H64:H71" si="2">+$E64*F64</f>
        <v>12.75</v>
      </c>
      <c r="I64" s="89">
        <f t="shared" ref="I64:I71" si="3">+$E64*G64</f>
        <v>2.2500000000000004</v>
      </c>
    </row>
    <row r="65" spans="2:9" ht="12.75" thickBot="1" x14ac:dyDescent="0.25">
      <c r="C65" s="3">
        <f t="shared" ref="C65:C74" si="4">+EOMONTH(C64,-1)</f>
        <v>44773</v>
      </c>
      <c r="E65" s="309">
        <f t="shared" si="0"/>
        <v>15</v>
      </c>
      <c r="F65" s="4">
        <v>0.85</v>
      </c>
      <c r="G65" s="4">
        <f t="shared" si="1"/>
        <v>0.15000000000000002</v>
      </c>
      <c r="H65" s="89">
        <f t="shared" si="2"/>
        <v>12.75</v>
      </c>
      <c r="I65" s="89">
        <f t="shared" si="3"/>
        <v>2.2500000000000004</v>
      </c>
    </row>
    <row r="66" spans="2:9" x14ac:dyDescent="0.2">
      <c r="C66" s="3">
        <f>+EOMONTH(C65,-1)</f>
        <v>44742</v>
      </c>
      <c r="E66" s="307">
        <f t="shared" si="0"/>
        <v>15</v>
      </c>
      <c r="F66" s="4">
        <v>0.7</v>
      </c>
      <c r="G66" s="4">
        <f t="shared" si="1"/>
        <v>0.30000000000000004</v>
      </c>
      <c r="H66" s="89">
        <f t="shared" si="2"/>
        <v>10.5</v>
      </c>
      <c r="I66" s="89">
        <f t="shared" si="3"/>
        <v>4.5000000000000009</v>
      </c>
    </row>
    <row r="67" spans="2:9" x14ac:dyDescent="0.2">
      <c r="C67" s="3">
        <f t="shared" si="4"/>
        <v>44712</v>
      </c>
      <c r="E67" s="308">
        <f t="shared" si="0"/>
        <v>15</v>
      </c>
      <c r="F67" s="4">
        <v>0.7</v>
      </c>
      <c r="G67" s="4">
        <f t="shared" si="1"/>
        <v>0.30000000000000004</v>
      </c>
      <c r="H67" s="89">
        <f t="shared" si="2"/>
        <v>10.5</v>
      </c>
      <c r="I67" s="89">
        <f t="shared" si="3"/>
        <v>4.5000000000000009</v>
      </c>
    </row>
    <row r="68" spans="2:9" x14ac:dyDescent="0.2">
      <c r="C68" s="3">
        <f t="shared" si="4"/>
        <v>44681</v>
      </c>
      <c r="E68" s="308">
        <f t="shared" si="0"/>
        <v>15</v>
      </c>
      <c r="F68" s="4">
        <v>0.7</v>
      </c>
      <c r="G68" s="4">
        <f t="shared" si="1"/>
        <v>0.30000000000000004</v>
      </c>
      <c r="H68" s="89">
        <f t="shared" si="2"/>
        <v>10.5</v>
      </c>
      <c r="I68" s="89">
        <f t="shared" si="3"/>
        <v>4.5000000000000009</v>
      </c>
    </row>
    <row r="69" spans="2:9" x14ac:dyDescent="0.2">
      <c r="C69" s="3">
        <f t="shared" si="4"/>
        <v>44651</v>
      </c>
      <c r="E69" s="308">
        <f t="shared" si="0"/>
        <v>15</v>
      </c>
      <c r="F69" s="4">
        <v>0.7</v>
      </c>
      <c r="G69" s="4">
        <f t="shared" si="1"/>
        <v>0.30000000000000004</v>
      </c>
      <c r="H69" s="89">
        <f t="shared" si="2"/>
        <v>10.5</v>
      </c>
      <c r="I69" s="89">
        <f t="shared" si="3"/>
        <v>4.5000000000000009</v>
      </c>
    </row>
    <row r="70" spans="2:9" x14ac:dyDescent="0.2">
      <c r="C70" s="3">
        <f t="shared" si="4"/>
        <v>44620</v>
      </c>
      <c r="E70" s="308">
        <f t="shared" si="0"/>
        <v>15</v>
      </c>
      <c r="F70" s="4">
        <v>0.7</v>
      </c>
      <c r="G70" s="4">
        <f t="shared" si="1"/>
        <v>0.30000000000000004</v>
      </c>
      <c r="H70" s="89">
        <f t="shared" si="2"/>
        <v>10.5</v>
      </c>
      <c r="I70" s="89">
        <f t="shared" si="3"/>
        <v>4.5000000000000009</v>
      </c>
    </row>
    <row r="71" spans="2:9" ht="12.75" thickBot="1" x14ac:dyDescent="0.25">
      <c r="C71" s="3">
        <f t="shared" si="4"/>
        <v>44592</v>
      </c>
      <c r="E71" s="309">
        <f t="shared" si="0"/>
        <v>15</v>
      </c>
      <c r="F71" s="4">
        <v>0.7</v>
      </c>
      <c r="G71" s="4">
        <f t="shared" si="1"/>
        <v>0.30000000000000004</v>
      </c>
      <c r="H71" s="89">
        <f t="shared" si="2"/>
        <v>10.5</v>
      </c>
      <c r="I71" s="89">
        <f t="shared" si="3"/>
        <v>4.5000000000000009</v>
      </c>
    </row>
    <row r="72" spans="2:9" x14ac:dyDescent="0.2">
      <c r="C72" s="3">
        <f>+EOMONTH(C71,-1)</f>
        <v>44561</v>
      </c>
      <c r="E72" s="307">
        <f t="shared" si="0"/>
        <v>15</v>
      </c>
      <c r="F72" s="4">
        <v>0.1</v>
      </c>
      <c r="H72" s="89"/>
      <c r="I72" s="89"/>
    </row>
    <row r="73" spans="2:9" x14ac:dyDescent="0.2">
      <c r="C73" s="3">
        <f t="shared" si="4"/>
        <v>44530</v>
      </c>
      <c r="E73" s="308">
        <f t="shared" si="0"/>
        <v>15</v>
      </c>
      <c r="F73" s="4">
        <v>0.1</v>
      </c>
      <c r="H73" s="89"/>
      <c r="I73" s="89"/>
    </row>
    <row r="74" spans="2:9" ht="12.75" thickBot="1" x14ac:dyDescent="0.25">
      <c r="C74" s="3">
        <f t="shared" si="4"/>
        <v>44500</v>
      </c>
      <c r="E74" s="309">
        <f t="shared" si="0"/>
        <v>15</v>
      </c>
      <c r="F74" s="4">
        <v>0.1</v>
      </c>
      <c r="H74" s="89"/>
      <c r="I74" s="89"/>
    </row>
    <row r="76" spans="2:9" x14ac:dyDescent="0.2">
      <c r="B76" s="1" t="s">
        <v>2498</v>
      </c>
      <c r="D76" s="89">
        <f>+E77</f>
        <v>33.750000000000007</v>
      </c>
    </row>
    <row r="77" spans="2:9" x14ac:dyDescent="0.2">
      <c r="B77" s="1" t="s">
        <v>2499</v>
      </c>
      <c r="C77" s="1" t="s">
        <v>2496</v>
      </c>
      <c r="E77" s="89">
        <f>SUM(I63:I71)</f>
        <v>33.750000000000007</v>
      </c>
    </row>
    <row r="78" spans="2:9" x14ac:dyDescent="0.2">
      <c r="B78" s="1" t="s">
        <v>2497</v>
      </c>
    </row>
    <row r="80" spans="2:9" x14ac:dyDescent="0.2">
      <c r="B80" s="1" t="s">
        <v>2500</v>
      </c>
    </row>
    <row r="82" spans="2:6" x14ac:dyDescent="0.2">
      <c r="B82" s="1" t="s">
        <v>2501</v>
      </c>
    </row>
    <row r="84" spans="2:6" x14ac:dyDescent="0.2">
      <c r="B84" s="1" t="s">
        <v>2502</v>
      </c>
    </row>
    <row r="86" spans="2:6" x14ac:dyDescent="0.2">
      <c r="B86" s="1" t="s">
        <v>2503</v>
      </c>
    </row>
    <row r="87" spans="2:6" x14ac:dyDescent="0.2">
      <c r="B87" s="1" t="s">
        <v>2504</v>
      </c>
    </row>
    <row r="88" spans="2:6" x14ac:dyDescent="0.2">
      <c r="B88" s="1" t="s">
        <v>2505</v>
      </c>
      <c r="E88" s="1">
        <v>60</v>
      </c>
    </row>
    <row r="89" spans="2:6" x14ac:dyDescent="0.2">
      <c r="B89" s="1" t="s">
        <v>2506</v>
      </c>
      <c r="E89" s="1">
        <f>+E88*100/125</f>
        <v>48</v>
      </c>
    </row>
    <row r="90" spans="2:6" x14ac:dyDescent="0.2">
      <c r="B90" s="1" t="s">
        <v>2507</v>
      </c>
      <c r="E90" s="1">
        <f>+E88-E89</f>
        <v>12</v>
      </c>
    </row>
    <row r="92" spans="2:6" x14ac:dyDescent="0.2">
      <c r="B92" s="1" t="s">
        <v>2508</v>
      </c>
      <c r="E92" s="4">
        <v>0.9</v>
      </c>
    </row>
    <row r="93" spans="2:6" x14ac:dyDescent="0.2">
      <c r="B93" s="1" t="s">
        <v>2509</v>
      </c>
      <c r="E93" s="89">
        <f>+E92*E90</f>
        <v>10.8</v>
      </c>
      <c r="F93" s="89"/>
    </row>
    <row r="94" spans="2:6" x14ac:dyDescent="0.2">
      <c r="E94" s="89"/>
      <c r="F94" s="89"/>
    </row>
    <row r="95" spans="2:6" x14ac:dyDescent="0.2">
      <c r="B95" s="1" t="s">
        <v>727</v>
      </c>
      <c r="E95" s="89">
        <f>+E88</f>
        <v>60</v>
      </c>
      <c r="F95" s="89"/>
    </row>
    <row r="96" spans="2:6" x14ac:dyDescent="0.2">
      <c r="C96" s="1" t="s">
        <v>2110</v>
      </c>
      <c r="E96" s="89"/>
      <c r="F96" s="89">
        <f>+E95</f>
        <v>60</v>
      </c>
    </row>
    <row r="97" spans="2:6" x14ac:dyDescent="0.2">
      <c r="B97" s="1" t="s">
        <v>2540</v>
      </c>
      <c r="E97" s="89"/>
      <c r="F97" s="89"/>
    </row>
    <row r="98" spans="2:6" x14ac:dyDescent="0.2">
      <c r="E98" s="89"/>
      <c r="F98" s="89"/>
    </row>
    <row r="99" spans="2:6" x14ac:dyDescent="0.2">
      <c r="B99" s="1" t="s">
        <v>2541</v>
      </c>
      <c r="E99" s="89">
        <f>+E93</f>
        <v>10.8</v>
      </c>
      <c r="F99" s="89"/>
    </row>
    <row r="100" spans="2:6" x14ac:dyDescent="0.2">
      <c r="C100" s="1" t="s">
        <v>465</v>
      </c>
      <c r="E100" s="89"/>
      <c r="F100" s="89">
        <f>+E99</f>
        <v>10.8</v>
      </c>
    </row>
    <row r="101" spans="2:6" x14ac:dyDescent="0.2">
      <c r="B101" s="1" t="s">
        <v>2542</v>
      </c>
      <c r="E101" s="89"/>
      <c r="F101" s="89"/>
    </row>
    <row r="102" spans="2:6" x14ac:dyDescent="0.2">
      <c r="E102" s="89"/>
      <c r="F102" s="89"/>
    </row>
    <row r="103" spans="2:6" x14ac:dyDescent="0.2">
      <c r="B103" s="1" t="s">
        <v>2510</v>
      </c>
      <c r="E103" s="89">
        <f>+E93*G64</f>
        <v>1.6200000000000003</v>
      </c>
      <c r="F103" s="89"/>
    </row>
    <row r="104" spans="2:6" x14ac:dyDescent="0.2">
      <c r="E104" s="89"/>
      <c r="F104" s="89"/>
    </row>
    <row r="105" spans="2:6" x14ac:dyDescent="0.2">
      <c r="E105" s="89"/>
      <c r="F105" s="89"/>
    </row>
    <row r="106" spans="2:6" x14ac:dyDescent="0.2">
      <c r="B106" s="1" t="s">
        <v>2511</v>
      </c>
      <c r="E106" s="89">
        <f>+E103</f>
        <v>1.6200000000000003</v>
      </c>
      <c r="F106" s="89"/>
    </row>
    <row r="107" spans="2:6" x14ac:dyDescent="0.2">
      <c r="C107" s="1" t="s">
        <v>2539</v>
      </c>
      <c r="E107" s="89"/>
      <c r="F107" s="89">
        <f>+E103</f>
        <v>1.6200000000000003</v>
      </c>
    </row>
    <row r="111" spans="2:6" x14ac:dyDescent="0.2">
      <c r="B111" s="1" t="s">
        <v>2465</v>
      </c>
    </row>
    <row r="113" spans="2:6" x14ac:dyDescent="0.2">
      <c r="B113" s="1" t="s">
        <v>2512</v>
      </c>
    </row>
    <row r="116" spans="2:6" x14ac:dyDescent="0.2">
      <c r="B116" s="1" t="s">
        <v>1418</v>
      </c>
      <c r="C116" s="89"/>
      <c r="D116" s="89">
        <v>1875</v>
      </c>
    </row>
    <row r="117" spans="2:6" x14ac:dyDescent="0.2">
      <c r="B117" s="1" t="s">
        <v>1261</v>
      </c>
      <c r="C117" s="89">
        <v>0.2</v>
      </c>
      <c r="D117" s="89">
        <f>-C117*D120</f>
        <v>370</v>
      </c>
    </row>
    <row r="118" spans="2:6" x14ac:dyDescent="0.2">
      <c r="B118" s="1" t="s">
        <v>1262</v>
      </c>
      <c r="C118" s="89">
        <v>100</v>
      </c>
      <c r="D118" s="89"/>
    </row>
    <row r="119" spans="2:6" x14ac:dyDescent="0.2">
      <c r="B119" s="1" t="s">
        <v>1263</v>
      </c>
      <c r="C119" s="89">
        <v>250</v>
      </c>
      <c r="D119" s="89"/>
    </row>
    <row r="120" spans="2:6" x14ac:dyDescent="0.2">
      <c r="B120" s="1" t="s">
        <v>1264</v>
      </c>
      <c r="C120" s="89">
        <v>1500</v>
      </c>
      <c r="D120" s="89">
        <f>-SUM(C118:C120)</f>
        <v>-1850</v>
      </c>
    </row>
    <row r="121" spans="2:6" x14ac:dyDescent="0.2">
      <c r="B121" s="1" t="s">
        <v>1266</v>
      </c>
      <c r="D121" s="1">
        <f>SUM(D116:D120)</f>
        <v>395</v>
      </c>
    </row>
    <row r="124" spans="2:6" x14ac:dyDescent="0.2">
      <c r="B124" s="1" t="s">
        <v>1271</v>
      </c>
      <c r="E124" s="89">
        <f>+C118</f>
        <v>100</v>
      </c>
    </row>
    <row r="125" spans="2:6" x14ac:dyDescent="0.2">
      <c r="B125" s="1" t="s">
        <v>1272</v>
      </c>
      <c r="E125" s="89">
        <f>+C119</f>
        <v>250</v>
      </c>
    </row>
    <row r="126" spans="2:6" x14ac:dyDescent="0.2">
      <c r="B126" s="1" t="s">
        <v>1108</v>
      </c>
      <c r="E126" s="89">
        <f>+C120</f>
        <v>1500</v>
      </c>
    </row>
    <row r="127" spans="2:6" x14ac:dyDescent="0.2">
      <c r="B127" s="1" t="s">
        <v>2513</v>
      </c>
      <c r="E127" s="1">
        <f>+D121</f>
        <v>395</v>
      </c>
    </row>
    <row r="128" spans="2:6" x14ac:dyDescent="0.2">
      <c r="C128" s="1" t="s">
        <v>2514</v>
      </c>
      <c r="F128" s="89">
        <f>+D116</f>
        <v>1875</v>
      </c>
    </row>
    <row r="129" spans="2:6" x14ac:dyDescent="0.2">
      <c r="C129" s="1" t="s">
        <v>1276</v>
      </c>
      <c r="F129" s="89">
        <f>+D117</f>
        <v>370</v>
      </c>
    </row>
    <row r="130" spans="2:6" x14ac:dyDescent="0.2">
      <c r="B130" s="1" t="s">
        <v>2515</v>
      </c>
    </row>
    <row r="132" spans="2:6" x14ac:dyDescent="0.2">
      <c r="B132" s="1" t="s">
        <v>2516</v>
      </c>
    </row>
    <row r="134" spans="2:6" x14ac:dyDescent="0.2">
      <c r="B134" s="1" t="s">
        <v>1108</v>
      </c>
      <c r="E134" s="89">
        <f>0.75*E127</f>
        <v>296.25</v>
      </c>
      <c r="F134" s="89"/>
    </row>
    <row r="135" spans="2:6" x14ac:dyDescent="0.2">
      <c r="C135" s="1" t="s">
        <v>1423</v>
      </c>
      <c r="E135" s="89"/>
      <c r="F135" s="89">
        <f>+E134</f>
        <v>296.25</v>
      </c>
    </row>
    <row r="136" spans="2:6" x14ac:dyDescent="0.2">
      <c r="B136" s="1" t="s">
        <v>2517</v>
      </c>
    </row>
    <row r="138" spans="2:6" x14ac:dyDescent="0.2">
      <c r="B138" s="1" t="s">
        <v>2518</v>
      </c>
    </row>
    <row r="140" spans="2:6" x14ac:dyDescent="0.2">
      <c r="B140" s="1" t="s">
        <v>1264</v>
      </c>
      <c r="C140" s="3">
        <v>44834</v>
      </c>
      <c r="E140" s="89">
        <f>2213-100-250</f>
        <v>1863</v>
      </c>
      <c r="F140" s="89"/>
    </row>
    <row r="141" spans="2:6" x14ac:dyDescent="0.2">
      <c r="B141" s="1" t="s">
        <v>2250</v>
      </c>
      <c r="C141" s="3">
        <v>44834</v>
      </c>
      <c r="E141" s="89">
        <v>424</v>
      </c>
      <c r="F141" s="89"/>
    </row>
    <row r="142" spans="2:6" x14ac:dyDescent="0.2">
      <c r="E142" s="89">
        <f>+E140-E141</f>
        <v>1439</v>
      </c>
      <c r="F142" s="89"/>
    </row>
    <row r="143" spans="2:6" x14ac:dyDescent="0.2">
      <c r="E143" s="89">
        <f>+E126</f>
        <v>1500</v>
      </c>
      <c r="F143" s="89"/>
    </row>
    <row r="144" spans="2:6" x14ac:dyDescent="0.2">
      <c r="B144" s="1" t="s">
        <v>2519</v>
      </c>
      <c r="E144" s="89">
        <f>+E142-E143</f>
        <v>-61</v>
      </c>
      <c r="F144" s="89"/>
    </row>
    <row r="145" spans="2:6" x14ac:dyDescent="0.2">
      <c r="B145" s="1" t="s">
        <v>2520</v>
      </c>
      <c r="E145" s="89">
        <f>0.2*E144</f>
        <v>-12.200000000000001</v>
      </c>
      <c r="F145" s="89"/>
    </row>
    <row r="146" spans="2:6" x14ac:dyDescent="0.2">
      <c r="E146" s="89"/>
      <c r="F146" s="89"/>
    </row>
    <row r="147" spans="2:6" x14ac:dyDescent="0.2">
      <c r="B147" s="1" t="s">
        <v>2511</v>
      </c>
      <c r="E147" s="89">
        <f>-E145</f>
        <v>12.200000000000001</v>
      </c>
      <c r="F147" s="89" t="s">
        <v>26</v>
      </c>
    </row>
    <row r="148" spans="2:6" x14ac:dyDescent="0.2">
      <c r="C148" s="1" t="s">
        <v>1743</v>
      </c>
      <c r="E148" s="89" t="s">
        <v>26</v>
      </c>
      <c r="F148" s="89">
        <f>-E145</f>
        <v>12.200000000000001</v>
      </c>
    </row>
    <row r="149" spans="2:6" x14ac:dyDescent="0.2">
      <c r="E149" s="89"/>
      <c r="F149" s="89"/>
    </row>
    <row r="150" spans="2:6" x14ac:dyDescent="0.2">
      <c r="B150" s="1" t="s">
        <v>2522</v>
      </c>
      <c r="E150" s="89"/>
      <c r="F150" s="89"/>
    </row>
    <row r="151" spans="2:6" x14ac:dyDescent="0.2">
      <c r="B151" s="1" t="s">
        <v>1265</v>
      </c>
      <c r="E151" s="89">
        <v>80</v>
      </c>
      <c r="F151" s="89"/>
    </row>
    <row r="152" spans="2:6" x14ac:dyDescent="0.2">
      <c r="B152" s="1" t="s">
        <v>2493</v>
      </c>
      <c r="E152" s="89">
        <f>0.2*E151</f>
        <v>16</v>
      </c>
      <c r="F152" s="89"/>
    </row>
    <row r="153" spans="2:6" x14ac:dyDescent="0.2">
      <c r="E153" s="89"/>
      <c r="F153" s="89"/>
    </row>
    <row r="154" spans="2:6" x14ac:dyDescent="0.2">
      <c r="B154" s="1" t="s">
        <v>2521</v>
      </c>
      <c r="E154" s="89">
        <f>+E152</f>
        <v>16</v>
      </c>
      <c r="F154" s="89"/>
    </row>
    <row r="155" spans="2:6" x14ac:dyDescent="0.2">
      <c r="C155" s="1" t="s">
        <v>2538</v>
      </c>
      <c r="E155" s="89"/>
      <c r="F155" s="89">
        <f>+E152</f>
        <v>16</v>
      </c>
    </row>
    <row r="158" spans="2:6" x14ac:dyDescent="0.2">
      <c r="B158" s="1" t="s">
        <v>2523</v>
      </c>
    </row>
    <row r="159" spans="2:6" x14ac:dyDescent="0.2">
      <c r="B159" s="1" t="s">
        <v>2498</v>
      </c>
      <c r="E159" s="89">
        <f>+E141*0.2</f>
        <v>84.800000000000011</v>
      </c>
      <c r="F159" s="89"/>
    </row>
    <row r="160" spans="2:6" x14ac:dyDescent="0.2">
      <c r="C160" s="1" t="s">
        <v>2499</v>
      </c>
      <c r="E160" s="89"/>
      <c r="F160" s="89">
        <f>+E159</f>
        <v>84.800000000000011</v>
      </c>
    </row>
    <row r="163" spans="2:6" x14ac:dyDescent="0.2">
      <c r="B163" s="1" t="s">
        <v>2524</v>
      </c>
    </row>
    <row r="164" spans="2:6" x14ac:dyDescent="0.2">
      <c r="B164" s="1" t="s">
        <v>2525</v>
      </c>
    </row>
    <row r="166" spans="2:6" x14ac:dyDescent="0.2">
      <c r="B166" s="1" t="s">
        <v>1425</v>
      </c>
    </row>
    <row r="168" spans="2:6" x14ac:dyDescent="0.2">
      <c r="B168" s="1" t="s">
        <v>2526</v>
      </c>
    </row>
    <row r="169" spans="2:6" x14ac:dyDescent="0.2">
      <c r="B169" s="1" t="s">
        <v>1309</v>
      </c>
      <c r="E169" s="1">
        <v>1950</v>
      </c>
    </row>
    <row r="170" spans="2:6" x14ac:dyDescent="0.2">
      <c r="B170" s="1" t="s">
        <v>2527</v>
      </c>
      <c r="E170" s="89">
        <f>+E127-F135</f>
        <v>98.75</v>
      </c>
    </row>
    <row r="171" spans="2:6" x14ac:dyDescent="0.2">
      <c r="B171" s="1" t="s">
        <v>2528</v>
      </c>
      <c r="E171" s="1">
        <v>2213</v>
      </c>
    </row>
    <row r="172" spans="2:6" x14ac:dyDescent="0.2">
      <c r="B172" s="1" t="s">
        <v>2529</v>
      </c>
      <c r="E172" s="1">
        <f>0.2*E171</f>
        <v>442.6</v>
      </c>
    </row>
    <row r="173" spans="2:6" x14ac:dyDescent="0.2">
      <c r="B173" s="1" t="s">
        <v>2530</v>
      </c>
      <c r="E173" s="1">
        <f>+E171-E172</f>
        <v>1770.4</v>
      </c>
      <c r="F173" s="1" t="s">
        <v>2535</v>
      </c>
    </row>
    <row r="174" spans="2:6" x14ac:dyDescent="0.2">
      <c r="B174" s="1" t="s">
        <v>2531</v>
      </c>
      <c r="E174" s="89">
        <f>+E169-E170-E173</f>
        <v>80.849999999999909</v>
      </c>
    </row>
    <row r="177" spans="2:6" x14ac:dyDescent="0.2">
      <c r="B177" s="1" t="s">
        <v>2536</v>
      </c>
      <c r="E177" s="1">
        <f>+E169</f>
        <v>1950</v>
      </c>
    </row>
    <row r="178" spans="2:6" x14ac:dyDescent="0.2">
      <c r="B178" s="1" t="s">
        <v>2488</v>
      </c>
      <c r="E178" s="1">
        <f>+E172</f>
        <v>442.6</v>
      </c>
    </row>
    <row r="179" spans="2:6" x14ac:dyDescent="0.2">
      <c r="B179" s="1" t="s">
        <v>2532</v>
      </c>
      <c r="F179" s="89">
        <f>+E170</f>
        <v>98.75</v>
      </c>
    </row>
    <row r="180" spans="2:6" x14ac:dyDescent="0.2">
      <c r="B180" s="1" t="s">
        <v>2533</v>
      </c>
      <c r="F180" s="1">
        <f>+E171</f>
        <v>2213</v>
      </c>
    </row>
    <row r="181" spans="2:6" x14ac:dyDescent="0.2">
      <c r="B181" s="1" t="s">
        <v>2534</v>
      </c>
      <c r="F181" s="89">
        <f>+E174</f>
        <v>80.849999999999909</v>
      </c>
    </row>
    <row r="182" spans="2:6" x14ac:dyDescent="0.2">
      <c r="B182" s="1" t="s">
        <v>2537</v>
      </c>
    </row>
  </sheetData>
  <hyperlinks>
    <hyperlink ref="A1" location="Main!A1" display="Main" xr:uid="{8D384A48-2CA3-4FFE-B813-6B559D4379ED}"/>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5337D-AF81-4C4A-8D52-C7A5898AAF33}">
  <sheetPr codeName="Sheet3"/>
  <dimension ref="A1:D28"/>
  <sheetViews>
    <sheetView zoomScale="175" zoomScaleNormal="175" workbookViewId="0"/>
  </sheetViews>
  <sheetFormatPr defaultRowHeight="12" x14ac:dyDescent="0.2"/>
  <cols>
    <col min="1" max="16384" width="9.140625" style="1"/>
  </cols>
  <sheetData>
    <row r="1" spans="1:4" ht="15" x14ac:dyDescent="0.25">
      <c r="A1" s="2" t="s">
        <v>0</v>
      </c>
    </row>
    <row r="2" spans="1:4" x14ac:dyDescent="0.2">
      <c r="B2" s="1" t="s">
        <v>1757</v>
      </c>
    </row>
    <row r="4" spans="1:4" x14ac:dyDescent="0.2">
      <c r="B4" s="1" t="s">
        <v>1761</v>
      </c>
      <c r="D4" s="89">
        <v>15000</v>
      </c>
    </row>
    <row r="5" spans="1:4" x14ac:dyDescent="0.2">
      <c r="B5" s="1" t="s">
        <v>1761</v>
      </c>
      <c r="D5" s="89">
        <v>8000</v>
      </c>
    </row>
    <row r="6" spans="1:4" x14ac:dyDescent="0.2">
      <c r="B6" s="1" t="s">
        <v>1760</v>
      </c>
      <c r="D6" s="89">
        <v>13175</v>
      </c>
    </row>
    <row r="7" spans="1:4" x14ac:dyDescent="0.2">
      <c r="B7" s="1" t="s">
        <v>1759</v>
      </c>
      <c r="D7" s="89">
        <v>2500</v>
      </c>
    </row>
    <row r="8" spans="1:4" ht="12.75" thickBot="1" x14ac:dyDescent="0.25">
      <c r="B8" s="1" t="s">
        <v>1758</v>
      </c>
      <c r="D8" s="90">
        <f>SUM(D4:D7)</f>
        <v>38675</v>
      </c>
    </row>
    <row r="9" spans="1:4" ht="12.75" thickTop="1" x14ac:dyDescent="0.2"/>
    <row r="12" spans="1:4" x14ac:dyDescent="0.2">
      <c r="B12" s="1" t="s">
        <v>1264</v>
      </c>
      <c r="C12" s="3">
        <v>44530</v>
      </c>
      <c r="D12" s="89">
        <f>+D6</f>
        <v>13175</v>
      </c>
    </row>
    <row r="13" spans="1:4" x14ac:dyDescent="0.2">
      <c r="B13" s="1" t="s">
        <v>1762</v>
      </c>
      <c r="C13" s="3">
        <v>44895</v>
      </c>
      <c r="D13" s="1">
        <v>-2625</v>
      </c>
    </row>
    <row r="14" spans="1:4" x14ac:dyDescent="0.2">
      <c r="B14" s="1" t="s">
        <v>1763</v>
      </c>
      <c r="D14" s="1">
        <v>-300</v>
      </c>
    </row>
    <row r="15" spans="1:4" x14ac:dyDescent="0.2">
      <c r="B15" s="1" t="s">
        <v>1764</v>
      </c>
      <c r="D15" s="1">
        <v>-120</v>
      </c>
    </row>
    <row r="16" spans="1:4" x14ac:dyDescent="0.2">
      <c r="B16" s="1" t="s">
        <v>1765</v>
      </c>
      <c r="C16" s="3">
        <v>44895</v>
      </c>
      <c r="D16" s="1">
        <v>50</v>
      </c>
    </row>
    <row r="17" spans="2:4" x14ac:dyDescent="0.2">
      <c r="B17" s="1" t="s">
        <v>1766</v>
      </c>
      <c r="C17" s="3">
        <v>44895</v>
      </c>
      <c r="D17" s="89">
        <f>SUM(D12:D16)</f>
        <v>10180</v>
      </c>
    </row>
    <row r="21" spans="2:4" x14ac:dyDescent="0.2">
      <c r="B21" s="1" t="s">
        <v>1774</v>
      </c>
    </row>
    <row r="22" spans="2:4" x14ac:dyDescent="0.2">
      <c r="B22" s="1" t="s">
        <v>1773</v>
      </c>
    </row>
    <row r="23" spans="2:4" x14ac:dyDescent="0.2">
      <c r="B23" s="1" t="s">
        <v>1772</v>
      </c>
    </row>
    <row r="24" spans="2:4" x14ac:dyDescent="0.2">
      <c r="B24" s="1" t="s">
        <v>1771</v>
      </c>
    </row>
    <row r="25" spans="2:4" x14ac:dyDescent="0.2">
      <c r="B25" s="1" t="s">
        <v>1770</v>
      </c>
    </row>
    <row r="26" spans="2:4" x14ac:dyDescent="0.2">
      <c r="B26" s="1" t="s">
        <v>1769</v>
      </c>
    </row>
    <row r="27" spans="2:4" x14ac:dyDescent="0.2">
      <c r="B27" s="1" t="s">
        <v>1768</v>
      </c>
    </row>
    <row r="28" spans="2:4" x14ac:dyDescent="0.2">
      <c r="B28" s="1" t="s">
        <v>1767</v>
      </c>
    </row>
  </sheetData>
  <hyperlinks>
    <hyperlink ref="A1" location="Main!A1" display="Main" xr:uid="{012A174E-9BF2-4BDD-9698-096F48999034}"/>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57173-808E-4522-9A49-0F7947B63156}">
  <dimension ref="A1:N192"/>
  <sheetViews>
    <sheetView zoomScale="115" zoomScaleNormal="115" workbookViewId="0"/>
  </sheetViews>
  <sheetFormatPr defaultRowHeight="12" x14ac:dyDescent="0.2"/>
  <cols>
    <col min="1" max="3" width="9.140625" style="1"/>
    <col min="4" max="4" width="10.140625" style="1" bestFit="1" customWidth="1"/>
    <col min="5" max="9" width="9.140625" style="1"/>
    <col min="10" max="10" width="10.140625" style="1" bestFit="1" customWidth="1"/>
    <col min="11" max="16384" width="9.140625" style="1"/>
  </cols>
  <sheetData>
    <row r="1" spans="1:5" ht="15" x14ac:dyDescent="0.25">
      <c r="A1" s="2" t="s">
        <v>0</v>
      </c>
    </row>
    <row r="2" spans="1:5" x14ac:dyDescent="0.2">
      <c r="B2" s="1" t="s">
        <v>5</v>
      </c>
      <c r="C2" s="3">
        <v>44712</v>
      </c>
    </row>
    <row r="5" spans="1:5" x14ac:dyDescent="0.2">
      <c r="C5" s="1" t="s">
        <v>2696</v>
      </c>
      <c r="D5" s="1" t="s">
        <v>2697</v>
      </c>
      <c r="E5" s="1" t="s">
        <v>2698</v>
      </c>
    </row>
    <row r="10" spans="1:5" x14ac:dyDescent="0.2">
      <c r="B10" s="1" t="s">
        <v>2697</v>
      </c>
    </row>
    <row r="12" spans="1:5" x14ac:dyDescent="0.2">
      <c r="B12" s="1" t="s">
        <v>2699</v>
      </c>
    </row>
    <row r="13" spans="1:5" x14ac:dyDescent="0.2">
      <c r="E13" s="89"/>
    </row>
    <row r="14" spans="1:5" x14ac:dyDescent="0.2">
      <c r="B14" s="1" t="s">
        <v>1418</v>
      </c>
      <c r="E14" s="89">
        <v>4574</v>
      </c>
    </row>
    <row r="15" spans="1:5" x14ac:dyDescent="0.2">
      <c r="B15" s="1" t="s">
        <v>1261</v>
      </c>
      <c r="D15" s="4">
        <v>0.1</v>
      </c>
      <c r="E15" s="89">
        <f>-D15*E22</f>
        <v>442.41000000000008</v>
      </c>
    </row>
    <row r="16" spans="1:5" x14ac:dyDescent="0.2">
      <c r="B16" s="1" t="s">
        <v>1262</v>
      </c>
      <c r="D16" s="89">
        <v>1000</v>
      </c>
      <c r="E16" s="89"/>
    </row>
    <row r="17" spans="2:6" x14ac:dyDescent="0.2">
      <c r="B17" s="1" t="s">
        <v>1264</v>
      </c>
      <c r="D17" s="89">
        <v>3125</v>
      </c>
      <c r="E17" s="89"/>
    </row>
    <row r="18" spans="2:6" x14ac:dyDescent="0.2">
      <c r="B18" s="1" t="s">
        <v>1265</v>
      </c>
      <c r="D18" s="89">
        <v>341</v>
      </c>
      <c r="E18" s="89"/>
    </row>
    <row r="19" spans="2:6" x14ac:dyDescent="0.2">
      <c r="D19" s="89">
        <f>SUM(D15:D18)</f>
        <v>4466.1000000000004</v>
      </c>
      <c r="E19" s="89"/>
    </row>
    <row r="20" spans="2:6" x14ac:dyDescent="0.2">
      <c r="B20" s="1" t="s">
        <v>2700</v>
      </c>
      <c r="D20" s="89"/>
      <c r="E20" s="89"/>
    </row>
    <row r="21" spans="2:6" x14ac:dyDescent="0.2">
      <c r="B21" s="1" t="s">
        <v>2701</v>
      </c>
      <c r="D21" s="89">
        <v>-42</v>
      </c>
      <c r="E21" s="89"/>
    </row>
    <row r="22" spans="2:6" x14ac:dyDescent="0.2">
      <c r="D22" s="89">
        <f>SUM(D19:D21)</f>
        <v>4424.1000000000004</v>
      </c>
      <c r="E22" s="89">
        <f>-D22</f>
        <v>-4424.1000000000004</v>
      </c>
    </row>
    <row r="23" spans="2:6" x14ac:dyDescent="0.2">
      <c r="B23" s="1" t="s">
        <v>1266</v>
      </c>
      <c r="D23" s="89"/>
      <c r="E23" s="89">
        <f>SUM(E14:E22)</f>
        <v>592.30999999999949</v>
      </c>
    </row>
    <row r="24" spans="2:6" x14ac:dyDescent="0.2">
      <c r="D24" s="89"/>
      <c r="E24" s="89"/>
    </row>
    <row r="25" spans="2:6" x14ac:dyDescent="0.2">
      <c r="D25" s="89"/>
      <c r="E25" s="89"/>
    </row>
    <row r="26" spans="2:6" x14ac:dyDescent="0.2">
      <c r="B26" s="1" t="s">
        <v>1271</v>
      </c>
      <c r="D26" s="89"/>
      <c r="E26" s="89">
        <f>+D16</f>
        <v>1000</v>
      </c>
    </row>
    <row r="27" spans="2:6" x14ac:dyDescent="0.2">
      <c r="B27" s="1" t="s">
        <v>1108</v>
      </c>
      <c r="D27" s="89"/>
      <c r="E27" s="89">
        <f>+D17</f>
        <v>3125</v>
      </c>
    </row>
    <row r="28" spans="2:6" x14ac:dyDescent="0.2">
      <c r="B28" s="1" t="s">
        <v>1394</v>
      </c>
      <c r="D28" s="89"/>
      <c r="E28" s="89">
        <f>+D18</f>
        <v>341</v>
      </c>
    </row>
    <row r="29" spans="2:6" x14ac:dyDescent="0.2">
      <c r="B29" s="1" t="s">
        <v>2702</v>
      </c>
      <c r="D29" s="89"/>
      <c r="E29" s="89">
        <f>+E23</f>
        <v>592.30999999999949</v>
      </c>
    </row>
    <row r="30" spans="2:6" x14ac:dyDescent="0.2">
      <c r="C30" s="1" t="s">
        <v>2703</v>
      </c>
      <c r="F30" s="89">
        <f>+E14</f>
        <v>4574</v>
      </c>
    </row>
    <row r="31" spans="2:6" x14ac:dyDescent="0.2">
      <c r="C31" s="1" t="s">
        <v>1276</v>
      </c>
      <c r="F31" s="89">
        <f>+E15</f>
        <v>442.41000000000008</v>
      </c>
    </row>
    <row r="32" spans="2:6" x14ac:dyDescent="0.2">
      <c r="B32" s="1" t="s">
        <v>2704</v>
      </c>
    </row>
    <row r="35" spans="2:6" x14ac:dyDescent="0.2">
      <c r="B35" s="1" t="s">
        <v>2705</v>
      </c>
    </row>
    <row r="36" spans="2:6" x14ac:dyDescent="0.2">
      <c r="B36" s="1" t="s">
        <v>2706</v>
      </c>
      <c r="E36" s="89">
        <f>0.3*E29</f>
        <v>177.69299999999984</v>
      </c>
      <c r="F36" s="89"/>
    </row>
    <row r="37" spans="2:6" x14ac:dyDescent="0.2">
      <c r="C37" s="1" t="s">
        <v>2707</v>
      </c>
      <c r="E37" s="89"/>
      <c r="F37" s="89">
        <f>+E36</f>
        <v>177.69299999999984</v>
      </c>
    </row>
    <row r="38" spans="2:6" x14ac:dyDescent="0.2">
      <c r="B38" s="1" t="s">
        <v>2708</v>
      </c>
    </row>
    <row r="40" spans="2:6" x14ac:dyDescent="0.2">
      <c r="B40" s="1" t="s">
        <v>2709</v>
      </c>
    </row>
    <row r="41" spans="2:6" x14ac:dyDescent="0.2">
      <c r="B41" s="1" t="s">
        <v>2710</v>
      </c>
    </row>
    <row r="43" spans="2:6" x14ac:dyDescent="0.2">
      <c r="B43" s="1" t="s">
        <v>2523</v>
      </c>
    </row>
    <row r="45" spans="2:6" x14ac:dyDescent="0.2">
      <c r="B45" s="1" t="s">
        <v>2711</v>
      </c>
      <c r="E45" s="89">
        <f>0.1*(495-D21)</f>
        <v>53.7</v>
      </c>
      <c r="F45" s="89"/>
    </row>
    <row r="46" spans="2:6" x14ac:dyDescent="0.2">
      <c r="C46" s="1" t="s">
        <v>1276</v>
      </c>
      <c r="E46" s="89"/>
      <c r="F46" s="89">
        <f>+E45</f>
        <v>53.7</v>
      </c>
    </row>
    <row r="47" spans="2:6" x14ac:dyDescent="0.2">
      <c r="B47" s="1" t="s">
        <v>2712</v>
      </c>
    </row>
    <row r="50" spans="2:6" x14ac:dyDescent="0.2">
      <c r="B50" s="1" t="s">
        <v>2713</v>
      </c>
    </row>
    <row r="51" spans="2:6" x14ac:dyDescent="0.2">
      <c r="B51" s="1" t="s">
        <v>5</v>
      </c>
      <c r="C51" s="3">
        <v>44712</v>
      </c>
    </row>
    <row r="53" spans="2:6" x14ac:dyDescent="0.2">
      <c r="B53" s="3">
        <v>44531</v>
      </c>
    </row>
    <row r="54" spans="2:6" x14ac:dyDescent="0.2">
      <c r="B54" s="1" t="s">
        <v>2714</v>
      </c>
    </row>
    <row r="55" spans="2:6" x14ac:dyDescent="0.2">
      <c r="B55" s="1" t="s">
        <v>2715</v>
      </c>
      <c r="C55" s="3">
        <v>44348</v>
      </c>
      <c r="D55" s="1">
        <v>8000</v>
      </c>
    </row>
    <row r="56" spans="2:6" x14ac:dyDescent="0.2">
      <c r="B56" s="1" t="s">
        <v>2716</v>
      </c>
      <c r="D56" s="1">
        <v>60</v>
      </c>
      <c r="E56" s="1" t="s">
        <v>367</v>
      </c>
    </row>
    <row r="57" spans="2:6" x14ac:dyDescent="0.2">
      <c r="B57" s="1" t="s">
        <v>294</v>
      </c>
      <c r="D57" s="1">
        <f>90*12</f>
        <v>1080</v>
      </c>
      <c r="E57" s="1" t="s">
        <v>52</v>
      </c>
    </row>
    <row r="60" spans="2:6" x14ac:dyDescent="0.2">
      <c r="B60" s="1" t="s">
        <v>2717</v>
      </c>
    </row>
    <row r="61" spans="2:6" x14ac:dyDescent="0.2">
      <c r="B61" s="1" t="s">
        <v>2724</v>
      </c>
      <c r="E61" s="1">
        <f>+D55</f>
        <v>8000</v>
      </c>
    </row>
    <row r="62" spans="2:6" x14ac:dyDescent="0.2">
      <c r="C62" s="1" t="s">
        <v>2725</v>
      </c>
      <c r="F62" s="1">
        <f>+E61</f>
        <v>8000</v>
      </c>
    </row>
    <row r="63" spans="2:6" x14ac:dyDescent="0.2">
      <c r="B63" s="1" t="s">
        <v>2726</v>
      </c>
    </row>
    <row r="65" spans="2:6" x14ac:dyDescent="0.2">
      <c r="B65" s="1" t="s">
        <v>2718</v>
      </c>
    </row>
    <row r="66" spans="2:6" x14ac:dyDescent="0.2">
      <c r="B66" s="89">
        <f>(YEARFRAC(B53,C2)*12*D55/D57)</f>
        <v>44.444444444444443</v>
      </c>
    </row>
    <row r="68" spans="2:6" x14ac:dyDescent="0.2">
      <c r="B68" s="1" t="s">
        <v>959</v>
      </c>
      <c r="E68" s="89">
        <f>+B66</f>
        <v>44.444444444444443</v>
      </c>
      <c r="F68" s="89"/>
    </row>
    <row r="69" spans="2:6" x14ac:dyDescent="0.2">
      <c r="C69" s="1" t="s">
        <v>2719</v>
      </c>
      <c r="E69" s="89"/>
      <c r="F69" s="89">
        <f>+E68</f>
        <v>44.444444444444443</v>
      </c>
    </row>
    <row r="70" spans="2:6" x14ac:dyDescent="0.2">
      <c r="B70" s="1" t="s">
        <v>2720</v>
      </c>
    </row>
    <row r="72" spans="2:6" x14ac:dyDescent="0.2">
      <c r="B72" s="1" t="s">
        <v>2727</v>
      </c>
    </row>
    <row r="73" spans="2:6" x14ac:dyDescent="0.2">
      <c r="B73" s="1">
        <f>6/12*60</f>
        <v>30</v>
      </c>
    </row>
    <row r="75" spans="2:6" x14ac:dyDescent="0.2">
      <c r="B75" s="1" t="s">
        <v>354</v>
      </c>
      <c r="E75" s="1">
        <f>+B73</f>
        <v>30</v>
      </c>
    </row>
    <row r="76" spans="2:6" x14ac:dyDescent="0.2">
      <c r="C76" s="1" t="s">
        <v>2172</v>
      </c>
    </row>
    <row r="77" spans="2:6" x14ac:dyDescent="0.2">
      <c r="B77" s="1" t="s">
        <v>2728</v>
      </c>
    </row>
    <row r="79" spans="2:6" x14ac:dyDescent="0.2">
      <c r="B79" s="1" t="s">
        <v>2729</v>
      </c>
    </row>
    <row r="80" spans="2:6" x14ac:dyDescent="0.2">
      <c r="B80" s="1">
        <f>6/12</f>
        <v>0.5</v>
      </c>
      <c r="C80" s="1">
        <v>60</v>
      </c>
      <c r="D80" s="1">
        <f>+B80*C80</f>
        <v>30</v>
      </c>
    </row>
    <row r="82" spans="2:6" x14ac:dyDescent="0.2">
      <c r="B82" s="1" t="s">
        <v>2730</v>
      </c>
      <c r="E82" s="1">
        <f>+D80</f>
        <v>30</v>
      </c>
    </row>
    <row r="83" spans="2:6" x14ac:dyDescent="0.2">
      <c r="C83" s="1" t="s">
        <v>2275</v>
      </c>
      <c r="F83" s="1">
        <f>+E82</f>
        <v>30</v>
      </c>
    </row>
    <row r="84" spans="2:6" x14ac:dyDescent="0.2">
      <c r="B84" s="1" t="s">
        <v>2731</v>
      </c>
    </row>
    <row r="86" spans="2:6" x14ac:dyDescent="0.2">
      <c r="B86" s="1" t="s">
        <v>2723</v>
      </c>
    </row>
    <row r="87" spans="2:6" x14ac:dyDescent="0.2">
      <c r="B87" s="1" t="s">
        <v>2721</v>
      </c>
      <c r="E87" s="1">
        <v>75</v>
      </c>
    </row>
    <row r="88" spans="2:6" x14ac:dyDescent="0.2">
      <c r="C88" s="1" t="s">
        <v>2722</v>
      </c>
      <c r="F88" s="1">
        <v>75</v>
      </c>
    </row>
    <row r="91" spans="2:6" x14ac:dyDescent="0.2">
      <c r="B91" s="1" t="s">
        <v>2698</v>
      </c>
    </row>
    <row r="93" spans="2:6" x14ac:dyDescent="0.2">
      <c r="B93" s="3">
        <v>44348</v>
      </c>
    </row>
    <row r="94" spans="2:6" x14ac:dyDescent="0.2">
      <c r="B94" s="1" t="s">
        <v>2732</v>
      </c>
    </row>
    <row r="96" spans="2:6" x14ac:dyDescent="0.2">
      <c r="B96" s="1" t="s">
        <v>2469</v>
      </c>
    </row>
    <row r="97" spans="2:6" x14ac:dyDescent="0.2">
      <c r="B97" s="1" t="s">
        <v>32</v>
      </c>
      <c r="C97" s="1">
        <v>60</v>
      </c>
    </row>
    <row r="98" spans="2:6" x14ac:dyDescent="0.2">
      <c r="B98" s="1" t="s">
        <v>302</v>
      </c>
      <c r="C98" s="1">
        <v>55</v>
      </c>
    </row>
    <row r="99" spans="2:6" x14ac:dyDescent="0.2">
      <c r="B99" s="1" t="s">
        <v>1259</v>
      </c>
      <c r="C99" s="1">
        <v>20</v>
      </c>
    </row>
    <row r="101" spans="2:6" x14ac:dyDescent="0.2">
      <c r="B101" s="1" t="s">
        <v>2737</v>
      </c>
    </row>
    <row r="103" spans="2:6" x14ac:dyDescent="0.2">
      <c r="B103" s="1" t="s">
        <v>1418</v>
      </c>
      <c r="C103" s="1">
        <f>+C99+C97</f>
        <v>80</v>
      </c>
    </row>
    <row r="105" spans="2:6" x14ac:dyDescent="0.2">
      <c r="B105" s="1" t="s">
        <v>2733</v>
      </c>
    </row>
    <row r="106" spans="2:6" x14ac:dyDescent="0.2">
      <c r="B106" s="1" t="s">
        <v>2734</v>
      </c>
      <c r="C106" s="1">
        <v>80</v>
      </c>
      <c r="D106" s="1" t="s">
        <v>2735</v>
      </c>
    </row>
    <row r="109" spans="2:6" x14ac:dyDescent="0.2">
      <c r="B109" s="1" t="s">
        <v>2738</v>
      </c>
      <c r="E109" s="1">
        <f>+C106</f>
        <v>80</v>
      </c>
    </row>
    <row r="110" spans="2:6" x14ac:dyDescent="0.2">
      <c r="C110" s="1" t="s">
        <v>2739</v>
      </c>
      <c r="F110" s="1">
        <f>+C98</f>
        <v>55</v>
      </c>
    </row>
    <row r="111" spans="2:6" x14ac:dyDescent="0.2">
      <c r="C111" s="1" t="s">
        <v>2736</v>
      </c>
      <c r="F111" s="1">
        <f>+C97-C98</f>
        <v>5</v>
      </c>
    </row>
    <row r="112" spans="2:6" x14ac:dyDescent="0.2">
      <c r="C112" s="1" t="s">
        <v>2741</v>
      </c>
      <c r="F112" s="1">
        <v>20</v>
      </c>
    </row>
    <row r="113" spans="2:6" x14ac:dyDescent="0.2">
      <c r="B113" s="1" t="s">
        <v>2740</v>
      </c>
    </row>
    <row r="116" spans="2:6" x14ac:dyDescent="0.2">
      <c r="B116" s="1" t="s">
        <v>2742</v>
      </c>
    </row>
    <row r="117" spans="2:6" x14ac:dyDescent="0.2">
      <c r="B117" s="1" t="s">
        <v>2342</v>
      </c>
      <c r="E117" s="1">
        <v>50</v>
      </c>
    </row>
    <row r="118" spans="2:6" x14ac:dyDescent="0.2">
      <c r="C118" s="1" t="s">
        <v>2743</v>
      </c>
      <c r="F118" s="1">
        <v>50</v>
      </c>
    </row>
    <row r="121" spans="2:6" x14ac:dyDescent="0.2">
      <c r="B121" s="1" t="s">
        <v>2744</v>
      </c>
    </row>
    <row r="122" spans="2:6" x14ac:dyDescent="0.2">
      <c r="B122" s="1" t="s">
        <v>2745</v>
      </c>
      <c r="E122" s="1">
        <f>570/2</f>
        <v>285</v>
      </c>
    </row>
    <row r="123" spans="2:6" x14ac:dyDescent="0.2">
      <c r="C123" s="1" t="s">
        <v>2746</v>
      </c>
      <c r="F123" s="1">
        <f>+E122</f>
        <v>285</v>
      </c>
    </row>
    <row r="124" spans="2:6" x14ac:dyDescent="0.2">
      <c r="B124" s="1" t="s">
        <v>2747</v>
      </c>
    </row>
    <row r="128" spans="2:6" customFormat="1" ht="15" x14ac:dyDescent="0.25">
      <c r="F128" s="103" t="s">
        <v>2748</v>
      </c>
    </row>
    <row r="129" spans="2:14" customFormat="1" ht="15" x14ac:dyDescent="0.25">
      <c r="B129" s="94" t="s">
        <v>1436</v>
      </c>
      <c r="C129" s="95" t="s">
        <v>1435</v>
      </c>
      <c r="D129" s="95" t="s">
        <v>522</v>
      </c>
      <c r="E129" s="95" t="s">
        <v>1437</v>
      </c>
      <c r="F129" s="95" t="s">
        <v>1434</v>
      </c>
      <c r="G129" s="95" t="s">
        <v>1438</v>
      </c>
      <c r="H129" s="95" t="s">
        <v>1439</v>
      </c>
      <c r="I129" s="95" t="s">
        <v>1440</v>
      </c>
      <c r="J129" s="95" t="s">
        <v>1441</v>
      </c>
      <c r="L129" s="96" t="s">
        <v>1442</v>
      </c>
      <c r="M129" s="95" t="s">
        <v>1443</v>
      </c>
      <c r="N129" s="95" t="s">
        <v>1444</v>
      </c>
    </row>
    <row r="130" spans="2:14" customFormat="1" ht="15" x14ac:dyDescent="0.25">
      <c r="C130" s="97" t="s">
        <v>248</v>
      </c>
      <c r="D130" s="97" t="s">
        <v>248</v>
      </c>
      <c r="E130" s="97" t="s">
        <v>248</v>
      </c>
      <c r="F130" s="97" t="s">
        <v>248</v>
      </c>
      <c r="G130" s="97" t="s">
        <v>248</v>
      </c>
      <c r="H130" s="97" t="s">
        <v>248</v>
      </c>
      <c r="I130" s="97" t="s">
        <v>248</v>
      </c>
      <c r="J130" s="97" t="s">
        <v>248</v>
      </c>
      <c r="L130" s="97" t="s">
        <v>248</v>
      </c>
      <c r="M130" s="97" t="s">
        <v>248</v>
      </c>
      <c r="N130" s="97" t="s">
        <v>248</v>
      </c>
    </row>
    <row r="131" spans="2:14" customFormat="1" ht="15" x14ac:dyDescent="0.25">
      <c r="B131" s="98" t="s">
        <v>2749</v>
      </c>
      <c r="C131" s="99">
        <v>200</v>
      </c>
      <c r="D131" s="99">
        <v>25</v>
      </c>
      <c r="E131" s="99">
        <v>9</v>
      </c>
      <c r="F131" s="99">
        <v>50</v>
      </c>
      <c r="G131" s="100"/>
      <c r="H131" s="99">
        <f>70-25</f>
        <v>45</v>
      </c>
      <c r="I131" s="101">
        <v>35</v>
      </c>
      <c r="J131" s="102">
        <f>SUM(C131:I131)</f>
        <v>364</v>
      </c>
      <c r="K131" s="103" t="s">
        <v>1448</v>
      </c>
      <c r="L131" s="104"/>
      <c r="M131" s="99">
        <v>20</v>
      </c>
      <c r="N131" s="100"/>
    </row>
    <row r="132" spans="2:14" customFormat="1" ht="15" x14ac:dyDescent="0.25">
      <c r="B132" s="98" t="s">
        <v>2750</v>
      </c>
      <c r="C132" s="99">
        <v>245</v>
      </c>
      <c r="D132" s="99">
        <v>25</v>
      </c>
      <c r="E132" s="99">
        <v>9</v>
      </c>
      <c r="F132" s="99">
        <v>20</v>
      </c>
      <c r="G132" s="100"/>
      <c r="H132" s="99">
        <f>50-25</f>
        <v>25</v>
      </c>
      <c r="I132" s="101">
        <v>35</v>
      </c>
      <c r="J132" s="102">
        <f>SUM(C132:I132)</f>
        <v>359</v>
      </c>
      <c r="K132" s="103"/>
      <c r="L132" s="104">
        <f>14+0.6</f>
        <v>14.6</v>
      </c>
      <c r="M132" s="99">
        <v>15</v>
      </c>
      <c r="N132" s="104"/>
    </row>
    <row r="133" spans="2:14" customFormat="1" ht="15" x14ac:dyDescent="0.25">
      <c r="B133" s="98" t="s">
        <v>2751</v>
      </c>
      <c r="C133" s="99">
        <v>0</v>
      </c>
      <c r="D133" s="99">
        <v>0</v>
      </c>
      <c r="E133" s="99">
        <v>0</v>
      </c>
      <c r="F133" s="99">
        <v>0</v>
      </c>
      <c r="G133" s="100"/>
      <c r="H133" s="100"/>
      <c r="I133" s="101"/>
      <c r="J133" s="102">
        <f>SUM(C133:I133)</f>
        <v>0</v>
      </c>
      <c r="K133" s="103"/>
      <c r="L133" s="105"/>
      <c r="M133" s="99">
        <v>0</v>
      </c>
      <c r="N133" s="104"/>
    </row>
    <row r="134" spans="2:14" customFormat="1" ht="15" x14ac:dyDescent="0.25">
      <c r="B134" s="98" t="s">
        <v>2752</v>
      </c>
      <c r="C134" s="99">
        <v>0</v>
      </c>
      <c r="D134" s="99">
        <v>0</v>
      </c>
      <c r="E134" s="99">
        <v>0</v>
      </c>
      <c r="F134" s="99">
        <v>35</v>
      </c>
      <c r="G134" s="100"/>
      <c r="H134" s="100"/>
      <c r="I134" s="101"/>
      <c r="J134" s="102">
        <f t="shared" ref="J134:J135" si="0">SUM(C134:I134)</f>
        <v>35</v>
      </c>
      <c r="K134" s="103"/>
      <c r="L134" s="105"/>
      <c r="M134" s="99">
        <v>0</v>
      </c>
      <c r="N134" s="104"/>
    </row>
    <row r="135" spans="2:14" customFormat="1" ht="15" x14ac:dyDescent="0.25">
      <c r="B135" s="98" t="s">
        <v>2753</v>
      </c>
      <c r="C135" s="99">
        <v>180</v>
      </c>
      <c r="D135" s="99">
        <v>25</v>
      </c>
      <c r="E135" s="99">
        <v>5</v>
      </c>
      <c r="F135" s="99">
        <v>60</v>
      </c>
      <c r="G135" s="99"/>
      <c r="H135" s="99">
        <f>35-25</f>
        <v>10</v>
      </c>
      <c r="I135" s="101"/>
      <c r="J135" s="102">
        <f t="shared" si="0"/>
        <v>280</v>
      </c>
      <c r="K135" s="103"/>
      <c r="L135" s="105"/>
      <c r="M135" s="99"/>
      <c r="N135" s="104">
        <v>18</v>
      </c>
    </row>
    <row r="136" spans="2:14" customFormat="1" ht="15" x14ac:dyDescent="0.25">
      <c r="C136" s="106">
        <f>SUM(C131:C135)</f>
        <v>625</v>
      </c>
      <c r="D136" s="106">
        <f>SUM(D131:D135)</f>
        <v>75</v>
      </c>
      <c r="E136" s="106">
        <f>SUM(E131:E135)</f>
        <v>23</v>
      </c>
      <c r="F136" s="106">
        <f>SUM(F131:F135)</f>
        <v>165</v>
      </c>
      <c r="G136" s="106">
        <f>SUM(G131:G135)</f>
        <v>0</v>
      </c>
      <c r="H136" s="106">
        <f>SUM(H131:H135)</f>
        <v>80</v>
      </c>
      <c r="I136" s="106">
        <f>SUM(I131:I135)</f>
        <v>70</v>
      </c>
      <c r="J136" s="102">
        <f>SUM(J131:J135)</f>
        <v>1038</v>
      </c>
      <c r="L136" s="106">
        <f>SUM(L131:L135)</f>
        <v>14.6</v>
      </c>
      <c r="M136" s="106">
        <f>SUM(M131:M135)</f>
        <v>35</v>
      </c>
      <c r="N136" s="106">
        <f>SUM(N131:N135)</f>
        <v>18</v>
      </c>
    </row>
    <row r="137" spans="2:14" customFormat="1" ht="15" x14ac:dyDescent="0.25"/>
    <row r="138" spans="2:14" customFormat="1" ht="15.75" thickBot="1" x14ac:dyDescent="0.3">
      <c r="M138" s="103" t="s">
        <v>1450</v>
      </c>
    </row>
    <row r="139" spans="2:14" customFormat="1" ht="15" x14ac:dyDescent="0.25">
      <c r="B139" s="107" t="s">
        <v>1451</v>
      </c>
      <c r="C139" s="108"/>
      <c r="D139" s="109"/>
      <c r="G139" s="110"/>
    </row>
    <row r="140" spans="2:14" customFormat="1" ht="15" x14ac:dyDescent="0.25">
      <c r="B140" s="111" t="s">
        <v>1452</v>
      </c>
      <c r="D140" s="112"/>
    </row>
    <row r="141" spans="2:14" customFormat="1" ht="15" x14ac:dyDescent="0.25">
      <c r="B141" s="113" t="s">
        <v>1435</v>
      </c>
      <c r="D141" s="114">
        <f>C136</f>
        <v>625</v>
      </c>
    </row>
    <row r="142" spans="2:14" customFormat="1" ht="15" x14ac:dyDescent="0.25">
      <c r="B142" s="113" t="s">
        <v>522</v>
      </c>
      <c r="D142" s="114">
        <f>D136</f>
        <v>75</v>
      </c>
    </row>
    <row r="143" spans="2:14" customFormat="1" ht="15.75" thickBot="1" x14ac:dyDescent="0.3">
      <c r="B143" s="113" t="s">
        <v>1453</v>
      </c>
      <c r="D143" s="114">
        <f>E136</f>
        <v>23</v>
      </c>
    </row>
    <row r="144" spans="2:14" customFormat="1" ht="15" x14ac:dyDescent="0.25">
      <c r="B144" s="113" t="s">
        <v>1434</v>
      </c>
      <c r="D144" s="114">
        <f>F136</f>
        <v>165</v>
      </c>
      <c r="F144" s="107" t="s">
        <v>1454</v>
      </c>
      <c r="G144" s="108"/>
      <c r="H144" s="108"/>
      <c r="I144" s="108"/>
      <c r="J144" s="109"/>
      <c r="L144" s="115" t="s">
        <v>1455</v>
      </c>
    </row>
    <row r="145" spans="2:10" customFormat="1" ht="15" x14ac:dyDescent="0.25">
      <c r="B145" s="116" t="s">
        <v>1456</v>
      </c>
      <c r="D145" s="114">
        <f>+G136</f>
        <v>0</v>
      </c>
      <c r="F145" s="113"/>
      <c r="J145" s="112"/>
    </row>
    <row r="146" spans="2:10" customFormat="1" ht="15.75" thickBot="1" x14ac:dyDescent="0.3">
      <c r="B146" s="113"/>
      <c r="D146" s="117">
        <f>SUM(D141:D145)</f>
        <v>888</v>
      </c>
      <c r="F146" s="113"/>
      <c r="G146" s="102">
        <f>D146+H136+I136</f>
        <v>1038</v>
      </c>
      <c r="H146" t="s">
        <v>1457</v>
      </c>
      <c r="J146" s="112"/>
    </row>
    <row r="147" spans="2:10" customFormat="1" ht="16.5" thickTop="1" thickBot="1" x14ac:dyDescent="0.3">
      <c r="B147" s="113"/>
      <c r="D147" s="112"/>
      <c r="F147" s="118"/>
      <c r="G147" s="119"/>
      <c r="H147" s="119"/>
      <c r="I147" s="119"/>
      <c r="J147" s="120"/>
    </row>
    <row r="148" spans="2:10" customFormat="1" ht="15.75" thickBot="1" x14ac:dyDescent="0.3">
      <c r="B148" s="111" t="s">
        <v>1458</v>
      </c>
      <c r="D148" s="112"/>
    </row>
    <row r="149" spans="2:10" customFormat="1" ht="15" x14ac:dyDescent="0.25">
      <c r="B149" s="113" t="s">
        <v>1435</v>
      </c>
      <c r="D149" s="121">
        <f>SUMIF($K$131:$K$135,"Highest paid director",C131:C135)</f>
        <v>200</v>
      </c>
      <c r="F149" s="107" t="s">
        <v>1459</v>
      </c>
      <c r="G149" s="108"/>
      <c r="H149" s="108"/>
      <c r="I149" s="108"/>
      <c r="J149" s="109"/>
    </row>
    <row r="150" spans="2:10" customFormat="1" ht="15" x14ac:dyDescent="0.25">
      <c r="B150" s="113" t="s">
        <v>522</v>
      </c>
      <c r="D150" s="121">
        <f>SUMIF($K$131:$K$135,"Highest paid director",D131:D135)</f>
        <v>25</v>
      </c>
      <c r="F150" s="113" t="s">
        <v>1460</v>
      </c>
      <c r="I150" s="122" t="str">
        <f>IF(G146&gt;200,"Yes","No")</f>
        <v>Yes</v>
      </c>
      <c r="J150" s="112"/>
    </row>
    <row r="151" spans="2:10" customFormat="1" ht="15.75" thickBot="1" x14ac:dyDescent="0.3">
      <c r="B151" s="113" t="s">
        <v>1453</v>
      </c>
      <c r="D151" s="121">
        <f>SUMIF($K$131:$K$135,"Highest paid director",E131:E135)</f>
        <v>9</v>
      </c>
      <c r="F151" s="118" t="s">
        <v>1461</v>
      </c>
      <c r="G151" s="119"/>
      <c r="H151" s="119"/>
      <c r="I151" s="123" t="str">
        <f>IF(I150="Yes","Disclose Highest Paid Director","Do not disclose highest  paid director")</f>
        <v>Disclose Highest Paid Director</v>
      </c>
      <c r="J151" s="120"/>
    </row>
    <row r="152" spans="2:10" customFormat="1" ht="15" x14ac:dyDescent="0.25">
      <c r="B152" s="113" t="s">
        <v>1434</v>
      </c>
      <c r="D152" s="121">
        <f>SUMIF($K$131:$K$135,"Highest paid director",F131:F135)</f>
        <v>50</v>
      </c>
    </row>
    <row r="153" spans="2:10" customFormat="1" ht="15" x14ac:dyDescent="0.25">
      <c r="B153" s="113" t="s">
        <v>1462</v>
      </c>
      <c r="D153" s="121">
        <f>SUMIF($K$131:$K$135,"Highest paid director",I131:I135)</f>
        <v>35</v>
      </c>
    </row>
    <row r="154" spans="2:10" customFormat="1" ht="15" x14ac:dyDescent="0.25">
      <c r="B154" s="113" t="s">
        <v>1463</v>
      </c>
      <c r="D154" s="121">
        <f>SUMIF($K$131:$K$135,"Highest paid director",H131:H135)</f>
        <v>45</v>
      </c>
    </row>
    <row r="155" spans="2:10" customFormat="1" ht="15" x14ac:dyDescent="0.25">
      <c r="B155" s="116" t="s">
        <v>1464</v>
      </c>
      <c r="D155" s="121">
        <f>SUMIF($K$131:$K$135,"Highest paid director",G131:G135)</f>
        <v>0</v>
      </c>
    </row>
    <row r="156" spans="2:10" customFormat="1" ht="15.75" thickBot="1" x14ac:dyDescent="0.3">
      <c r="B156" s="124" t="s">
        <v>1452</v>
      </c>
      <c r="C156" s="119"/>
      <c r="D156" s="125">
        <f>SUM(D149:D155)</f>
        <v>364</v>
      </c>
    </row>
    <row r="157" spans="2:10" customFormat="1" ht="15.75" thickBot="1" x14ac:dyDescent="0.3"/>
    <row r="158" spans="2:10" customFormat="1" ht="15" x14ac:dyDescent="0.25">
      <c r="B158" s="126" t="s">
        <v>1465</v>
      </c>
      <c r="C158" s="108"/>
      <c r="D158" s="108"/>
      <c r="E158" s="109"/>
    </row>
    <row r="159" spans="2:10" customFormat="1" ht="15" x14ac:dyDescent="0.25">
      <c r="B159" s="113" t="s">
        <v>1466</v>
      </c>
      <c r="E159" s="112"/>
    </row>
    <row r="160" spans="2:10" customFormat="1" ht="15" x14ac:dyDescent="0.25">
      <c r="B160" s="113" t="s">
        <v>1467</v>
      </c>
      <c r="D160" s="102">
        <f>D146</f>
        <v>888</v>
      </c>
      <c r="E160" s="112"/>
    </row>
    <row r="161" spans="2:6" customFormat="1" ht="15" x14ac:dyDescent="0.25">
      <c r="B161" s="113" t="s">
        <v>1468</v>
      </c>
      <c r="D161" s="102">
        <f>H136</f>
        <v>80</v>
      </c>
      <c r="E161" s="112"/>
    </row>
    <row r="162" spans="2:6" customFormat="1" ht="15" x14ac:dyDescent="0.25">
      <c r="B162" s="113" t="s">
        <v>1469</v>
      </c>
      <c r="D162" s="102">
        <f>M136</f>
        <v>35</v>
      </c>
      <c r="E162" s="112"/>
      <c r="F162" s="103" t="s">
        <v>1470</v>
      </c>
    </row>
    <row r="163" spans="2:6" customFormat="1" ht="15.75" thickBot="1" x14ac:dyDescent="0.3">
      <c r="B163" s="111" t="s">
        <v>1471</v>
      </c>
      <c r="D163" s="127">
        <f>SUM(D160:D162)</f>
        <v>1003</v>
      </c>
      <c r="E163" s="112"/>
    </row>
    <row r="164" spans="2:6" customFormat="1" ht="15.75" thickTop="1" x14ac:dyDescent="0.25">
      <c r="B164" s="113"/>
      <c r="E164" s="112"/>
    </row>
    <row r="165" spans="2:6" customFormat="1" ht="15" x14ac:dyDescent="0.25">
      <c r="B165" s="113"/>
      <c r="D165" s="102"/>
      <c r="E165" s="112"/>
    </row>
    <row r="166" spans="2:6" customFormat="1" ht="15" x14ac:dyDescent="0.25">
      <c r="B166" s="113" t="str">
        <f>COUNT(M131:M135)&amp;" directors are members of the defined contribution pension scheme"</f>
        <v>4 directors are members of the defined contribution pension scheme</v>
      </c>
      <c r="E166" s="112"/>
    </row>
    <row r="167" spans="2:6" customFormat="1" ht="15" x14ac:dyDescent="0.25">
      <c r="B167" s="113" t="str">
        <f>COUNT(N131:N135)&amp;" directors are members of the defined benefit pension scheme"</f>
        <v>1 directors are members of the defined benefit pension scheme</v>
      </c>
      <c r="E167" s="112"/>
    </row>
    <row r="168" spans="2:6" customFormat="1" ht="15" x14ac:dyDescent="0.25">
      <c r="B168" s="113"/>
      <c r="E168" s="112"/>
    </row>
    <row r="169" spans="2:6" customFormat="1" ht="15" x14ac:dyDescent="0.25">
      <c r="B169" s="113" t="s">
        <v>1472</v>
      </c>
      <c r="E169" s="112"/>
    </row>
    <row r="170" spans="2:6" customFormat="1" ht="15" x14ac:dyDescent="0.25">
      <c r="B170" s="113" t="s">
        <v>1452</v>
      </c>
      <c r="D170" s="128">
        <f>D156</f>
        <v>364</v>
      </c>
      <c r="E170" s="112"/>
    </row>
    <row r="171" spans="2:6" customFormat="1" ht="15" x14ac:dyDescent="0.25">
      <c r="B171" s="113" t="s">
        <v>1469</v>
      </c>
      <c r="D171" s="128">
        <f>SUMIF(K131:K135,"Highest paid director",M131:M135)</f>
        <v>20</v>
      </c>
      <c r="E171" s="112"/>
    </row>
    <row r="172" spans="2:6" customFormat="1" ht="15.75" thickBot="1" x14ac:dyDescent="0.3">
      <c r="B172" s="111" t="s">
        <v>1473</v>
      </c>
      <c r="D172" s="127">
        <f>SUM(D170:D171)</f>
        <v>384</v>
      </c>
      <c r="E172" s="112"/>
    </row>
    <row r="173" spans="2:6" customFormat="1" ht="15.75" thickTop="1" x14ac:dyDescent="0.25">
      <c r="B173" s="111"/>
      <c r="D173" s="102"/>
      <c r="E173" s="112"/>
    </row>
    <row r="174" spans="2:6" customFormat="1" ht="15" x14ac:dyDescent="0.25">
      <c r="B174" s="116" t="str">
        <f>COUNTIF(H131:H135,"&gt;0")&amp;" of the directors have share options accruing at the year end. The exercies date of these options is xx/xx/xx"</f>
        <v>3 of the directors have share options accruing at the year end. The exercies date of these options is xx/xx/xx</v>
      </c>
      <c r="C174" s="104"/>
      <c r="D174" s="104"/>
      <c r="E174" s="104"/>
    </row>
    <row r="175" spans="2:6" customFormat="1" ht="15" customHeight="1" x14ac:dyDescent="0.25">
      <c r="B175" s="129" t="str">
        <f>"Compensation for loss of office of a director amounted to £"&amp;L136&amp;" which consisted of …"</f>
        <v>Compensation for loss of office of a director amounted to £14.6 which consisted of …</v>
      </c>
      <c r="C175" s="130"/>
      <c r="D175" s="130"/>
      <c r="E175" s="131"/>
    </row>
    <row r="176" spans="2:6" customFormat="1" ht="13.5" customHeight="1" x14ac:dyDescent="0.25">
      <c r="B176" s="132"/>
      <c r="C176" s="130"/>
      <c r="D176" s="130"/>
      <c r="E176" s="131"/>
    </row>
    <row r="177" spans="2:5" customFormat="1" ht="15" customHeight="1" x14ac:dyDescent="0.25">
      <c r="B177" s="116" t="s">
        <v>2754</v>
      </c>
      <c r="C177" s="133"/>
      <c r="D177" s="133"/>
      <c r="E177" s="134"/>
    </row>
    <row r="178" spans="2:5" customFormat="1" ht="15" x14ac:dyDescent="0.25">
      <c r="B178" s="116" t="s">
        <v>2755</v>
      </c>
      <c r="C178" s="104"/>
      <c r="D178" s="193"/>
      <c r="E178" s="330">
        <f>SUMIF(K131:K135,"Highest paid director",N131:N135)</f>
        <v>0</v>
      </c>
    </row>
    <row r="179" spans="2:5" customFormat="1" ht="15.75" thickBot="1" x14ac:dyDescent="0.3">
      <c r="B179" s="118"/>
      <c r="C179" s="119"/>
      <c r="D179" s="119"/>
      <c r="E179" s="120"/>
    </row>
    <row r="182" spans="2:5" x14ac:dyDescent="0.2">
      <c r="B182" s="1" t="s">
        <v>2756</v>
      </c>
    </row>
    <row r="183" spans="2:5" x14ac:dyDescent="0.2">
      <c r="B183" s="1" t="s">
        <v>2757</v>
      </c>
    </row>
    <row r="184" spans="2:5" x14ac:dyDescent="0.2">
      <c r="B184" s="1" t="s">
        <v>2758</v>
      </c>
    </row>
    <row r="185" spans="2:5" x14ac:dyDescent="0.2">
      <c r="B185" s="1" t="s">
        <v>2759</v>
      </c>
    </row>
    <row r="186" spans="2:5" x14ac:dyDescent="0.2">
      <c r="B186" s="1" t="s">
        <v>2760</v>
      </c>
    </row>
    <row r="187" spans="2:5" x14ac:dyDescent="0.2">
      <c r="B187" s="1" t="s">
        <v>2761</v>
      </c>
    </row>
    <row r="188" spans="2:5" x14ac:dyDescent="0.2">
      <c r="B188" s="1" t="s">
        <v>2762</v>
      </c>
    </row>
    <row r="189" spans="2:5" x14ac:dyDescent="0.2">
      <c r="B189" s="1" t="s">
        <v>2763</v>
      </c>
    </row>
    <row r="190" spans="2:5" x14ac:dyDescent="0.2">
      <c r="B190" s="1" t="s">
        <v>2764</v>
      </c>
    </row>
    <row r="191" spans="2:5" x14ac:dyDescent="0.2">
      <c r="B191" s="1" t="s">
        <v>2765</v>
      </c>
    </row>
    <row r="192" spans="2:5" x14ac:dyDescent="0.2">
      <c r="B192" s="1" t="s">
        <v>2766</v>
      </c>
    </row>
  </sheetData>
  <hyperlinks>
    <hyperlink ref="A1" location="Main!A1" display="Main" xr:uid="{1E7E5437-A16D-4EF5-92F0-D9C356EDB3B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28D61-1FFC-43EF-AEEB-14B8D0C4E2A3}">
  <sheetPr codeName="Sheet9"/>
  <dimension ref="A1:O353"/>
  <sheetViews>
    <sheetView zoomScaleNormal="100" workbookViewId="0"/>
  </sheetViews>
  <sheetFormatPr defaultRowHeight="12" x14ac:dyDescent="0.2"/>
  <cols>
    <col min="1" max="1" width="9.140625" style="1"/>
    <col min="2" max="2" width="10.85546875" style="1" customWidth="1"/>
    <col min="3" max="6" width="9.140625" style="1"/>
    <col min="7" max="7" width="7" style="1" customWidth="1"/>
    <col min="8" max="16384" width="9.140625" style="1"/>
  </cols>
  <sheetData>
    <row r="1" spans="1:15" ht="15" x14ac:dyDescent="0.25">
      <c r="A1" s="2" t="s">
        <v>0</v>
      </c>
      <c r="B1" s="4">
        <f>+A2/25</f>
        <v>0.38</v>
      </c>
      <c r="C1" s="1" t="s">
        <v>1064</v>
      </c>
    </row>
    <row r="2" spans="1:15" x14ac:dyDescent="0.2">
      <c r="A2" s="1">
        <f>SUM(A3:A285)</f>
        <v>9.5</v>
      </c>
      <c r="B2" s="1" t="s">
        <v>962</v>
      </c>
    </row>
    <row r="3" spans="1:15" x14ac:dyDescent="0.2">
      <c r="B3" s="1" t="s">
        <v>5</v>
      </c>
      <c r="C3" s="3">
        <v>44742</v>
      </c>
    </row>
    <row r="6" spans="1:15" x14ac:dyDescent="0.2">
      <c r="B6" s="1" t="s">
        <v>963</v>
      </c>
    </row>
    <row r="7" spans="1:15" x14ac:dyDescent="0.2">
      <c r="B7" s="1" t="s">
        <v>962</v>
      </c>
    </row>
    <row r="8" spans="1:15" x14ac:dyDescent="0.2">
      <c r="B8" s="1" t="s">
        <v>809</v>
      </c>
    </row>
    <row r="9" spans="1:15" x14ac:dyDescent="0.2">
      <c r="B9" s="1" t="s">
        <v>964</v>
      </c>
      <c r="M9" s="6"/>
      <c r="N9" s="6"/>
    </row>
    <row r="10" spans="1:15" x14ac:dyDescent="0.2">
      <c r="E10" s="34" t="s">
        <v>1078</v>
      </c>
      <c r="F10" s="34"/>
      <c r="G10" s="52" t="s">
        <v>1113</v>
      </c>
      <c r="H10" s="34" t="s">
        <v>1079</v>
      </c>
      <c r="I10" s="34"/>
      <c r="N10" s="6"/>
      <c r="O10" s="6"/>
    </row>
    <row r="11" spans="1:15" x14ac:dyDescent="0.2">
      <c r="B11" s="1" t="s">
        <v>965</v>
      </c>
      <c r="E11" s="6"/>
      <c r="F11" s="6">
        <v>1693</v>
      </c>
      <c r="G11" s="6">
        <v>1</v>
      </c>
      <c r="H11" s="6">
        <f>+E289</f>
        <v>520.25</v>
      </c>
      <c r="I11" s="6"/>
      <c r="J11" s="6">
        <f>+E11+H11</f>
        <v>520.25</v>
      </c>
      <c r="K11" s="6">
        <f>+F11+I11</f>
        <v>1693</v>
      </c>
      <c r="L11" s="6">
        <f>+J11-K11</f>
        <v>-1172.75</v>
      </c>
      <c r="N11" s="6"/>
      <c r="O11" s="6"/>
    </row>
    <row r="12" spans="1:15" x14ac:dyDescent="0.2">
      <c r="B12" s="1" t="s">
        <v>966</v>
      </c>
      <c r="E12" s="6">
        <v>500</v>
      </c>
      <c r="F12" s="6"/>
      <c r="G12" s="6">
        <v>7</v>
      </c>
      <c r="H12" s="6"/>
      <c r="I12" s="6">
        <v>500</v>
      </c>
      <c r="J12" s="6">
        <f t="shared" ref="J12:J33" si="0">+E12+H12</f>
        <v>500</v>
      </c>
      <c r="K12" s="6">
        <f t="shared" ref="K12:K30" si="1">+F12+I12</f>
        <v>500</v>
      </c>
      <c r="L12" s="6">
        <f t="shared" ref="L12:L33" si="2">+J12-K12</f>
        <v>0</v>
      </c>
      <c r="N12" s="6"/>
      <c r="O12" s="6"/>
    </row>
    <row r="13" spans="1:15" x14ac:dyDescent="0.2">
      <c r="B13" s="1" t="s">
        <v>811</v>
      </c>
      <c r="E13" s="6">
        <v>7453</v>
      </c>
      <c r="F13" s="6"/>
      <c r="G13" s="6"/>
      <c r="H13" s="6"/>
      <c r="I13" s="6"/>
      <c r="J13" s="6">
        <f t="shared" si="0"/>
        <v>7453</v>
      </c>
      <c r="K13" s="6">
        <f t="shared" si="1"/>
        <v>0</v>
      </c>
      <c r="L13" s="6">
        <f t="shared" si="2"/>
        <v>7453</v>
      </c>
    </row>
    <row r="14" spans="1:15" x14ac:dyDescent="0.2">
      <c r="B14" s="1" t="s">
        <v>812</v>
      </c>
      <c r="E14" s="6"/>
      <c r="F14" s="6">
        <v>3526</v>
      </c>
      <c r="G14" s="6">
        <v>1</v>
      </c>
      <c r="H14" s="6"/>
      <c r="I14" s="6">
        <v>230</v>
      </c>
      <c r="J14" s="6">
        <f t="shared" si="0"/>
        <v>0</v>
      </c>
      <c r="K14" s="6">
        <f t="shared" si="1"/>
        <v>3756</v>
      </c>
      <c r="L14" s="6">
        <f t="shared" si="2"/>
        <v>-3756</v>
      </c>
    </row>
    <row r="15" spans="1:15" x14ac:dyDescent="0.2">
      <c r="B15" s="1" t="s">
        <v>405</v>
      </c>
      <c r="E15" s="6">
        <v>214</v>
      </c>
      <c r="F15" s="6"/>
      <c r="G15" s="6">
        <v>1</v>
      </c>
      <c r="H15" s="6"/>
      <c r="I15" s="6">
        <v>87</v>
      </c>
      <c r="J15" s="6">
        <f t="shared" si="0"/>
        <v>214</v>
      </c>
      <c r="K15" s="6">
        <f t="shared" si="1"/>
        <v>87</v>
      </c>
      <c r="L15" s="6">
        <f t="shared" si="2"/>
        <v>127</v>
      </c>
    </row>
    <row r="16" spans="1:15" x14ac:dyDescent="0.2">
      <c r="B16" s="1" t="s">
        <v>967</v>
      </c>
      <c r="E16" s="6">
        <v>541</v>
      </c>
      <c r="F16" s="6"/>
      <c r="G16" s="6"/>
      <c r="H16" s="6"/>
      <c r="I16" s="6"/>
      <c r="J16" s="6">
        <f t="shared" si="0"/>
        <v>541</v>
      </c>
      <c r="K16" s="6">
        <f t="shared" si="1"/>
        <v>0</v>
      </c>
      <c r="L16" s="6">
        <f t="shared" si="2"/>
        <v>541</v>
      </c>
    </row>
    <row r="17" spans="2:12" x14ac:dyDescent="0.2">
      <c r="B17" s="1" t="s">
        <v>968</v>
      </c>
      <c r="E17" s="6"/>
      <c r="F17" s="6">
        <v>351</v>
      </c>
      <c r="G17" s="6">
        <v>1</v>
      </c>
      <c r="H17" s="6"/>
      <c r="I17" s="6">
        <v>13</v>
      </c>
      <c r="J17" s="6">
        <f t="shared" si="0"/>
        <v>0</v>
      </c>
      <c r="K17" s="6">
        <f t="shared" si="1"/>
        <v>364</v>
      </c>
      <c r="L17" s="6">
        <f t="shared" si="2"/>
        <v>-364</v>
      </c>
    </row>
    <row r="18" spans="2:12" x14ac:dyDescent="0.2">
      <c r="B18" s="1" t="s">
        <v>969</v>
      </c>
      <c r="E18" s="6">
        <v>3897</v>
      </c>
      <c r="F18" s="6"/>
      <c r="G18" s="6"/>
      <c r="H18" s="6"/>
      <c r="I18" s="6"/>
      <c r="J18" s="6">
        <f t="shared" si="0"/>
        <v>3897</v>
      </c>
      <c r="K18" s="6">
        <f t="shared" si="1"/>
        <v>0</v>
      </c>
      <c r="L18" s="6">
        <f t="shared" si="2"/>
        <v>3897</v>
      </c>
    </row>
    <row r="19" spans="2:12" x14ac:dyDescent="0.2">
      <c r="B19" s="1" t="s">
        <v>970</v>
      </c>
      <c r="E19" s="6">
        <v>1240</v>
      </c>
      <c r="F19" s="6"/>
      <c r="G19" s="6"/>
      <c r="H19" s="6"/>
      <c r="I19" s="6"/>
      <c r="J19" s="6">
        <f t="shared" si="0"/>
        <v>1240</v>
      </c>
      <c r="K19" s="6">
        <f t="shared" si="1"/>
        <v>0</v>
      </c>
      <c r="L19" s="6">
        <f t="shared" si="2"/>
        <v>1240</v>
      </c>
    </row>
    <row r="20" spans="2:12" x14ac:dyDescent="0.2">
      <c r="B20" s="1" t="s">
        <v>971</v>
      </c>
      <c r="E20" s="6">
        <v>7</v>
      </c>
      <c r="F20" s="6"/>
      <c r="G20" s="6"/>
      <c r="H20" s="6"/>
      <c r="I20" s="6"/>
      <c r="J20" s="6">
        <f t="shared" si="0"/>
        <v>7</v>
      </c>
      <c r="K20" s="6">
        <f t="shared" si="1"/>
        <v>0</v>
      </c>
      <c r="L20" s="6">
        <f t="shared" si="2"/>
        <v>7</v>
      </c>
    </row>
    <row r="21" spans="2:12" x14ac:dyDescent="0.2">
      <c r="B21" s="1" t="s">
        <v>972</v>
      </c>
      <c r="E21" s="6">
        <v>2214</v>
      </c>
      <c r="F21" s="6"/>
      <c r="G21" s="6"/>
      <c r="H21" s="6"/>
      <c r="I21" s="6"/>
      <c r="J21" s="6">
        <f t="shared" si="0"/>
        <v>2214</v>
      </c>
      <c r="K21" s="6">
        <f t="shared" si="1"/>
        <v>0</v>
      </c>
      <c r="L21" s="6">
        <f t="shared" si="2"/>
        <v>2214</v>
      </c>
    </row>
    <row r="22" spans="2:12" x14ac:dyDescent="0.2">
      <c r="B22" s="1" t="s">
        <v>973</v>
      </c>
      <c r="E22" s="6"/>
      <c r="F22" s="6">
        <v>5000</v>
      </c>
      <c r="G22" s="6"/>
      <c r="H22" s="6"/>
      <c r="I22" s="6"/>
      <c r="J22" s="6">
        <f t="shared" si="0"/>
        <v>0</v>
      </c>
      <c r="K22" s="6">
        <f t="shared" si="1"/>
        <v>5000</v>
      </c>
      <c r="L22" s="6">
        <f t="shared" si="2"/>
        <v>-5000</v>
      </c>
    </row>
    <row r="23" spans="2:12" x14ac:dyDescent="0.2">
      <c r="B23" s="1" t="s">
        <v>974</v>
      </c>
      <c r="E23" s="6"/>
      <c r="F23" s="6">
        <v>1000</v>
      </c>
      <c r="G23" s="6"/>
      <c r="H23" s="6"/>
      <c r="I23" s="6"/>
      <c r="J23" s="6">
        <f t="shared" si="0"/>
        <v>0</v>
      </c>
      <c r="K23" s="6">
        <f t="shared" si="1"/>
        <v>1000</v>
      </c>
      <c r="L23" s="6">
        <f t="shared" si="2"/>
        <v>-1000</v>
      </c>
    </row>
    <row r="24" spans="2:12" x14ac:dyDescent="0.2">
      <c r="B24" s="1" t="s">
        <v>975</v>
      </c>
      <c r="E24" s="6"/>
      <c r="F24" s="6">
        <v>825</v>
      </c>
      <c r="G24" s="6" t="s">
        <v>1112</v>
      </c>
      <c r="H24" s="6">
        <v>500</v>
      </c>
      <c r="I24" s="6">
        <v>520</v>
      </c>
      <c r="J24" s="6">
        <f t="shared" si="0"/>
        <v>500</v>
      </c>
      <c r="K24" s="6">
        <f t="shared" si="1"/>
        <v>1345</v>
      </c>
      <c r="L24" s="6">
        <f t="shared" si="2"/>
        <v>-845</v>
      </c>
    </row>
    <row r="25" spans="2:12" x14ac:dyDescent="0.2">
      <c r="B25" s="1" t="s">
        <v>976</v>
      </c>
      <c r="E25" s="6"/>
      <c r="F25" s="6">
        <v>394</v>
      </c>
      <c r="G25" s="6"/>
      <c r="H25" s="6"/>
      <c r="I25" s="6"/>
      <c r="J25" s="6">
        <f t="shared" si="0"/>
        <v>0</v>
      </c>
      <c r="K25" s="6">
        <f t="shared" si="1"/>
        <v>394</v>
      </c>
      <c r="L25" s="6">
        <f t="shared" si="2"/>
        <v>-394</v>
      </c>
    </row>
    <row r="26" spans="2:12" x14ac:dyDescent="0.2">
      <c r="B26" s="1" t="s">
        <v>977</v>
      </c>
      <c r="E26" s="6"/>
      <c r="F26" s="6">
        <v>2250</v>
      </c>
      <c r="G26" s="6"/>
      <c r="H26" s="6"/>
      <c r="I26" s="6"/>
      <c r="J26" s="6">
        <f t="shared" si="0"/>
        <v>0</v>
      </c>
      <c r="K26" s="6">
        <f t="shared" si="1"/>
        <v>2250</v>
      </c>
      <c r="L26" s="6">
        <f t="shared" si="2"/>
        <v>-2250</v>
      </c>
    </row>
    <row r="27" spans="2:12" x14ac:dyDescent="0.2">
      <c r="B27" s="1" t="s">
        <v>978</v>
      </c>
      <c r="E27" s="6"/>
      <c r="F27" s="6">
        <v>204</v>
      </c>
      <c r="G27" s="6"/>
      <c r="H27" s="6"/>
      <c r="I27" s="6"/>
      <c r="J27" s="6">
        <f t="shared" si="0"/>
        <v>0</v>
      </c>
      <c r="K27" s="6">
        <f t="shared" si="1"/>
        <v>204</v>
      </c>
      <c r="L27" s="6">
        <f t="shared" si="2"/>
        <v>-204</v>
      </c>
    </row>
    <row r="28" spans="2:12" x14ac:dyDescent="0.2">
      <c r="B28" s="1" t="s">
        <v>979</v>
      </c>
      <c r="E28" s="6"/>
      <c r="F28" s="6">
        <v>224</v>
      </c>
      <c r="G28" s="6">
        <v>3</v>
      </c>
      <c r="H28" s="6">
        <v>14</v>
      </c>
      <c r="I28" s="6"/>
      <c r="J28" s="6">
        <f t="shared" si="0"/>
        <v>14</v>
      </c>
      <c r="K28" s="6">
        <f t="shared" si="1"/>
        <v>224</v>
      </c>
      <c r="L28" s="6">
        <f t="shared" si="2"/>
        <v>-210</v>
      </c>
    </row>
    <row r="29" spans="2:12" x14ac:dyDescent="0.2">
      <c r="B29" s="1" t="s">
        <v>980</v>
      </c>
      <c r="E29" s="6"/>
      <c r="F29" s="6">
        <v>216</v>
      </c>
      <c r="G29" s="6"/>
      <c r="H29" s="6"/>
      <c r="I29" s="6"/>
      <c r="J29" s="6">
        <f t="shared" si="0"/>
        <v>0</v>
      </c>
      <c r="K29" s="6">
        <f t="shared" si="1"/>
        <v>216</v>
      </c>
      <c r="L29" s="6">
        <f t="shared" si="2"/>
        <v>-216</v>
      </c>
    </row>
    <row r="30" spans="2:12" x14ac:dyDescent="0.2">
      <c r="B30" s="1" t="s">
        <v>981</v>
      </c>
      <c r="E30" s="6"/>
      <c r="F30" s="6">
        <v>234</v>
      </c>
      <c r="G30" s="6"/>
      <c r="H30" s="6"/>
      <c r="I30" s="6"/>
      <c r="J30" s="6">
        <f t="shared" si="0"/>
        <v>0</v>
      </c>
      <c r="K30" s="6">
        <f t="shared" si="1"/>
        <v>234</v>
      </c>
      <c r="L30" s="6">
        <f t="shared" si="2"/>
        <v>-234</v>
      </c>
    </row>
    <row r="31" spans="2:12" x14ac:dyDescent="0.2">
      <c r="B31" s="1" t="s">
        <v>982</v>
      </c>
      <c r="E31" s="6"/>
      <c r="F31" s="6">
        <v>149</v>
      </c>
      <c r="G31" s="6" t="s">
        <v>1111</v>
      </c>
      <c r="H31" s="6">
        <v>140</v>
      </c>
      <c r="I31" s="6">
        <f>360</f>
        <v>360</v>
      </c>
      <c r="J31" s="6">
        <f t="shared" si="0"/>
        <v>140</v>
      </c>
      <c r="K31" s="6">
        <f>+F31+SUM(I31:I33)</f>
        <v>1145</v>
      </c>
      <c r="L31" s="6">
        <f t="shared" si="2"/>
        <v>-1005</v>
      </c>
    </row>
    <row r="32" spans="2:12" x14ac:dyDescent="0.2">
      <c r="E32" s="6"/>
      <c r="F32" s="6"/>
      <c r="G32" s="6"/>
      <c r="H32" s="6"/>
      <c r="I32" s="6">
        <v>400</v>
      </c>
      <c r="J32" s="6">
        <f t="shared" si="0"/>
        <v>0</v>
      </c>
      <c r="K32" s="6">
        <v>0</v>
      </c>
      <c r="L32" s="6">
        <f t="shared" si="2"/>
        <v>0</v>
      </c>
    </row>
    <row r="33" spans="1:12" x14ac:dyDescent="0.2">
      <c r="E33" s="6"/>
      <c r="F33" s="6"/>
      <c r="G33" s="6"/>
      <c r="H33" s="6"/>
      <c r="I33" s="6">
        <v>236</v>
      </c>
      <c r="J33" s="6">
        <f t="shared" si="0"/>
        <v>0</v>
      </c>
      <c r="K33" s="6">
        <v>0</v>
      </c>
      <c r="L33" s="6">
        <f t="shared" si="2"/>
        <v>0</v>
      </c>
    </row>
    <row r="34" spans="1:12" ht="12.75" thickBot="1" x14ac:dyDescent="0.25">
      <c r="E34" s="14">
        <f>SUM(E11:E31)</f>
        <v>16066</v>
      </c>
      <c r="F34" s="14">
        <f>SUM(F11:F31)</f>
        <v>16066</v>
      </c>
      <c r="G34" s="18"/>
      <c r="H34" s="6"/>
      <c r="I34" s="6"/>
      <c r="J34" s="6">
        <f>SUM(J12:J33)</f>
        <v>16720</v>
      </c>
      <c r="K34" s="6">
        <f t="shared" ref="K34:L34" si="3">SUM(K12:K33)</f>
        <v>16719</v>
      </c>
      <c r="L34" s="6">
        <f t="shared" si="3"/>
        <v>1</v>
      </c>
    </row>
    <row r="35" spans="1:12" ht="12.75" thickTop="1" x14ac:dyDescent="0.2"/>
    <row r="36" spans="1:12" s="9" customFormat="1" x14ac:dyDescent="0.2">
      <c r="B36" s="9" t="s">
        <v>983</v>
      </c>
    </row>
    <row r="37" spans="1:12" s="9" customFormat="1" x14ac:dyDescent="0.2">
      <c r="C37" s="9" t="s">
        <v>1004</v>
      </c>
      <c r="D37" s="9" t="s">
        <v>1005</v>
      </c>
      <c r="E37" s="9" t="s">
        <v>1006</v>
      </c>
    </row>
    <row r="38" spans="1:12" s="9" customFormat="1" x14ac:dyDescent="0.2">
      <c r="C38" s="9">
        <v>0.5</v>
      </c>
      <c r="D38" s="9">
        <v>0.35</v>
      </c>
      <c r="E38" s="9">
        <v>0.15</v>
      </c>
    </row>
    <row r="39" spans="1:12" s="9" customFormat="1" x14ac:dyDescent="0.2">
      <c r="B39" s="9" t="s">
        <v>602</v>
      </c>
      <c r="C39" s="9">
        <v>859</v>
      </c>
      <c r="D39" s="9">
        <v>1195</v>
      </c>
      <c r="E39" s="9">
        <v>313</v>
      </c>
      <c r="F39" s="43">
        <f>SUM(C39:E39)</f>
        <v>2367</v>
      </c>
    </row>
    <row r="40" spans="1:12" s="9" customFormat="1" x14ac:dyDescent="0.2">
      <c r="B40" s="9" t="s">
        <v>592</v>
      </c>
      <c r="C40" s="9">
        <v>65</v>
      </c>
      <c r="D40" s="9">
        <v>0</v>
      </c>
      <c r="E40" s="9">
        <v>125</v>
      </c>
      <c r="F40" s="43">
        <f>SUM(C40:E40)</f>
        <v>190</v>
      </c>
    </row>
    <row r="41" spans="1:12" s="9" customFormat="1" x14ac:dyDescent="0.2">
      <c r="B41" s="9" t="s">
        <v>77</v>
      </c>
      <c r="F41" s="43">
        <v>214</v>
      </c>
    </row>
    <row r="42" spans="1:12" s="9" customFormat="1" x14ac:dyDescent="0.2">
      <c r="B42" s="9" t="s">
        <v>396</v>
      </c>
      <c r="C42" s="9">
        <f>+$F$42*C38</f>
        <v>780</v>
      </c>
      <c r="D42" s="9">
        <f t="shared" ref="D42:E42" si="4">+$F$42*D38</f>
        <v>546</v>
      </c>
      <c r="E42" s="9">
        <f t="shared" si="4"/>
        <v>234</v>
      </c>
      <c r="F42" s="43">
        <v>1560</v>
      </c>
    </row>
    <row r="43" spans="1:12" s="9" customFormat="1" ht="12.75" thickBot="1" x14ac:dyDescent="0.25">
      <c r="A43" s="9">
        <v>1</v>
      </c>
      <c r="C43" s="44">
        <f>SUM(C39:C42)</f>
        <v>1704</v>
      </c>
      <c r="D43" s="44">
        <f t="shared" ref="D43:E43" si="5">SUM(D39:D42)</f>
        <v>1741</v>
      </c>
      <c r="E43" s="44">
        <f t="shared" si="5"/>
        <v>672</v>
      </c>
      <c r="F43" s="45">
        <f>SUM(F39:F42)</f>
        <v>4331</v>
      </c>
    </row>
    <row r="44" spans="1:12" s="9" customFormat="1" ht="12.75" thickTop="1" x14ac:dyDescent="0.2">
      <c r="C44" s="47"/>
      <c r="D44" s="47"/>
      <c r="E44" s="47"/>
      <c r="F44" s="48"/>
    </row>
    <row r="45" spans="1:12" s="9" customFormat="1" x14ac:dyDescent="0.2">
      <c r="B45" s="9" t="s">
        <v>32</v>
      </c>
      <c r="C45" s="49">
        <f>+D117</f>
        <v>1680</v>
      </c>
      <c r="D45" s="49">
        <f>+C129+C131+D42</f>
        <v>1665.4</v>
      </c>
      <c r="E45" s="49">
        <f>+C157</f>
        <v>680</v>
      </c>
      <c r="F45" s="48"/>
    </row>
    <row r="46" spans="1:12" s="9" customFormat="1" x14ac:dyDescent="0.2">
      <c r="B46" s="9" t="s">
        <v>1065</v>
      </c>
      <c r="C46" s="49">
        <f>+D118</f>
        <v>-65</v>
      </c>
      <c r="D46" s="49">
        <f>+C130</f>
        <v>-15</v>
      </c>
      <c r="E46" s="49">
        <f>+C158</f>
        <v>-81.599999999999994</v>
      </c>
      <c r="F46" s="48"/>
    </row>
    <row r="47" spans="1:12" s="9" customFormat="1" ht="12.75" thickBot="1" x14ac:dyDescent="0.25">
      <c r="B47" s="9" t="s">
        <v>78</v>
      </c>
      <c r="C47" s="50">
        <f>SUM(C45:C46)</f>
        <v>1615</v>
      </c>
      <c r="D47" s="50">
        <f>SUM(D45:D46)</f>
        <v>1650.4</v>
      </c>
      <c r="E47" s="50">
        <f>SUM(E45:E46)</f>
        <v>598.4</v>
      </c>
      <c r="F47" s="48"/>
    </row>
    <row r="48" spans="1:12" s="9" customFormat="1" ht="12.75" thickTop="1" x14ac:dyDescent="0.2">
      <c r="C48" s="49"/>
      <c r="D48" s="49"/>
      <c r="E48" s="49"/>
      <c r="F48" s="48"/>
    </row>
    <row r="49" spans="2:6" s="9" customFormat="1" x14ac:dyDescent="0.2">
      <c r="B49" s="9" t="s">
        <v>83</v>
      </c>
      <c r="C49" s="49"/>
      <c r="D49" s="49">
        <f>+E137</f>
        <v>361.30099999999999</v>
      </c>
      <c r="E49" s="49"/>
      <c r="F49" s="48"/>
    </row>
    <row r="50" spans="2:6" s="9" customFormat="1" x14ac:dyDescent="0.2">
      <c r="C50" s="49"/>
      <c r="D50" s="49">
        <f t="shared" ref="D50:D52" si="6">+E138</f>
        <v>380.82800000000003</v>
      </c>
      <c r="E50" s="49"/>
      <c r="F50" s="48"/>
    </row>
    <row r="51" spans="2:6" s="9" customFormat="1" x14ac:dyDescent="0.2">
      <c r="C51" s="49"/>
      <c r="D51" s="49">
        <f t="shared" si="6"/>
        <v>390.35399999999998</v>
      </c>
      <c r="E51" s="49"/>
      <c r="F51" s="48"/>
    </row>
    <row r="52" spans="2:6" s="9" customFormat="1" x14ac:dyDescent="0.2">
      <c r="C52" s="49"/>
      <c r="D52" s="49">
        <f t="shared" si="6"/>
        <v>388.15100000000001</v>
      </c>
      <c r="E52" s="49"/>
      <c r="F52" s="48"/>
    </row>
    <row r="53" spans="2:6" s="9" customFormat="1" ht="12.75" thickBot="1" x14ac:dyDescent="0.25">
      <c r="C53" s="50">
        <v>1585</v>
      </c>
      <c r="D53" s="50">
        <f>SUM(D49:D52)</f>
        <v>1520.634</v>
      </c>
      <c r="E53" s="50">
        <f>+C160</f>
        <v>608</v>
      </c>
      <c r="F53" s="48"/>
    </row>
    <row r="54" spans="2:6" s="9" customFormat="1" ht="12.75" thickTop="1" x14ac:dyDescent="0.2">
      <c r="C54" s="49"/>
      <c r="D54" s="49"/>
      <c r="E54" s="49"/>
      <c r="F54" s="48"/>
    </row>
    <row r="55" spans="2:6" s="9" customFormat="1" x14ac:dyDescent="0.2">
      <c r="B55" s="9" t="s">
        <v>1066</v>
      </c>
      <c r="C55" s="49">
        <f>+C43</f>
        <v>1704</v>
      </c>
      <c r="D55" s="49">
        <f t="shared" ref="D55:E55" si="7">+D43</f>
        <v>1741</v>
      </c>
      <c r="E55" s="49">
        <f t="shared" si="7"/>
        <v>672</v>
      </c>
      <c r="F55" s="48"/>
    </row>
    <row r="56" spans="2:6" s="9" customFormat="1" x14ac:dyDescent="0.2">
      <c r="B56" s="9" t="s">
        <v>1067</v>
      </c>
      <c r="C56" s="49">
        <f>MAX(C47,C53)</f>
        <v>1615</v>
      </c>
      <c r="D56" s="49">
        <f t="shared" ref="D56:E56" si="8">MAX(D47,D53)</f>
        <v>1650.4</v>
      </c>
      <c r="E56" s="49">
        <f t="shared" si="8"/>
        <v>608</v>
      </c>
      <c r="F56" s="48"/>
    </row>
    <row r="57" spans="2:6" s="9" customFormat="1" ht="12.75" thickBot="1" x14ac:dyDescent="0.25">
      <c r="B57" s="9" t="s">
        <v>399</v>
      </c>
      <c r="C57" s="50">
        <f>+C56-C55</f>
        <v>-89</v>
      </c>
      <c r="D57" s="50">
        <f t="shared" ref="D57:E57" si="9">+D56-D55</f>
        <v>-90.599999999999909</v>
      </c>
      <c r="E57" s="50">
        <f t="shared" si="9"/>
        <v>-64</v>
      </c>
      <c r="F57" s="48"/>
    </row>
    <row r="58" spans="2:6" s="9" customFormat="1" ht="12.75" thickTop="1" x14ac:dyDescent="0.2">
      <c r="C58" s="49"/>
      <c r="D58" s="49"/>
      <c r="E58" s="49"/>
      <c r="F58" s="48"/>
    </row>
    <row r="59" spans="2:6" s="9" customFormat="1" x14ac:dyDescent="0.2">
      <c r="B59" s="9" t="s">
        <v>615</v>
      </c>
      <c r="C59" s="49"/>
      <c r="D59" s="49"/>
      <c r="E59" s="49"/>
      <c r="F59" s="48"/>
    </row>
    <row r="60" spans="2:6" s="9" customFormat="1" x14ac:dyDescent="0.2">
      <c r="B60" s="9" t="s">
        <v>602</v>
      </c>
      <c r="C60" s="51">
        <f>+(C39+C42)/C43</f>
        <v>0.96185446009389675</v>
      </c>
      <c r="D60" s="51">
        <f>+(D39+D42)/D43</f>
        <v>1</v>
      </c>
      <c r="E60" s="51">
        <f>+(E39+E42)/E43</f>
        <v>0.81398809523809523</v>
      </c>
      <c r="F60" s="48"/>
    </row>
    <row r="61" spans="2:6" s="9" customFormat="1" x14ac:dyDescent="0.2">
      <c r="B61" s="9" t="s">
        <v>592</v>
      </c>
      <c r="C61" s="46">
        <f>+C40/C43</f>
        <v>3.8145539906103289E-2</v>
      </c>
      <c r="D61" s="46">
        <f t="shared" ref="D61:E61" si="10">+D40/D43</f>
        <v>0</v>
      </c>
      <c r="E61" s="46">
        <f t="shared" si="10"/>
        <v>0.18601190476190477</v>
      </c>
      <c r="F61" s="48"/>
    </row>
    <row r="62" spans="2:6" s="9" customFormat="1" x14ac:dyDescent="0.2">
      <c r="C62" s="46"/>
      <c r="D62" s="46"/>
      <c r="E62" s="46"/>
      <c r="F62" s="48"/>
    </row>
    <row r="63" spans="2:6" s="9" customFormat="1" x14ac:dyDescent="0.2">
      <c r="B63" s="9" t="s">
        <v>615</v>
      </c>
      <c r="C63" s="49"/>
      <c r="D63" s="49"/>
      <c r="E63" s="49"/>
      <c r="F63" s="48"/>
    </row>
    <row r="64" spans="2:6" s="9" customFormat="1" x14ac:dyDescent="0.2">
      <c r="B64" s="9" t="s">
        <v>602</v>
      </c>
      <c r="C64" s="49">
        <f t="shared" ref="C64:E65" si="11">+C$57*C60</f>
        <v>-85.605046948356815</v>
      </c>
      <c r="D64" s="49">
        <f t="shared" si="11"/>
        <v>-90.599999999999909</v>
      </c>
      <c r="E64" s="49">
        <f t="shared" si="11"/>
        <v>-52.095238095238095</v>
      </c>
      <c r="F64" s="48"/>
    </row>
    <row r="65" spans="2:6" s="9" customFormat="1" x14ac:dyDescent="0.2">
      <c r="B65" s="9" t="s">
        <v>592</v>
      </c>
      <c r="C65" s="49">
        <f t="shared" si="11"/>
        <v>-3.3949530516431925</v>
      </c>
      <c r="D65" s="49">
        <f t="shared" si="11"/>
        <v>0</v>
      </c>
      <c r="E65" s="49">
        <f t="shared" si="11"/>
        <v>-11.904761904761905</v>
      </c>
      <c r="F65" s="48"/>
    </row>
    <row r="66" spans="2:6" s="9" customFormat="1" ht="12.75" thickBot="1" x14ac:dyDescent="0.25">
      <c r="C66" s="50">
        <f>SUM(C64:C65)</f>
        <v>-89.000000000000014</v>
      </c>
      <c r="D66" s="50">
        <f t="shared" ref="D66:E66" si="12">SUM(D64:D65)</f>
        <v>-90.599999999999909</v>
      </c>
      <c r="E66" s="50">
        <f t="shared" si="12"/>
        <v>-64</v>
      </c>
      <c r="F66" s="48"/>
    </row>
    <row r="67" spans="2:6" s="9" customFormat="1" ht="12.75" thickTop="1" x14ac:dyDescent="0.2">
      <c r="C67" s="49"/>
      <c r="D67" s="49"/>
      <c r="E67" s="49"/>
      <c r="F67" s="48"/>
    </row>
    <row r="68" spans="2:6" s="9" customFormat="1" x14ac:dyDescent="0.2">
      <c r="B68" s="9" t="s">
        <v>616</v>
      </c>
      <c r="C68" s="49">
        <f>+C$57*C60</f>
        <v>-85.605046948356815</v>
      </c>
      <c r="D68" s="49">
        <f t="shared" ref="D68:D69" si="13">+D$57*D60</f>
        <v>-90.599999999999909</v>
      </c>
      <c r="E68" s="49">
        <f>+E$57*E60-2</f>
        <v>-54.095238095238095</v>
      </c>
      <c r="F68" s="48"/>
    </row>
    <row r="69" spans="2:6" s="9" customFormat="1" x14ac:dyDescent="0.2">
      <c r="C69" s="49">
        <f>+C$57*C61</f>
        <v>-3.3949530516431925</v>
      </c>
      <c r="D69" s="49">
        <f t="shared" si="13"/>
        <v>0</v>
      </c>
      <c r="E69" s="49">
        <v>-10</v>
      </c>
      <c r="F69" s="48"/>
    </row>
    <row r="70" spans="2:6" s="9" customFormat="1" ht="12.75" thickBot="1" x14ac:dyDescent="0.25">
      <c r="C70" s="50">
        <f>SUM(C68:C69)</f>
        <v>-89.000000000000014</v>
      </c>
      <c r="D70" s="50">
        <f t="shared" ref="D70" si="14">SUM(D68:D69)</f>
        <v>-90.599999999999909</v>
      </c>
      <c r="E70" s="50">
        <f t="shared" ref="E70" si="15">SUM(E68:E69)</f>
        <v>-64.095238095238102</v>
      </c>
      <c r="F70" s="48"/>
    </row>
    <row r="71" spans="2:6" s="9" customFormat="1" ht="12.75" thickTop="1" x14ac:dyDescent="0.2">
      <c r="C71" s="49"/>
      <c r="D71" s="49"/>
      <c r="E71" s="49"/>
      <c r="F71" s="48"/>
    </row>
    <row r="72" spans="2:6" s="9" customFormat="1" x14ac:dyDescent="0.2">
      <c r="B72" s="9" t="s">
        <v>1068</v>
      </c>
      <c r="C72" s="49"/>
      <c r="D72" s="49"/>
      <c r="E72" s="49"/>
      <c r="F72" s="48"/>
    </row>
    <row r="73" spans="2:6" s="9" customFormat="1" x14ac:dyDescent="0.2">
      <c r="C73" s="49"/>
      <c r="D73" s="49"/>
      <c r="E73" s="49"/>
      <c r="F73" s="48"/>
    </row>
    <row r="74" spans="2:6" s="9" customFormat="1" x14ac:dyDescent="0.2">
      <c r="B74" s="9" t="s">
        <v>405</v>
      </c>
      <c r="C74" s="49"/>
      <c r="D74" s="49"/>
      <c r="E74" s="49"/>
      <c r="F74" s="48"/>
    </row>
    <row r="75" spans="2:6" s="9" customFormat="1" x14ac:dyDescent="0.2">
      <c r="B75" s="9" t="s">
        <v>1069</v>
      </c>
      <c r="C75" s="49"/>
      <c r="D75" s="49"/>
      <c r="E75" s="49">
        <f>SUM(C55:E55)</f>
        <v>4117</v>
      </c>
      <c r="F75" s="48"/>
    </row>
    <row r="76" spans="2:6" s="9" customFormat="1" x14ac:dyDescent="0.2">
      <c r="B76" s="9" t="s">
        <v>1070</v>
      </c>
      <c r="C76" s="49"/>
      <c r="D76" s="49"/>
      <c r="E76" s="49">
        <f>SUM(C70:E70)</f>
        <v>-243.69523809523801</v>
      </c>
      <c r="F76" s="48"/>
    </row>
    <row r="77" spans="2:6" s="9" customFormat="1" x14ac:dyDescent="0.2">
      <c r="B77" s="9" t="s">
        <v>405</v>
      </c>
      <c r="C77" s="49"/>
      <c r="D77" s="49"/>
      <c r="E77" s="49">
        <f>+F41</f>
        <v>214</v>
      </c>
      <c r="F77" s="48"/>
    </row>
    <row r="78" spans="2:6" s="9" customFormat="1" x14ac:dyDescent="0.2">
      <c r="B78" s="9" t="s">
        <v>1071</v>
      </c>
      <c r="C78" s="49"/>
      <c r="D78" s="49"/>
      <c r="E78" s="49">
        <f>SUM(E75:E77)</f>
        <v>4087.304761904762</v>
      </c>
      <c r="F78" s="48"/>
    </row>
    <row r="79" spans="2:6" s="9" customFormat="1" x14ac:dyDescent="0.2">
      <c r="B79" s="9" t="s">
        <v>1072</v>
      </c>
      <c r="C79" s="49"/>
      <c r="D79" s="49"/>
      <c r="E79" s="49">
        <f>+F94</f>
        <v>4000</v>
      </c>
      <c r="F79" s="48"/>
    </row>
    <row r="80" spans="2:6" s="9" customFormat="1" x14ac:dyDescent="0.2">
      <c r="B80" s="9" t="s">
        <v>1073</v>
      </c>
      <c r="C80" s="49"/>
      <c r="D80" s="49"/>
      <c r="E80" s="49">
        <f>+E79-E78</f>
        <v>-87.304761904762017</v>
      </c>
      <c r="F80" s="48"/>
    </row>
    <row r="81" spans="2:6" s="9" customFormat="1" x14ac:dyDescent="0.2">
      <c r="C81" s="49"/>
      <c r="D81" s="49"/>
      <c r="E81" s="49"/>
      <c r="F81" s="48"/>
    </row>
    <row r="82" spans="2:6" s="9" customFormat="1" x14ac:dyDescent="0.2">
      <c r="B82" s="9" t="s">
        <v>1075</v>
      </c>
      <c r="C82" s="49"/>
      <c r="D82" s="49"/>
      <c r="E82" s="49">
        <f>-SUM(C68:E68)</f>
        <v>230.30028504359481</v>
      </c>
      <c r="F82" s="48"/>
    </row>
    <row r="83" spans="2:6" s="9" customFormat="1" x14ac:dyDescent="0.2">
      <c r="B83" s="9" t="s">
        <v>1074</v>
      </c>
      <c r="C83" s="49"/>
      <c r="D83" s="49"/>
      <c r="E83" s="49" cm="1">
        <f t="array" ref="E83">-SUM(+C69:E69)</f>
        <v>13.394953051643192</v>
      </c>
      <c r="F83" s="48"/>
    </row>
    <row r="84" spans="2:6" s="9" customFormat="1" x14ac:dyDescent="0.2">
      <c r="B84" s="9" t="s">
        <v>1076</v>
      </c>
      <c r="C84" s="49"/>
      <c r="D84" s="49"/>
      <c r="E84" s="49">
        <f>-E80</f>
        <v>87.304761904762017</v>
      </c>
      <c r="F84" s="48"/>
    </row>
    <row r="85" spans="2:6" s="9" customFormat="1" x14ac:dyDescent="0.2">
      <c r="B85" s="9" t="s">
        <v>621</v>
      </c>
      <c r="C85" s="49"/>
      <c r="D85" s="49"/>
      <c r="E85" s="49">
        <f>SUM(E82:E84)</f>
        <v>331</v>
      </c>
      <c r="F85" s="47"/>
    </row>
    <row r="86" spans="2:6" s="9" customFormat="1" x14ac:dyDescent="0.2">
      <c r="C86" s="49"/>
      <c r="D86" s="49"/>
      <c r="E86" s="49"/>
      <c r="F86" s="47"/>
    </row>
    <row r="87" spans="2:6" s="9" customFormat="1" x14ac:dyDescent="0.2">
      <c r="B87" s="9" t="s">
        <v>1077</v>
      </c>
      <c r="C87" s="49"/>
      <c r="D87" s="49"/>
      <c r="E87" s="49">
        <f>SUM(F88:F90)</f>
        <v>331</v>
      </c>
      <c r="F87" s="47"/>
    </row>
    <row r="88" spans="2:6" s="9" customFormat="1" x14ac:dyDescent="0.2">
      <c r="C88" s="49" t="s">
        <v>307</v>
      </c>
      <c r="D88" s="49"/>
      <c r="E88" s="49"/>
      <c r="F88" s="49">
        <f>+E82</f>
        <v>230.30028504359481</v>
      </c>
    </row>
    <row r="89" spans="2:6" s="9" customFormat="1" x14ac:dyDescent="0.2">
      <c r="C89" s="49" t="s">
        <v>843</v>
      </c>
      <c r="D89" s="49"/>
      <c r="E89" s="49"/>
      <c r="F89" s="49">
        <f>+E83</f>
        <v>13.394953051643192</v>
      </c>
    </row>
    <row r="90" spans="2:6" s="9" customFormat="1" x14ac:dyDescent="0.2">
      <c r="C90" s="49" t="s">
        <v>80</v>
      </c>
      <c r="D90" s="49"/>
      <c r="E90" s="49"/>
      <c r="F90" s="49">
        <f>+E84</f>
        <v>87.304761904762017</v>
      </c>
    </row>
    <row r="91" spans="2:6" s="9" customFormat="1" x14ac:dyDescent="0.2">
      <c r="B91" s="9" t="s">
        <v>624</v>
      </c>
      <c r="C91" s="49"/>
      <c r="D91" s="49"/>
      <c r="E91" s="49"/>
      <c r="F91" s="47"/>
    </row>
    <row r="92" spans="2:6" s="9" customFormat="1" x14ac:dyDescent="0.2">
      <c r="C92" s="49"/>
      <c r="D92" s="49"/>
      <c r="E92" s="49"/>
      <c r="F92" s="47"/>
    </row>
    <row r="93" spans="2:6" s="9" customFormat="1" x14ac:dyDescent="0.2"/>
    <row r="94" spans="2:6" s="7" customFormat="1" x14ac:dyDescent="0.2">
      <c r="B94" s="7" t="s">
        <v>249</v>
      </c>
      <c r="F94" s="7">
        <v>4000</v>
      </c>
    </row>
    <row r="95" spans="2:6" s="7" customFormat="1" x14ac:dyDescent="0.2">
      <c r="B95" s="7" t="s">
        <v>984</v>
      </c>
      <c r="F95" s="7">
        <f>+F94-F43</f>
        <v>-331</v>
      </c>
    </row>
    <row r="96" spans="2:6" s="7" customFormat="1" x14ac:dyDescent="0.2">
      <c r="B96" s="7" t="s">
        <v>985</v>
      </c>
      <c r="F96" s="7">
        <f>+F41</f>
        <v>214</v>
      </c>
    </row>
    <row r="97" spans="1:6" s="7" customFormat="1" x14ac:dyDescent="0.2">
      <c r="B97" s="7" t="s">
        <v>986</v>
      </c>
      <c r="F97" s="7">
        <f>+F95+F96</f>
        <v>-117</v>
      </c>
    </row>
    <row r="98" spans="1:6" s="7" customFormat="1" x14ac:dyDescent="0.2">
      <c r="B98" s="7" t="s">
        <v>987</v>
      </c>
    </row>
    <row r="99" spans="1:6" s="7" customFormat="1" x14ac:dyDescent="0.2"/>
    <row r="100" spans="1:6" s="7" customFormat="1" x14ac:dyDescent="0.2">
      <c r="C100" s="7">
        <f>+C39+C42</f>
        <v>1639</v>
      </c>
      <c r="D100" s="7">
        <f>+D39+D42</f>
        <v>1741</v>
      </c>
      <c r="E100" s="7">
        <f>+E39+E42</f>
        <v>547</v>
      </c>
    </row>
    <row r="101" spans="1:6" s="7" customFormat="1" x14ac:dyDescent="0.2">
      <c r="C101" s="41">
        <f>+C100/SUM($C$100:$E$100)</f>
        <v>0.4173669467787115</v>
      </c>
      <c r="D101" s="41">
        <f t="shared" ref="D101:E101" si="16">+D100/SUM($C$100:$E$100)</f>
        <v>0.44334097275273748</v>
      </c>
      <c r="E101" s="41">
        <f t="shared" si="16"/>
        <v>0.13929208046855104</v>
      </c>
    </row>
    <row r="102" spans="1:6" s="7" customFormat="1" x14ac:dyDescent="0.2">
      <c r="B102" s="7" t="s">
        <v>988</v>
      </c>
      <c r="C102" s="8">
        <f>+C101*$F$97</f>
        <v>-48.831932773109244</v>
      </c>
      <c r="D102" s="8">
        <f t="shared" ref="D102:E102" si="17">+D101*$F$97</f>
        <v>-51.870893812070285</v>
      </c>
      <c r="E102" s="8">
        <f t="shared" si="17"/>
        <v>-16.297173414820474</v>
      </c>
    </row>
    <row r="103" spans="1:6" s="7" customFormat="1" x14ac:dyDescent="0.2">
      <c r="C103" s="8"/>
      <c r="D103" s="8"/>
      <c r="E103" s="8"/>
    </row>
    <row r="104" spans="1:6" s="7" customFormat="1" x14ac:dyDescent="0.2">
      <c r="A104" s="7">
        <v>0.5</v>
      </c>
      <c r="B104" s="7" t="s">
        <v>1003</v>
      </c>
      <c r="C104" s="8">
        <f>+C43+C102</f>
        <v>1655.1680672268908</v>
      </c>
      <c r="D104" s="8">
        <f>+D43+D102</f>
        <v>1689.1291061879297</v>
      </c>
      <c r="E104" s="8">
        <f>+E43+E102</f>
        <v>655.70282658517954</v>
      </c>
    </row>
    <row r="105" spans="1:6" s="7" customFormat="1" x14ac:dyDescent="0.2"/>
    <row r="106" spans="1:6" s="7" customFormat="1" x14ac:dyDescent="0.2">
      <c r="B106" s="7" t="s">
        <v>989</v>
      </c>
    </row>
    <row r="107" spans="1:6" s="7" customFormat="1" x14ac:dyDescent="0.2">
      <c r="B107" s="7" t="s">
        <v>990</v>
      </c>
      <c r="E107" s="8">
        <f>SUM(F108:F111)</f>
        <v>331</v>
      </c>
    </row>
    <row r="108" spans="1:6" s="7" customFormat="1" x14ac:dyDescent="0.2">
      <c r="C108" s="7" t="s">
        <v>991</v>
      </c>
      <c r="F108" s="7">
        <f>+F96</f>
        <v>214</v>
      </c>
    </row>
    <row r="109" spans="1:6" s="7" customFormat="1" x14ac:dyDescent="0.2">
      <c r="C109" s="7" t="s">
        <v>992</v>
      </c>
      <c r="F109" s="8">
        <f>-C102</f>
        <v>48.831932773109244</v>
      </c>
    </row>
    <row r="110" spans="1:6" s="7" customFormat="1" x14ac:dyDescent="0.2">
      <c r="C110" s="7" t="s">
        <v>993</v>
      </c>
      <c r="F110" s="8">
        <f>-D102</f>
        <v>51.870893812070285</v>
      </c>
    </row>
    <row r="111" spans="1:6" s="7" customFormat="1" x14ac:dyDescent="0.2">
      <c r="C111" s="7" t="s">
        <v>994</v>
      </c>
      <c r="F111" s="8">
        <f>-E102</f>
        <v>16.297173414820474</v>
      </c>
    </row>
    <row r="112" spans="1:6" s="7" customFormat="1" x14ac:dyDescent="0.2">
      <c r="B112" s="7" t="s">
        <v>995</v>
      </c>
    </row>
    <row r="113" spans="1:6" s="7" customFormat="1" x14ac:dyDescent="0.2"/>
    <row r="114" spans="1:6" s="7" customFormat="1" x14ac:dyDescent="0.2"/>
    <row r="115" spans="1:6" s="7" customFormat="1" x14ac:dyDescent="0.2"/>
    <row r="116" spans="1:6" s="7" customFormat="1" x14ac:dyDescent="0.2">
      <c r="B116" s="7" t="s">
        <v>996</v>
      </c>
    </row>
    <row r="117" spans="1:6" s="7" customFormat="1" x14ac:dyDescent="0.2">
      <c r="B117" s="7" t="s">
        <v>32</v>
      </c>
      <c r="D117" s="8">
        <v>1680</v>
      </c>
    </row>
    <row r="118" spans="1:6" s="7" customFormat="1" x14ac:dyDescent="0.2">
      <c r="B118" s="7" t="s">
        <v>997</v>
      </c>
      <c r="D118" s="8">
        <v>-65</v>
      </c>
    </row>
    <row r="119" spans="1:6" s="7" customFormat="1" x14ac:dyDescent="0.2">
      <c r="B119" s="7" t="s">
        <v>32</v>
      </c>
      <c r="D119" s="8">
        <f>SUM(D117:D118)</f>
        <v>1615</v>
      </c>
    </row>
    <row r="120" spans="1:6" s="7" customFormat="1" x14ac:dyDescent="0.2">
      <c r="A120" s="7">
        <v>0.5</v>
      </c>
      <c r="B120" s="7" t="s">
        <v>302</v>
      </c>
      <c r="D120" s="8">
        <f>+C43</f>
        <v>1704</v>
      </c>
    </row>
    <row r="121" spans="1:6" s="7" customFormat="1" x14ac:dyDescent="0.2">
      <c r="B121" s="7" t="s">
        <v>998</v>
      </c>
      <c r="D121" s="8">
        <f>+D119-D120</f>
        <v>-89</v>
      </c>
    </row>
    <row r="122" spans="1:6" s="7" customFormat="1" x14ac:dyDescent="0.2"/>
    <row r="123" spans="1:6" s="7" customFormat="1" x14ac:dyDescent="0.2">
      <c r="B123" s="7" t="s">
        <v>1000</v>
      </c>
      <c r="E123" s="8">
        <f>+F124</f>
        <v>89</v>
      </c>
    </row>
    <row r="124" spans="1:6" s="7" customFormat="1" x14ac:dyDescent="0.2">
      <c r="C124" s="7" t="s">
        <v>999</v>
      </c>
      <c r="F124" s="8">
        <f>-D121</f>
        <v>89</v>
      </c>
    </row>
    <row r="125" spans="1:6" s="7" customFormat="1" x14ac:dyDescent="0.2">
      <c r="B125" s="7" t="s">
        <v>1001</v>
      </c>
      <c r="F125" s="8"/>
    </row>
    <row r="126" spans="1:6" s="7" customFormat="1" x14ac:dyDescent="0.2"/>
    <row r="127" spans="1:6" s="7" customFormat="1" x14ac:dyDescent="0.2"/>
    <row r="128" spans="1:6" s="7" customFormat="1" x14ac:dyDescent="0.2">
      <c r="B128" s="7" t="s">
        <v>1002</v>
      </c>
    </row>
    <row r="129" spans="1:5" s="7" customFormat="1" x14ac:dyDescent="0.2">
      <c r="C129" s="8">
        <v>950</v>
      </c>
    </row>
    <row r="130" spans="1:5" s="7" customFormat="1" x14ac:dyDescent="0.2">
      <c r="C130" s="8">
        <v>-15</v>
      </c>
    </row>
    <row r="131" spans="1:5" s="7" customFormat="1" x14ac:dyDescent="0.2">
      <c r="C131" s="8">
        <f>0.7*242</f>
        <v>169.39999999999998</v>
      </c>
    </row>
    <row r="132" spans="1:5" s="7" customFormat="1" x14ac:dyDescent="0.2">
      <c r="A132" s="7">
        <v>0</v>
      </c>
      <c r="B132" s="7" t="s">
        <v>32</v>
      </c>
      <c r="C132" s="8">
        <f>SUM(C129:C131)</f>
        <v>1104.4000000000001</v>
      </c>
    </row>
    <row r="133" spans="1:5" s="7" customFormat="1" x14ac:dyDescent="0.2">
      <c r="C133" s="8"/>
    </row>
    <row r="134" spans="1:5" s="7" customFormat="1" x14ac:dyDescent="0.2">
      <c r="B134" s="7" t="s">
        <v>1008</v>
      </c>
      <c r="C134" s="8"/>
    </row>
    <row r="135" spans="1:5" s="7" customFormat="1" x14ac:dyDescent="0.2">
      <c r="C135" s="8"/>
    </row>
    <row r="136" spans="1:5" s="7" customFormat="1" x14ac:dyDescent="0.2">
      <c r="B136" s="7" t="s">
        <v>5</v>
      </c>
    </row>
    <row r="137" spans="1:5" s="7" customFormat="1" x14ac:dyDescent="0.2">
      <c r="B137" s="27">
        <v>45107</v>
      </c>
      <c r="C137" s="7">
        <v>401</v>
      </c>
      <c r="D137" s="7">
        <v>0.90100000000000002</v>
      </c>
      <c r="E137" s="8">
        <f>+C137*D137</f>
        <v>361.30099999999999</v>
      </c>
    </row>
    <row r="138" spans="1:5" s="7" customFormat="1" x14ac:dyDescent="0.2">
      <c r="B138" s="27">
        <v>45473</v>
      </c>
      <c r="C138" s="7">
        <v>469</v>
      </c>
      <c r="D138" s="7">
        <v>0.81200000000000006</v>
      </c>
      <c r="E138" s="8">
        <f t="shared" ref="E138:E140" si="18">+C138*D138</f>
        <v>380.82800000000003</v>
      </c>
    </row>
    <row r="139" spans="1:5" s="7" customFormat="1" x14ac:dyDescent="0.2">
      <c r="B139" s="27">
        <v>45838</v>
      </c>
      <c r="C139" s="7">
        <v>534</v>
      </c>
      <c r="D139" s="7">
        <v>0.73099999999999998</v>
      </c>
      <c r="E139" s="8">
        <f t="shared" si="18"/>
        <v>390.35399999999998</v>
      </c>
    </row>
    <row r="140" spans="1:5" s="7" customFormat="1" x14ac:dyDescent="0.2">
      <c r="B140" s="27">
        <v>46203</v>
      </c>
      <c r="C140" s="7">
        <v>589</v>
      </c>
      <c r="D140" s="7">
        <v>0.65900000000000003</v>
      </c>
      <c r="E140" s="8">
        <f t="shared" si="18"/>
        <v>388.15100000000001</v>
      </c>
    </row>
    <row r="141" spans="1:5" s="7" customFormat="1" x14ac:dyDescent="0.2">
      <c r="B141" s="7" t="s">
        <v>83</v>
      </c>
      <c r="E141" s="8">
        <f>SUM(E137:E140)</f>
        <v>1520.634</v>
      </c>
    </row>
    <row r="142" spans="1:5" s="7" customFormat="1" x14ac:dyDescent="0.2">
      <c r="B142" s="7" t="s">
        <v>302</v>
      </c>
      <c r="E142" s="8">
        <f>+D104</f>
        <v>1689.1291061879297</v>
      </c>
    </row>
    <row r="143" spans="1:5" s="7" customFormat="1" ht="12.75" thickBot="1" x14ac:dyDescent="0.25">
      <c r="B143" s="7" t="s">
        <v>1007</v>
      </c>
      <c r="E143" s="42">
        <f>+E141-E142</f>
        <v>-168.49510618792965</v>
      </c>
    </row>
    <row r="144" spans="1:5" s="7" customFormat="1" ht="12.75" thickTop="1" x14ac:dyDescent="0.2"/>
    <row r="145" spans="1:5" s="7" customFormat="1" x14ac:dyDescent="0.2">
      <c r="B145" s="7" t="s">
        <v>36</v>
      </c>
      <c r="E145" s="8">
        <f>-E143</f>
        <v>168.49510618792965</v>
      </c>
    </row>
    <row r="146" spans="1:5" s="7" customFormat="1" x14ac:dyDescent="0.2">
      <c r="C146" s="7" t="s">
        <v>1009</v>
      </c>
    </row>
    <row r="147" spans="1:5" s="7" customFormat="1" x14ac:dyDescent="0.2">
      <c r="B147" s="7" t="s">
        <v>1010</v>
      </c>
    </row>
    <row r="148" spans="1:5" s="7" customFormat="1" x14ac:dyDescent="0.2"/>
    <row r="149" spans="1:5" s="7" customFormat="1" x14ac:dyDescent="0.2"/>
    <row r="150" spans="1:5" s="7" customFormat="1" x14ac:dyDescent="0.2"/>
    <row r="151" spans="1:5" s="7" customFormat="1" x14ac:dyDescent="0.2">
      <c r="B151" s="7" t="s">
        <v>1006</v>
      </c>
    </row>
    <row r="152" spans="1:5" s="7" customFormat="1" x14ac:dyDescent="0.2">
      <c r="B152" s="7" t="s">
        <v>543</v>
      </c>
    </row>
    <row r="153" spans="1:5" s="7" customFormat="1" x14ac:dyDescent="0.2">
      <c r="B153" s="7" t="s">
        <v>32</v>
      </c>
      <c r="C153" s="7">
        <v>115</v>
      </c>
    </row>
    <row r="154" spans="1:5" s="7" customFormat="1" x14ac:dyDescent="0.2">
      <c r="B154" s="7" t="s">
        <v>302</v>
      </c>
      <c r="C154" s="7">
        <f>+E40</f>
        <v>125</v>
      </c>
    </row>
    <row r="155" spans="1:5" s="7" customFormat="1" ht="12.75" thickBot="1" x14ac:dyDescent="0.25">
      <c r="A155" s="7">
        <v>0.5</v>
      </c>
      <c r="B155" s="7" t="s">
        <v>399</v>
      </c>
      <c r="C155" s="40">
        <f>+C153-C154</f>
        <v>-10</v>
      </c>
      <c r="D155" s="7" t="s">
        <v>1011</v>
      </c>
    </row>
    <row r="156" spans="1:5" s="7" customFormat="1" ht="12.75" thickTop="1" x14ac:dyDescent="0.2"/>
    <row r="157" spans="1:5" s="7" customFormat="1" x14ac:dyDescent="0.2">
      <c r="B157" s="7" t="s">
        <v>32</v>
      </c>
      <c r="C157" s="8">
        <v>680</v>
      </c>
    </row>
    <row r="158" spans="1:5" s="7" customFormat="1" x14ac:dyDescent="0.2">
      <c r="A158" s="7">
        <v>0.5</v>
      </c>
      <c r="B158" s="7" t="s">
        <v>236</v>
      </c>
      <c r="C158" s="8">
        <f>-0.12*C157</f>
        <v>-81.599999999999994</v>
      </c>
    </row>
    <row r="159" spans="1:5" s="7" customFormat="1" x14ac:dyDescent="0.2">
      <c r="B159" s="7" t="s">
        <v>32</v>
      </c>
      <c r="C159" s="8">
        <f>SUM(C157:C158)</f>
        <v>598.4</v>
      </c>
    </row>
    <row r="160" spans="1:5" s="7" customFormat="1" x14ac:dyDescent="0.2">
      <c r="B160" s="7" t="s">
        <v>83</v>
      </c>
      <c r="C160" s="8">
        <v>608</v>
      </c>
      <c r="D160" s="7" t="s">
        <v>1013</v>
      </c>
    </row>
    <row r="161" spans="2:7" s="7" customFormat="1" x14ac:dyDescent="0.2">
      <c r="B161" s="7" t="s">
        <v>302</v>
      </c>
      <c r="C161" s="8">
        <f>+E104</f>
        <v>655.70282658517954</v>
      </c>
    </row>
    <row r="162" spans="2:7" s="7" customFormat="1" x14ac:dyDescent="0.2">
      <c r="B162" s="7" t="s">
        <v>79</v>
      </c>
      <c r="C162" s="8">
        <f>+C160-C161</f>
        <v>-47.702826585179537</v>
      </c>
    </row>
    <row r="163" spans="2:7" s="7" customFormat="1" x14ac:dyDescent="0.2">
      <c r="B163" s="7" t="s">
        <v>592</v>
      </c>
      <c r="C163" s="7">
        <f>-C155</f>
        <v>10</v>
      </c>
    </row>
    <row r="164" spans="2:7" s="7" customFormat="1" x14ac:dyDescent="0.2">
      <c r="B164" s="7" t="s">
        <v>602</v>
      </c>
      <c r="C164" s="8">
        <f>SUM(C162:C163)</f>
        <v>-37.702826585179537</v>
      </c>
    </row>
    <row r="165" spans="2:7" s="7" customFormat="1" x14ac:dyDescent="0.2">
      <c r="C165" s="8"/>
    </row>
    <row r="166" spans="2:7" s="7" customFormat="1" x14ac:dyDescent="0.2">
      <c r="B166" s="7" t="s">
        <v>36</v>
      </c>
      <c r="C166" s="8"/>
      <c r="E166" s="8">
        <f>SUM(F167:F168)</f>
        <v>47.702826585179537</v>
      </c>
    </row>
    <row r="167" spans="2:7" s="7" customFormat="1" x14ac:dyDescent="0.2">
      <c r="C167" s="7" t="s">
        <v>582</v>
      </c>
      <c r="F167" s="7">
        <f>-C155</f>
        <v>10</v>
      </c>
    </row>
    <row r="168" spans="2:7" s="7" customFormat="1" x14ac:dyDescent="0.2">
      <c r="C168" s="7" t="s">
        <v>881</v>
      </c>
      <c r="F168" s="8">
        <f>-C164</f>
        <v>37.702826585179537</v>
      </c>
    </row>
    <row r="169" spans="2:7" s="7" customFormat="1" x14ac:dyDescent="0.2">
      <c r="B169" s="7" t="s">
        <v>1012</v>
      </c>
    </row>
    <row r="172" spans="2:7" x14ac:dyDescent="0.2">
      <c r="B172" s="39" t="s">
        <v>982</v>
      </c>
      <c r="F172" s="1">
        <v>149</v>
      </c>
    </row>
    <row r="173" spans="2:7" x14ac:dyDescent="0.2">
      <c r="B173" s="1" t="s">
        <v>979</v>
      </c>
      <c r="F173" s="1">
        <v>224</v>
      </c>
    </row>
    <row r="174" spans="2:7" x14ac:dyDescent="0.2">
      <c r="B174" s="1" t="s">
        <v>1014</v>
      </c>
      <c r="F174" s="1">
        <f>SUM(F173:F173)</f>
        <v>224</v>
      </c>
    </row>
    <row r="176" spans="2:7" x14ac:dyDescent="0.2">
      <c r="B176" s="1" t="s">
        <v>1080</v>
      </c>
      <c r="C176" s="1" t="s">
        <v>1081</v>
      </c>
      <c r="D176" s="1" t="s">
        <v>244</v>
      </c>
      <c r="E176" s="1" t="s">
        <v>34</v>
      </c>
      <c r="F176" s="1" t="s">
        <v>1082</v>
      </c>
      <c r="G176" s="1" t="s">
        <v>1083</v>
      </c>
    </row>
    <row r="177" spans="2:7" x14ac:dyDescent="0.2">
      <c r="B177" s="3">
        <v>44377</v>
      </c>
      <c r="C177" s="4">
        <v>0.06</v>
      </c>
      <c r="D177" s="1">
        <v>15.25</v>
      </c>
      <c r="E177" s="1">
        <v>250</v>
      </c>
      <c r="F177" s="6">
        <f>+C177*D177*E177</f>
        <v>228.74999999999997</v>
      </c>
      <c r="G177" s="6"/>
    </row>
    <row r="178" spans="2:7" x14ac:dyDescent="0.2">
      <c r="B178" s="3">
        <v>44742</v>
      </c>
      <c r="C178" s="4">
        <v>0.04</v>
      </c>
      <c r="D178" s="1">
        <v>14</v>
      </c>
      <c r="E178" s="1">
        <v>250</v>
      </c>
      <c r="F178" s="6">
        <f>+C178*D178*E178</f>
        <v>140</v>
      </c>
      <c r="G178" s="6"/>
    </row>
    <row r="179" spans="2:7" x14ac:dyDescent="0.2">
      <c r="B179" s="3">
        <v>44742</v>
      </c>
      <c r="C179" s="4">
        <v>0.06</v>
      </c>
      <c r="D179" s="1">
        <v>14</v>
      </c>
      <c r="E179" s="1">
        <v>250</v>
      </c>
      <c r="F179" s="6"/>
      <c r="G179" s="6">
        <f>+C179*D179*E179</f>
        <v>210</v>
      </c>
    </row>
    <row r="180" spans="2:7" x14ac:dyDescent="0.2">
      <c r="F180" s="6">
        <f>SUM(F177:F179)</f>
        <v>368.75</v>
      </c>
      <c r="G180" s="6">
        <f>SUM(G177:G179)</f>
        <v>210</v>
      </c>
    </row>
    <row r="182" spans="2:7" x14ac:dyDescent="0.2">
      <c r="B182" s="1" t="s">
        <v>1084</v>
      </c>
      <c r="F182" s="1">
        <f>+F172</f>
        <v>149</v>
      </c>
      <c r="G182" s="1">
        <f>+F173</f>
        <v>224</v>
      </c>
    </row>
    <row r="183" spans="2:7" x14ac:dyDescent="0.2">
      <c r="B183" s="1" t="s">
        <v>1085</v>
      </c>
      <c r="F183" s="1">
        <v>-140</v>
      </c>
      <c r="G183" s="1">
        <v>0</v>
      </c>
    </row>
    <row r="184" spans="2:7" x14ac:dyDescent="0.2">
      <c r="B184" s="1" t="s">
        <v>1086</v>
      </c>
      <c r="F184" s="1">
        <f>SUM(F182:F183)</f>
        <v>9</v>
      </c>
      <c r="G184" s="1">
        <f>SUM(G182:G183)</f>
        <v>224</v>
      </c>
    </row>
    <row r="186" spans="2:7" x14ac:dyDescent="0.2">
      <c r="B186" s="1" t="s">
        <v>1087</v>
      </c>
      <c r="F186" s="6">
        <f>+F180-F184</f>
        <v>359.75</v>
      </c>
      <c r="G186" s="6">
        <f>+G180-G184</f>
        <v>-14</v>
      </c>
    </row>
    <row r="189" spans="2:7" x14ac:dyDescent="0.2">
      <c r="B189" s="1" t="s">
        <v>1088</v>
      </c>
      <c r="E189" s="1">
        <f>-F183</f>
        <v>140</v>
      </c>
    </row>
    <row r="190" spans="2:7" x14ac:dyDescent="0.2">
      <c r="C190" s="1" t="s">
        <v>1089</v>
      </c>
      <c r="F190" s="1">
        <f>+E189</f>
        <v>140</v>
      </c>
    </row>
    <row r="191" spans="2:7" x14ac:dyDescent="0.2">
      <c r="B191" s="1" t="s">
        <v>1090</v>
      </c>
    </row>
    <row r="193" spans="2:8" x14ac:dyDescent="0.2">
      <c r="B193" s="1" t="s">
        <v>1091</v>
      </c>
      <c r="E193" s="6">
        <f>+F195-E194</f>
        <v>345.75</v>
      </c>
    </row>
    <row r="194" spans="2:8" x14ac:dyDescent="0.2">
      <c r="B194" s="1" t="s">
        <v>1092</v>
      </c>
      <c r="E194" s="6">
        <f>-G186</f>
        <v>14</v>
      </c>
    </row>
    <row r="195" spans="2:8" x14ac:dyDescent="0.2">
      <c r="C195" s="1" t="s">
        <v>1031</v>
      </c>
      <c r="F195" s="6">
        <f>+F186</f>
        <v>359.75</v>
      </c>
    </row>
    <row r="196" spans="2:8" x14ac:dyDescent="0.2">
      <c r="B196" s="1" t="s">
        <v>1093</v>
      </c>
    </row>
    <row r="200" spans="2:8" s="7" customFormat="1" x14ac:dyDescent="0.2">
      <c r="D200" s="53" t="s">
        <v>1020</v>
      </c>
      <c r="E200" s="53"/>
      <c r="F200" s="53" t="s">
        <v>1021</v>
      </c>
      <c r="G200" s="53"/>
    </row>
    <row r="201" spans="2:8" s="7" customFormat="1" x14ac:dyDescent="0.2">
      <c r="B201" s="7" t="s">
        <v>1015</v>
      </c>
      <c r="C201" s="7">
        <v>15.25</v>
      </c>
      <c r="D201" s="7" t="s">
        <v>1019</v>
      </c>
      <c r="E201" s="7" t="s">
        <v>1018</v>
      </c>
      <c r="F201" s="7" t="s">
        <v>1019</v>
      </c>
      <c r="G201" s="7" t="s">
        <v>1018</v>
      </c>
    </row>
    <row r="202" spans="2:8" s="7" customFormat="1" x14ac:dyDescent="0.2">
      <c r="B202" s="7" t="s">
        <v>1017</v>
      </c>
      <c r="C202" s="41">
        <v>0.04</v>
      </c>
      <c r="D202" s="7">
        <v>245</v>
      </c>
      <c r="E202" s="8">
        <f>+C202*D202*C201</f>
        <v>149.45000000000002</v>
      </c>
      <c r="F202" s="7">
        <v>250</v>
      </c>
      <c r="G202" s="7">
        <v>140</v>
      </c>
      <c r="H202" s="8">
        <f>+G202-E202</f>
        <v>-9.4500000000000171</v>
      </c>
    </row>
    <row r="203" spans="2:8" s="7" customFormat="1" x14ac:dyDescent="0.2">
      <c r="B203" s="7" t="s">
        <v>1016</v>
      </c>
      <c r="C203" s="41">
        <v>0.06</v>
      </c>
      <c r="D203" s="7">
        <v>245</v>
      </c>
      <c r="E203" s="8">
        <f>+C203*D203*C201</f>
        <v>224.17499999999998</v>
      </c>
      <c r="F203" s="7">
        <v>250</v>
      </c>
      <c r="G203" s="7">
        <f>192-G202</f>
        <v>52</v>
      </c>
      <c r="H203" s="8">
        <f>+G203-E203</f>
        <v>-172.17499999999998</v>
      </c>
    </row>
    <row r="204" spans="2:8" s="7" customFormat="1" x14ac:dyDescent="0.2"/>
    <row r="205" spans="2:8" s="7" customFormat="1" x14ac:dyDescent="0.2"/>
    <row r="206" spans="2:8" s="7" customFormat="1" x14ac:dyDescent="0.2">
      <c r="B206" s="27">
        <v>44377</v>
      </c>
      <c r="C206" s="7" t="s">
        <v>1022</v>
      </c>
      <c r="D206" s="7" t="s">
        <v>1023</v>
      </c>
    </row>
    <row r="207" spans="2:8" s="7" customFormat="1" x14ac:dyDescent="0.2">
      <c r="B207" s="54" t="s">
        <v>1024</v>
      </c>
      <c r="C207" s="41">
        <v>0.04</v>
      </c>
      <c r="D207" s="41">
        <v>0.06</v>
      </c>
      <c r="E207" s="41"/>
    </row>
    <row r="208" spans="2:8" s="7" customFormat="1" x14ac:dyDescent="0.2">
      <c r="B208" s="54" t="s">
        <v>1025</v>
      </c>
      <c r="C208" s="7">
        <v>245</v>
      </c>
      <c r="D208" s="7">
        <v>245</v>
      </c>
    </row>
    <row r="209" spans="1:6" s="7" customFormat="1" x14ac:dyDescent="0.2">
      <c r="B209" s="54" t="s">
        <v>1026</v>
      </c>
      <c r="D209" s="8"/>
      <c r="E209" s="8">
        <v>15.25</v>
      </c>
    </row>
    <row r="210" spans="1:6" s="7" customFormat="1" x14ac:dyDescent="0.2">
      <c r="B210" s="54" t="s">
        <v>738</v>
      </c>
      <c r="C210" s="8">
        <f>+C207*C208*$E$209</f>
        <v>149.45000000000002</v>
      </c>
      <c r="D210" s="8">
        <f>+D207*D208*$E$209</f>
        <v>224.17499999999998</v>
      </c>
    </row>
    <row r="211" spans="1:6" s="7" customFormat="1" x14ac:dyDescent="0.2">
      <c r="B211" s="54"/>
      <c r="C211" s="7">
        <v>192</v>
      </c>
    </row>
    <row r="212" spans="1:6" s="7" customFormat="1" x14ac:dyDescent="0.2">
      <c r="B212" s="54"/>
      <c r="C212" s="8">
        <f>+C211-C210</f>
        <v>42.549999999999983</v>
      </c>
    </row>
    <row r="213" spans="1:6" s="7" customFormat="1" x14ac:dyDescent="0.2">
      <c r="B213" s="54"/>
    </row>
    <row r="214" spans="1:6" s="7" customFormat="1" x14ac:dyDescent="0.2">
      <c r="B214" s="54" t="s">
        <v>1034</v>
      </c>
      <c r="E214" s="8">
        <f>+C210</f>
        <v>149.45000000000002</v>
      </c>
    </row>
    <row r="215" spans="1:6" s="7" customFormat="1" x14ac:dyDescent="0.2">
      <c r="B215" s="54"/>
      <c r="C215" s="7" t="s">
        <v>1033</v>
      </c>
      <c r="F215" s="8">
        <f>+C210</f>
        <v>149.45000000000002</v>
      </c>
    </row>
    <row r="216" spans="1:6" s="7" customFormat="1" x14ac:dyDescent="0.2">
      <c r="B216" s="54" t="s">
        <v>1035</v>
      </c>
    </row>
    <row r="217" spans="1:6" s="7" customFormat="1" x14ac:dyDescent="0.2">
      <c r="B217" s="54"/>
    </row>
    <row r="218" spans="1:6" s="7" customFormat="1" x14ac:dyDescent="0.2">
      <c r="B218" s="54"/>
    </row>
    <row r="219" spans="1:6" s="7" customFormat="1" x14ac:dyDescent="0.2">
      <c r="B219" s="27">
        <v>44742</v>
      </c>
      <c r="C219" s="7" t="s">
        <v>1022</v>
      </c>
      <c r="D219" s="7" t="s">
        <v>1022</v>
      </c>
      <c r="E219" s="7" t="s">
        <v>1027</v>
      </c>
    </row>
    <row r="220" spans="1:6" s="7" customFormat="1" x14ac:dyDescent="0.2">
      <c r="B220" s="54" t="s">
        <v>1024</v>
      </c>
      <c r="C220" s="41">
        <v>0.06</v>
      </c>
      <c r="D220" s="41">
        <v>0.04</v>
      </c>
      <c r="E220" s="41">
        <v>0.06</v>
      </c>
      <c r="F220" s="41"/>
    </row>
    <row r="221" spans="1:6" s="7" customFormat="1" x14ac:dyDescent="0.2">
      <c r="B221" s="54" t="s">
        <v>1025</v>
      </c>
      <c r="C221" s="7">
        <v>250</v>
      </c>
      <c r="D221" s="7">
        <v>250</v>
      </c>
      <c r="E221" s="7">
        <v>250</v>
      </c>
    </row>
    <row r="222" spans="1:6" s="7" customFormat="1" x14ac:dyDescent="0.2">
      <c r="B222" s="54" t="s">
        <v>1026</v>
      </c>
      <c r="D222" s="8"/>
      <c r="E222" s="8"/>
      <c r="F222" s="8">
        <v>14</v>
      </c>
    </row>
    <row r="223" spans="1:6" s="7" customFormat="1" x14ac:dyDescent="0.2">
      <c r="A223" s="7">
        <v>2</v>
      </c>
      <c r="B223" s="54" t="s">
        <v>738</v>
      </c>
      <c r="C223" s="8">
        <f>+C220*C221*$E$209</f>
        <v>228.75</v>
      </c>
      <c r="D223" s="8">
        <f>+D220*D221*$F$222</f>
        <v>140</v>
      </c>
      <c r="E223" s="8">
        <f>+E220*E221*$F$222</f>
        <v>210</v>
      </c>
      <c r="F223" s="8">
        <f>SUM(C223:E223)</f>
        <v>578.75</v>
      </c>
    </row>
    <row r="224" spans="1:6" s="7" customFormat="1" x14ac:dyDescent="0.2"/>
    <row r="225" spans="2:6" s="7" customFormat="1" x14ac:dyDescent="0.2">
      <c r="B225" s="7" t="s">
        <v>1028</v>
      </c>
      <c r="C225" s="27">
        <v>44742</v>
      </c>
    </row>
    <row r="226" spans="2:6" s="7" customFormat="1" x14ac:dyDescent="0.2"/>
    <row r="227" spans="2:6" s="7" customFormat="1" x14ac:dyDescent="0.2">
      <c r="B227" s="7" t="s">
        <v>1029</v>
      </c>
      <c r="E227" s="8">
        <f>+F223</f>
        <v>578.75</v>
      </c>
    </row>
    <row r="228" spans="2:6" s="7" customFormat="1" x14ac:dyDescent="0.2">
      <c r="C228" s="7" t="s">
        <v>1031</v>
      </c>
      <c r="E228" s="8"/>
      <c r="F228" s="8">
        <f>SUM(C223:D223)</f>
        <v>368.75</v>
      </c>
    </row>
    <row r="229" spans="2:6" s="7" customFormat="1" x14ac:dyDescent="0.2">
      <c r="C229" s="7" t="s">
        <v>1032</v>
      </c>
      <c r="F229" s="8">
        <f>+E223</f>
        <v>210</v>
      </c>
    </row>
    <row r="230" spans="2:6" s="7" customFormat="1" x14ac:dyDescent="0.2">
      <c r="B230" s="7" t="s">
        <v>1030</v>
      </c>
    </row>
    <row r="234" spans="2:6" x14ac:dyDescent="0.2">
      <c r="B234" s="1" t="s">
        <v>1036</v>
      </c>
    </row>
    <row r="235" spans="2:6" x14ac:dyDescent="0.2">
      <c r="B235" s="3">
        <v>44501</v>
      </c>
    </row>
    <row r="236" spans="2:6" x14ac:dyDescent="0.2">
      <c r="B236" s="6">
        <v>20</v>
      </c>
      <c r="C236" s="1" t="s">
        <v>1039</v>
      </c>
    </row>
    <row r="237" spans="2:6" x14ac:dyDescent="0.2">
      <c r="B237" s="1">
        <v>1600</v>
      </c>
      <c r="C237" s="1" t="s">
        <v>1037</v>
      </c>
    </row>
    <row r="238" spans="2:6" x14ac:dyDescent="0.2">
      <c r="B238" s="1" t="s">
        <v>1038</v>
      </c>
    </row>
    <row r="239" spans="2:6" x14ac:dyDescent="0.2">
      <c r="B239" s="6">
        <f>+B236*B237*12</f>
        <v>384000</v>
      </c>
      <c r="C239" s="1" t="s">
        <v>1040</v>
      </c>
    </row>
    <row r="241" spans="1:6" x14ac:dyDescent="0.2">
      <c r="B241" s="1" t="s">
        <v>1041</v>
      </c>
      <c r="C241" s="6">
        <v>400</v>
      </c>
    </row>
    <row r="242" spans="1:6" x14ac:dyDescent="0.2">
      <c r="C242" s="6"/>
    </row>
    <row r="243" spans="1:6" x14ac:dyDescent="0.2">
      <c r="C243" s="1" t="s">
        <v>1094</v>
      </c>
    </row>
    <row r="244" spans="1:6" x14ac:dyDescent="0.2">
      <c r="B244" s="3">
        <v>44742</v>
      </c>
      <c r="C244" s="6">
        <f>YEARFRAC(B235,B244)*12</f>
        <v>7.9666666666666668</v>
      </c>
      <c r="D244" s="6">
        <f>+B236*B237*C244</f>
        <v>254933.33333333334</v>
      </c>
    </row>
    <row r="245" spans="1:6" x14ac:dyDescent="0.2">
      <c r="B245" s="3">
        <v>44804</v>
      </c>
      <c r="C245" s="6">
        <f>YEARFRAC(B244,B245)*12</f>
        <v>2</v>
      </c>
      <c r="D245" s="6">
        <f>+B236*B237*C245</f>
        <v>64000</v>
      </c>
    </row>
    <row r="246" spans="1:6" x14ac:dyDescent="0.2">
      <c r="B246" s="3">
        <v>45230</v>
      </c>
      <c r="C246" s="6">
        <f>YEARFRAC(B245,B246)*12</f>
        <v>14</v>
      </c>
      <c r="D246" s="6">
        <f>+B236*B237*C246</f>
        <v>448000</v>
      </c>
    </row>
    <row r="247" spans="1:6" x14ac:dyDescent="0.2">
      <c r="C247" s="6">
        <f>SUM(C244:C246)</f>
        <v>23.966666666666669</v>
      </c>
      <c r="D247" s="6"/>
    </row>
    <row r="248" spans="1:6" x14ac:dyDescent="0.2">
      <c r="C248" s="6"/>
    </row>
    <row r="249" spans="1:6" x14ac:dyDescent="0.2">
      <c r="C249" s="6"/>
    </row>
    <row r="250" spans="1:6" x14ac:dyDescent="0.2">
      <c r="A250" s="1">
        <v>0.5</v>
      </c>
      <c r="B250" s="1" t="s">
        <v>1042</v>
      </c>
    </row>
    <row r="251" spans="1:6" x14ac:dyDescent="0.2">
      <c r="A251" s="1">
        <v>0.5</v>
      </c>
      <c r="B251" s="1" t="s">
        <v>1095</v>
      </c>
    </row>
    <row r="252" spans="1:6" x14ac:dyDescent="0.2">
      <c r="A252" s="1">
        <v>1</v>
      </c>
      <c r="B252" s="1" t="s">
        <v>1043</v>
      </c>
    </row>
    <row r="254" spans="1:6" x14ac:dyDescent="0.2">
      <c r="B254" s="1" t="s">
        <v>1103</v>
      </c>
      <c r="E254" s="6">
        <f>+C241</f>
        <v>400</v>
      </c>
    </row>
    <row r="255" spans="1:6" x14ac:dyDescent="0.2">
      <c r="C255" s="1" t="s">
        <v>1044</v>
      </c>
      <c r="F255" s="1">
        <f>+E254</f>
        <v>400</v>
      </c>
    </row>
    <row r="256" spans="1:6" x14ac:dyDescent="0.2">
      <c r="B256" s="1" t="s">
        <v>1045</v>
      </c>
    </row>
    <row r="259" spans="1:4" x14ac:dyDescent="0.2">
      <c r="A259" s="1">
        <v>1</v>
      </c>
      <c r="B259" s="1" t="s">
        <v>1046</v>
      </c>
    </row>
    <row r="260" spans="1:4" x14ac:dyDescent="0.2">
      <c r="A260" s="1">
        <v>0.5</v>
      </c>
      <c r="B260" s="1" t="s">
        <v>1047</v>
      </c>
    </row>
    <row r="261" spans="1:4" x14ac:dyDescent="0.2">
      <c r="A261" s="1">
        <v>0.5</v>
      </c>
      <c r="B261" s="1" t="s">
        <v>1048</v>
      </c>
    </row>
    <row r="262" spans="1:4" x14ac:dyDescent="0.2">
      <c r="B262" s="1" t="s">
        <v>1049</v>
      </c>
    </row>
    <row r="263" spans="1:4" x14ac:dyDescent="0.2">
      <c r="B263" s="1" t="s">
        <v>1050</v>
      </c>
    </row>
    <row r="265" spans="1:4" x14ac:dyDescent="0.2">
      <c r="C265" s="1" t="s">
        <v>213</v>
      </c>
    </row>
    <row r="266" spans="1:4" x14ac:dyDescent="0.2">
      <c r="B266" s="1" t="s">
        <v>1051</v>
      </c>
      <c r="C266" s="1">
        <v>-165</v>
      </c>
      <c r="D266" s="1" t="s">
        <v>1052</v>
      </c>
    </row>
    <row r="267" spans="1:4" x14ac:dyDescent="0.2">
      <c r="B267" s="1" t="s">
        <v>1053</v>
      </c>
      <c r="C267" s="1">
        <v>247</v>
      </c>
      <c r="D267" s="1" t="s">
        <v>1054</v>
      </c>
    </row>
    <row r="268" spans="1:4" x14ac:dyDescent="0.2">
      <c r="B268" s="1" t="s">
        <v>1055</v>
      </c>
      <c r="C268" s="1">
        <v>24</v>
      </c>
      <c r="D268" s="1" t="s">
        <v>1096</v>
      </c>
    </row>
    <row r="269" spans="1:4" x14ac:dyDescent="0.2">
      <c r="B269" s="1" t="s">
        <v>1056</v>
      </c>
      <c r="C269" s="1">
        <v>11</v>
      </c>
      <c r="D269" s="1" t="s">
        <v>1057</v>
      </c>
    </row>
    <row r="270" spans="1:4" x14ac:dyDescent="0.2">
      <c r="B270" s="1" t="s">
        <v>1058</v>
      </c>
      <c r="C270" s="1">
        <v>4</v>
      </c>
      <c r="D270" s="1" t="s">
        <v>1059</v>
      </c>
    </row>
    <row r="272" spans="1:4" x14ac:dyDescent="0.2">
      <c r="B272" s="1" t="s">
        <v>1060</v>
      </c>
      <c r="C272" s="1">
        <f>247-C269</f>
        <v>236</v>
      </c>
      <c r="D272" s="1" t="s">
        <v>1061</v>
      </c>
    </row>
    <row r="274" spans="1:6" x14ac:dyDescent="0.2">
      <c r="B274" s="1" t="s">
        <v>1103</v>
      </c>
      <c r="E274" s="1">
        <f>+F275</f>
        <v>236</v>
      </c>
    </row>
    <row r="275" spans="1:6" x14ac:dyDescent="0.2">
      <c r="A275" s="1">
        <v>0.5</v>
      </c>
      <c r="C275" s="1" t="s">
        <v>1062</v>
      </c>
      <c r="F275" s="1">
        <f>+C272</f>
        <v>236</v>
      </c>
    </row>
    <row r="276" spans="1:6" x14ac:dyDescent="0.2">
      <c r="B276" s="1" t="s">
        <v>1063</v>
      </c>
    </row>
    <row r="279" spans="1:6" x14ac:dyDescent="0.2">
      <c r="B279" s="1" t="s">
        <v>72</v>
      </c>
    </row>
    <row r="280" spans="1:6" x14ac:dyDescent="0.2">
      <c r="B280" s="1" t="s">
        <v>1097</v>
      </c>
    </row>
    <row r="281" spans="1:6" x14ac:dyDescent="0.2">
      <c r="B281" s="1" t="s">
        <v>1098</v>
      </c>
      <c r="F281" s="6">
        <f>+F11</f>
        <v>1693</v>
      </c>
    </row>
    <row r="282" spans="1:6" x14ac:dyDescent="0.2">
      <c r="B282" s="1" t="s">
        <v>1099</v>
      </c>
      <c r="F282" s="6">
        <f>-E87</f>
        <v>-331</v>
      </c>
    </row>
    <row r="283" spans="1:6" x14ac:dyDescent="0.2">
      <c r="B283" s="1" t="s">
        <v>1100</v>
      </c>
      <c r="F283" s="6">
        <f>+F190</f>
        <v>140</v>
      </c>
    </row>
    <row r="284" spans="1:6" x14ac:dyDescent="0.2">
      <c r="B284" s="1" t="s">
        <v>1101</v>
      </c>
      <c r="F284" s="6">
        <f>-+E193</f>
        <v>-345.75</v>
      </c>
    </row>
    <row r="285" spans="1:6" x14ac:dyDescent="0.2">
      <c r="B285" s="1" t="s">
        <v>1102</v>
      </c>
      <c r="F285" s="6">
        <f>-+E254</f>
        <v>-400</v>
      </c>
    </row>
    <row r="286" spans="1:6" x14ac:dyDescent="0.2">
      <c r="B286" s="1" t="s">
        <v>1104</v>
      </c>
      <c r="F286" s="6">
        <f>-E274</f>
        <v>-236</v>
      </c>
    </row>
    <row r="287" spans="1:6" ht="12.75" thickBot="1" x14ac:dyDescent="0.25">
      <c r="F287" s="14">
        <f>SUM(F281:F286)</f>
        <v>520.25</v>
      </c>
    </row>
    <row r="288" spans="1:6" ht="12.75" thickTop="1" x14ac:dyDescent="0.2"/>
    <row r="289" spans="2:6" x14ac:dyDescent="0.2">
      <c r="B289" s="1" t="s">
        <v>1077</v>
      </c>
      <c r="E289" s="6">
        <f>+F287</f>
        <v>520.25</v>
      </c>
    </row>
    <row r="290" spans="2:6" x14ac:dyDescent="0.2">
      <c r="C290" s="1" t="s">
        <v>1105</v>
      </c>
      <c r="F290" s="6">
        <f>+E289</f>
        <v>520.25</v>
      </c>
    </row>
    <row r="291" spans="2:6" x14ac:dyDescent="0.2">
      <c r="B291" s="1" t="s">
        <v>1106</v>
      </c>
    </row>
    <row r="293" spans="2:6" x14ac:dyDescent="0.2">
      <c r="B293" s="1" t="s">
        <v>1107</v>
      </c>
    </row>
    <row r="294" spans="2:6" x14ac:dyDescent="0.2">
      <c r="B294" s="1" t="s">
        <v>1108</v>
      </c>
      <c r="E294" s="1">
        <f>+E12</f>
        <v>500</v>
      </c>
    </row>
    <row r="295" spans="2:6" x14ac:dyDescent="0.2">
      <c r="C295" s="1" t="s">
        <v>1109</v>
      </c>
      <c r="F295" s="1">
        <f>+E294</f>
        <v>500</v>
      </c>
    </row>
    <row r="296" spans="2:6" x14ac:dyDescent="0.2">
      <c r="B296" s="1" t="s">
        <v>1110</v>
      </c>
    </row>
    <row r="298" spans="2:6" x14ac:dyDescent="0.2">
      <c r="B298" s="1" t="s">
        <v>965</v>
      </c>
      <c r="C298" s="6">
        <v>-1172.75</v>
      </c>
    </row>
    <row r="299" spans="2:6" x14ac:dyDescent="0.2">
      <c r="B299" s="1" t="s">
        <v>966</v>
      </c>
      <c r="C299" s="6">
        <v>0</v>
      </c>
    </row>
    <row r="300" spans="2:6" x14ac:dyDescent="0.2">
      <c r="B300" s="1" t="s">
        <v>811</v>
      </c>
      <c r="C300" s="6">
        <v>7453</v>
      </c>
    </row>
    <row r="301" spans="2:6" x14ac:dyDescent="0.2">
      <c r="B301" s="1" t="s">
        <v>812</v>
      </c>
      <c r="C301" s="6">
        <v>-3756</v>
      </c>
    </row>
    <row r="302" spans="2:6" x14ac:dyDescent="0.2">
      <c r="B302" s="1" t="s">
        <v>405</v>
      </c>
      <c r="C302" s="6">
        <v>127</v>
      </c>
    </row>
    <row r="303" spans="2:6" x14ac:dyDescent="0.2">
      <c r="B303" s="1" t="s">
        <v>967</v>
      </c>
      <c r="C303" s="6">
        <v>541</v>
      </c>
    </row>
    <row r="304" spans="2:6" x14ac:dyDescent="0.2">
      <c r="B304" s="1" t="s">
        <v>968</v>
      </c>
      <c r="C304" s="6">
        <v>-364</v>
      </c>
    </row>
    <row r="305" spans="2:3" x14ac:dyDescent="0.2">
      <c r="B305" s="1" t="s">
        <v>969</v>
      </c>
      <c r="C305" s="6">
        <v>3897</v>
      </c>
    </row>
    <row r="306" spans="2:3" x14ac:dyDescent="0.2">
      <c r="B306" s="1" t="s">
        <v>970</v>
      </c>
      <c r="C306" s="6">
        <v>1240</v>
      </c>
    </row>
    <row r="307" spans="2:3" x14ac:dyDescent="0.2">
      <c r="B307" s="1" t="s">
        <v>971</v>
      </c>
      <c r="C307" s="6">
        <v>7</v>
      </c>
    </row>
    <row r="308" spans="2:3" x14ac:dyDescent="0.2">
      <c r="B308" s="1" t="s">
        <v>972</v>
      </c>
      <c r="C308" s="6">
        <v>2214</v>
      </c>
    </row>
    <row r="309" spans="2:3" x14ac:dyDescent="0.2">
      <c r="B309" s="1" t="s">
        <v>973</v>
      </c>
      <c r="C309" s="6">
        <v>-5000</v>
      </c>
    </row>
    <row r="310" spans="2:3" x14ac:dyDescent="0.2">
      <c r="B310" s="1" t="s">
        <v>974</v>
      </c>
      <c r="C310" s="6">
        <v>-1000</v>
      </c>
    </row>
    <row r="311" spans="2:3" x14ac:dyDescent="0.2">
      <c r="B311" s="1" t="s">
        <v>975</v>
      </c>
      <c r="C311" s="6">
        <v>-845</v>
      </c>
    </row>
    <row r="312" spans="2:3" x14ac:dyDescent="0.2">
      <c r="B312" s="1" t="s">
        <v>976</v>
      </c>
      <c r="C312" s="6">
        <v>-394</v>
      </c>
    </row>
    <row r="313" spans="2:3" x14ac:dyDescent="0.2">
      <c r="B313" s="1" t="s">
        <v>977</v>
      </c>
      <c r="C313" s="6">
        <v>-2250</v>
      </c>
    </row>
    <row r="314" spans="2:3" x14ac:dyDescent="0.2">
      <c r="B314" s="1" t="s">
        <v>978</v>
      </c>
      <c r="C314" s="6">
        <v>-204</v>
      </c>
    </row>
    <row r="315" spans="2:3" x14ac:dyDescent="0.2">
      <c r="B315" s="1" t="s">
        <v>979</v>
      </c>
      <c r="C315" s="6">
        <v>-210</v>
      </c>
    </row>
    <row r="316" spans="2:3" x14ac:dyDescent="0.2">
      <c r="B316" s="1" t="s">
        <v>980</v>
      </c>
      <c r="C316" s="6">
        <v>-216</v>
      </c>
    </row>
    <row r="317" spans="2:3" x14ac:dyDescent="0.2">
      <c r="B317" s="1" t="s">
        <v>981</v>
      </c>
      <c r="C317" s="6">
        <v>-234</v>
      </c>
    </row>
    <row r="318" spans="2:3" x14ac:dyDescent="0.2">
      <c r="B318" s="1" t="s">
        <v>982</v>
      </c>
      <c r="C318" s="6">
        <v>-1005</v>
      </c>
    </row>
    <row r="321" spans="2:3" x14ac:dyDescent="0.2">
      <c r="B321" s="1" t="s">
        <v>1114</v>
      </c>
    </row>
    <row r="322" spans="2:3" x14ac:dyDescent="0.2">
      <c r="B322" s="1" t="s">
        <v>602</v>
      </c>
      <c r="C322" s="6">
        <f>+C300+C301</f>
        <v>3697</v>
      </c>
    </row>
    <row r="323" spans="2:3" x14ac:dyDescent="0.2">
      <c r="B323" s="1" t="s">
        <v>77</v>
      </c>
      <c r="C323" s="6">
        <f>+C302</f>
        <v>127</v>
      </c>
    </row>
    <row r="324" spans="2:3" x14ac:dyDescent="0.2">
      <c r="B324" s="1" t="s">
        <v>592</v>
      </c>
      <c r="C324" s="6">
        <f>+C303+C304</f>
        <v>177</v>
      </c>
    </row>
    <row r="325" spans="2:3" x14ac:dyDescent="0.2">
      <c r="C325" s="6">
        <f>SUM(C322:C324)</f>
        <v>4001</v>
      </c>
    </row>
    <row r="326" spans="2:3" x14ac:dyDescent="0.2">
      <c r="B326" s="1" t="s">
        <v>33</v>
      </c>
    </row>
    <row r="327" spans="2:3" x14ac:dyDescent="0.2">
      <c r="B327" s="1" t="s">
        <v>1115</v>
      </c>
      <c r="C327" s="6">
        <f>+C305</f>
        <v>3897</v>
      </c>
    </row>
    <row r="328" spans="2:3" x14ac:dyDescent="0.2">
      <c r="B328" s="1" t="s">
        <v>765</v>
      </c>
      <c r="C328" s="6">
        <f>+C306</f>
        <v>1240</v>
      </c>
    </row>
    <row r="329" spans="2:3" x14ac:dyDescent="0.2">
      <c r="B329" s="1" t="str" cm="1">
        <f t="array" ref="B329:C330">+B307:C308</f>
        <v>Other current assets</v>
      </c>
      <c r="C329" s="1">
        <v>7</v>
      </c>
    </row>
    <row r="330" spans="2:3" x14ac:dyDescent="0.2">
      <c r="B330" s="1" t="str">
        <v>Cash and cash equivalents</v>
      </c>
      <c r="C330" s="1">
        <v>2214</v>
      </c>
    </row>
    <row r="331" spans="2:3" x14ac:dyDescent="0.2">
      <c r="C331" s="6">
        <f>SUM(C327:C330)</f>
        <v>7358</v>
      </c>
    </row>
    <row r="332" spans="2:3" x14ac:dyDescent="0.2">
      <c r="C332" s="6"/>
    </row>
    <row r="333" spans="2:3" x14ac:dyDescent="0.2">
      <c r="B333" s="5" t="s">
        <v>1117</v>
      </c>
      <c r="C333" s="55">
        <f>+C325+C331</f>
        <v>11359</v>
      </c>
    </row>
    <row r="334" spans="2:3" x14ac:dyDescent="0.2">
      <c r="C334" s="6"/>
    </row>
    <row r="335" spans="2:3" x14ac:dyDescent="0.2">
      <c r="B335" s="1" t="s">
        <v>392</v>
      </c>
    </row>
    <row r="336" spans="2:3" x14ac:dyDescent="0.2">
      <c r="B336" s="1" t="str" cm="1">
        <f t="array" ref="B336:B338">+B313:B315</f>
        <v>Long-term borrowings</v>
      </c>
      <c r="C336" s="6">
        <f>-C313</f>
        <v>2250</v>
      </c>
    </row>
    <row r="337" spans="2:3" x14ac:dyDescent="0.2">
      <c r="B337" s="1" t="str">
        <v>Deferred tax</v>
      </c>
      <c r="C337" s="6">
        <f t="shared" ref="C337:C338" si="19">-C314</f>
        <v>204</v>
      </c>
    </row>
    <row r="338" spans="2:3" x14ac:dyDescent="0.2">
      <c r="B338" s="1" t="str">
        <v>Long-term provisions as at 30 June 2021</v>
      </c>
      <c r="C338" s="6">
        <f t="shared" si="19"/>
        <v>210</v>
      </c>
    </row>
    <row r="339" spans="2:3" x14ac:dyDescent="0.2">
      <c r="C339" s="6">
        <f>SUM(C336:C338)</f>
        <v>2664</v>
      </c>
    </row>
    <row r="340" spans="2:3" x14ac:dyDescent="0.2">
      <c r="B340" s="1" t="s">
        <v>391</v>
      </c>
    </row>
    <row r="341" spans="2:3" x14ac:dyDescent="0.2">
      <c r="B341" s="1" t="str" cm="1">
        <f t="array" ref="B341:B343">+B316:B318</f>
        <v>Trade and other payables</v>
      </c>
      <c r="C341" s="6">
        <f>-C316</f>
        <v>216</v>
      </c>
    </row>
    <row r="342" spans="2:3" x14ac:dyDescent="0.2">
      <c r="B342" s="1" t="str">
        <v>Current tax payable</v>
      </c>
      <c r="C342" s="6">
        <f t="shared" ref="C342:C343" si="20">-C317</f>
        <v>234</v>
      </c>
    </row>
    <row r="343" spans="2:3" x14ac:dyDescent="0.2">
      <c r="B343" s="1" t="str">
        <v>Short-term provisions as at 30 June 2021</v>
      </c>
      <c r="C343" s="6">
        <f t="shared" si="20"/>
        <v>1005</v>
      </c>
    </row>
    <row r="344" spans="2:3" x14ac:dyDescent="0.2">
      <c r="C344" s="6">
        <f>SUM(C341:C343)</f>
        <v>1455</v>
      </c>
    </row>
    <row r="345" spans="2:3" x14ac:dyDescent="0.2">
      <c r="C345" s="6"/>
    </row>
    <row r="346" spans="2:3" x14ac:dyDescent="0.2">
      <c r="B346" s="1" t="s">
        <v>1116</v>
      </c>
    </row>
    <row r="347" spans="2:3" x14ac:dyDescent="0.2">
      <c r="B347" s="1" t="str" cm="1">
        <f t="array" ref="B347:B350">+B309:B312</f>
        <v>Share capital</v>
      </c>
      <c r="C347" s="6" cm="1">
        <f t="array" ref="C347:C350">-C309:C312</f>
        <v>5000</v>
      </c>
    </row>
    <row r="348" spans="2:3" x14ac:dyDescent="0.2">
      <c r="B348" s="1" t="str">
        <v>Share premium</v>
      </c>
      <c r="C348" s="1">
        <v>1000</v>
      </c>
    </row>
    <row r="349" spans="2:3" x14ac:dyDescent="0.2">
      <c r="B349" s="1" t="str">
        <v>Retained earnings as at 30 June 2021</v>
      </c>
      <c r="C349" s="1">
        <v>845</v>
      </c>
    </row>
    <row r="350" spans="2:3" x14ac:dyDescent="0.2">
      <c r="B350" s="1" t="str">
        <v>Revaluation surplus</v>
      </c>
      <c r="C350" s="1">
        <v>394</v>
      </c>
    </row>
    <row r="351" spans="2:3" x14ac:dyDescent="0.2">
      <c r="C351" s="6">
        <f>SUM(_xlfn.ANCHORARRAY(C347))</f>
        <v>7239</v>
      </c>
    </row>
    <row r="353" spans="2:3" x14ac:dyDescent="0.2">
      <c r="B353" s="5" t="s">
        <v>1118</v>
      </c>
      <c r="C353" s="55">
        <f>+C339+C344+C351</f>
        <v>11358</v>
      </c>
    </row>
  </sheetData>
  <hyperlinks>
    <hyperlink ref="A1" location="Main!A1" display="Main" xr:uid="{052D4CFC-46A7-4F44-B848-2105357FCD36}"/>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58405-23A8-458D-AA83-30D62B99AE2A}">
  <sheetPr codeName="Sheet10"/>
  <dimension ref="A1:G35"/>
  <sheetViews>
    <sheetView zoomScale="130" zoomScaleNormal="130" workbookViewId="0"/>
  </sheetViews>
  <sheetFormatPr defaultRowHeight="12" x14ac:dyDescent="0.2"/>
  <cols>
    <col min="1" max="1" width="9.140625" style="1"/>
    <col min="2" max="2" width="32" style="1" customWidth="1"/>
    <col min="3" max="3" width="15.7109375" style="1" bestFit="1" customWidth="1"/>
    <col min="4" max="4" width="8.5703125" style="1" bestFit="1" customWidth="1"/>
    <col min="5" max="5" width="19.28515625" style="1" customWidth="1"/>
    <col min="6" max="6" width="14" style="1" bestFit="1" customWidth="1"/>
    <col min="7" max="16384" width="9.140625" style="1"/>
  </cols>
  <sheetData>
    <row r="1" spans="1:7" ht="15" x14ac:dyDescent="0.25">
      <c r="A1" s="2" t="s">
        <v>0</v>
      </c>
    </row>
    <row r="2" spans="1:7" x14ac:dyDescent="0.2">
      <c r="B2" s="1" t="s">
        <v>1697</v>
      </c>
    </row>
    <row r="3" spans="1:7" ht="12.75" thickBot="1" x14ac:dyDescent="0.25"/>
    <row r="4" spans="1:7" ht="15" x14ac:dyDescent="0.25">
      <c r="B4" s="107"/>
      <c r="C4" s="108"/>
      <c r="D4" s="108"/>
      <c r="E4" s="108"/>
      <c r="F4" s="108"/>
      <c r="G4" s="109"/>
    </row>
    <row r="5" spans="1:7" ht="15" x14ac:dyDescent="0.25">
      <c r="B5" s="113" t="s">
        <v>1698</v>
      </c>
      <c r="C5" s="147">
        <v>0.25</v>
      </c>
      <c r="D5"/>
      <c r="E5"/>
      <c r="F5"/>
      <c r="G5" s="112"/>
    </row>
    <row r="6" spans="1:7" ht="15" x14ac:dyDescent="0.25">
      <c r="B6" s="113"/>
      <c r="C6" s="94" t="s">
        <v>1066</v>
      </c>
      <c r="D6" s="94" t="s">
        <v>1699</v>
      </c>
      <c r="E6" s="94" t="s">
        <v>1700</v>
      </c>
      <c r="F6" s="94" t="s">
        <v>1701</v>
      </c>
      <c r="G6" s="112"/>
    </row>
    <row r="7" spans="1:7" ht="15" x14ac:dyDescent="0.25">
      <c r="B7" s="113" t="s">
        <v>1702</v>
      </c>
      <c r="C7" s="174">
        <v>2081</v>
      </c>
      <c r="D7" s="174"/>
      <c r="E7" s="164">
        <f t="shared" ref="E7:E13" si="0">C7-D7</f>
        <v>2081</v>
      </c>
      <c r="F7" s="163">
        <f t="shared" ref="F7:F13" si="1">E7*$C$5</f>
        <v>520.25</v>
      </c>
      <c r="G7" s="112"/>
    </row>
    <row r="8" spans="1:7" ht="15" x14ac:dyDescent="0.25">
      <c r="B8" s="113" t="s">
        <v>1703</v>
      </c>
      <c r="C8" s="174"/>
      <c r="D8" s="174"/>
      <c r="E8" s="164">
        <f t="shared" si="0"/>
        <v>0</v>
      </c>
      <c r="F8" s="163">
        <f t="shared" si="1"/>
        <v>0</v>
      </c>
      <c r="G8" s="112"/>
    </row>
    <row r="9" spans="1:7" ht="15" x14ac:dyDescent="0.25">
      <c r="B9" s="113" t="s">
        <v>1704</v>
      </c>
      <c r="C9" s="174">
        <f>1145-856</f>
        <v>289</v>
      </c>
      <c r="D9" s="174">
        <f>1145-970</f>
        <v>175</v>
      </c>
      <c r="E9" s="164">
        <f>C9-D9</f>
        <v>114</v>
      </c>
      <c r="F9" s="163">
        <f t="shared" si="1"/>
        <v>28.5</v>
      </c>
      <c r="G9" s="112"/>
    </row>
    <row r="10" spans="1:7" ht="15" x14ac:dyDescent="0.25">
      <c r="B10" s="113" t="s">
        <v>1705</v>
      </c>
      <c r="C10" s="174"/>
      <c r="D10" s="174"/>
      <c r="E10" s="164">
        <f>C10-D10</f>
        <v>0</v>
      </c>
      <c r="F10" s="163">
        <f t="shared" si="1"/>
        <v>0</v>
      </c>
      <c r="G10" s="112"/>
    </row>
    <row r="11" spans="1:7" ht="15" x14ac:dyDescent="0.25">
      <c r="B11" s="113" t="s">
        <v>1706</v>
      </c>
      <c r="C11" s="174">
        <v>-1140</v>
      </c>
      <c r="D11" s="174"/>
      <c r="E11" s="164">
        <f>C11-D11</f>
        <v>-1140</v>
      </c>
      <c r="F11" s="163">
        <f t="shared" si="1"/>
        <v>-285</v>
      </c>
      <c r="G11" s="112"/>
    </row>
    <row r="12" spans="1:7" ht="15" x14ac:dyDescent="0.25">
      <c r="B12" s="113" t="s">
        <v>1707</v>
      </c>
      <c r="C12" s="174"/>
      <c r="D12" s="174"/>
      <c r="E12" s="164">
        <f t="shared" si="0"/>
        <v>0</v>
      </c>
      <c r="F12" s="163">
        <f t="shared" si="1"/>
        <v>0</v>
      </c>
      <c r="G12" s="112"/>
    </row>
    <row r="13" spans="1:7" ht="15" x14ac:dyDescent="0.25">
      <c r="B13" s="113" t="s">
        <v>1708</v>
      </c>
      <c r="C13" s="174">
        <v>-546</v>
      </c>
      <c r="D13" s="174"/>
      <c r="E13" s="164">
        <f t="shared" si="0"/>
        <v>-546</v>
      </c>
      <c r="F13" s="163">
        <f t="shared" si="1"/>
        <v>-136.5</v>
      </c>
      <c r="G13" s="112"/>
    </row>
    <row r="14" spans="1:7" ht="15" x14ac:dyDescent="0.25">
      <c r="B14" s="113"/>
      <c r="C14" s="164"/>
      <c r="D14" s="164"/>
      <c r="E14" s="164"/>
      <c r="F14" s="175">
        <f>SUM(F7:F13)</f>
        <v>127.25</v>
      </c>
      <c r="G14" s="112"/>
    </row>
    <row r="15" spans="1:7" ht="15" x14ac:dyDescent="0.25">
      <c r="B15" s="113"/>
      <c r="C15" s="164"/>
      <c r="D15" s="164"/>
      <c r="E15" s="164"/>
      <c r="F15" s="164"/>
      <c r="G15" s="112"/>
    </row>
    <row r="16" spans="1:7" ht="15" x14ac:dyDescent="0.25">
      <c r="B16" s="113" t="s">
        <v>1709</v>
      </c>
      <c r="C16" s="174">
        <f>1975-1500</f>
        <v>475</v>
      </c>
      <c r="D16" s="174"/>
      <c r="E16" s="164">
        <f>C16-D16</f>
        <v>475</v>
      </c>
      <c r="F16" s="176">
        <f>E16*$C$5</f>
        <v>118.75</v>
      </c>
      <c r="G16" s="112"/>
    </row>
    <row r="17" spans="2:7" ht="15" x14ac:dyDescent="0.25">
      <c r="B17" s="113"/>
      <c r="C17" s="164"/>
      <c r="D17" s="164"/>
      <c r="E17" s="164"/>
      <c r="F17" s="164"/>
      <c r="G17" s="112"/>
    </row>
    <row r="18" spans="2:7" ht="15" x14ac:dyDescent="0.25">
      <c r="B18" s="113" t="s">
        <v>1710</v>
      </c>
      <c r="C18" s="164"/>
      <c r="D18" s="166">
        <v>0</v>
      </c>
      <c r="E18" s="164"/>
      <c r="F18" s="164"/>
      <c r="G18" s="112"/>
    </row>
    <row r="19" spans="2:7" ht="15" x14ac:dyDescent="0.25">
      <c r="B19" s="113" t="s">
        <v>1711</v>
      </c>
      <c r="C19" s="164"/>
      <c r="D19" s="177">
        <f>F16-D18</f>
        <v>118.75</v>
      </c>
      <c r="E19" s="164"/>
      <c r="F19" s="164"/>
      <c r="G19" s="112"/>
    </row>
    <row r="20" spans="2:7" ht="15" x14ac:dyDescent="0.25">
      <c r="B20" s="113"/>
      <c r="C20" s="164"/>
      <c r="D20" s="164"/>
      <c r="E20" s="164"/>
      <c r="F20" s="164"/>
      <c r="G20" s="112"/>
    </row>
    <row r="21" spans="2:7" ht="15" x14ac:dyDescent="0.25">
      <c r="B21" s="113" t="s">
        <v>1712</v>
      </c>
      <c r="C21" s="164"/>
      <c r="D21" s="178">
        <f>F16+F14</f>
        <v>246</v>
      </c>
      <c r="E21" s="164"/>
      <c r="F21" s="164"/>
      <c r="G21" s="112"/>
    </row>
    <row r="22" spans="2:7" ht="15" x14ac:dyDescent="0.25">
      <c r="B22" s="113" t="s">
        <v>1713</v>
      </c>
      <c r="C22" s="164"/>
      <c r="D22" s="174">
        <v>257</v>
      </c>
      <c r="E22" s="164"/>
      <c r="F22" s="164"/>
      <c r="G22" s="112"/>
    </row>
    <row r="23" spans="2:7" ht="15" x14ac:dyDescent="0.25">
      <c r="B23" s="113"/>
      <c r="C23" s="164"/>
      <c r="D23" s="164"/>
      <c r="E23" s="164"/>
      <c r="F23" s="164"/>
      <c r="G23" s="112"/>
    </row>
    <row r="24" spans="2:7" ht="15" x14ac:dyDescent="0.25">
      <c r="B24" s="113" t="s">
        <v>1714</v>
      </c>
      <c r="C24" s="164"/>
      <c r="D24" s="163">
        <f>D21-D22</f>
        <v>-11</v>
      </c>
      <c r="E24" s="164"/>
      <c r="F24" s="164"/>
      <c r="G24" s="112"/>
    </row>
    <row r="25" spans="2:7" ht="15" x14ac:dyDescent="0.25">
      <c r="B25" s="113"/>
      <c r="C25" s="164"/>
      <c r="D25" s="164"/>
      <c r="E25" s="164"/>
      <c r="F25" s="164"/>
      <c r="G25" s="112"/>
    </row>
    <row r="26" spans="2:7" ht="15" x14ac:dyDescent="0.25">
      <c r="B26" s="113"/>
      <c r="C26" s="164"/>
      <c r="D26" s="164"/>
      <c r="E26" s="164"/>
      <c r="F26" s="164"/>
      <c r="G26" s="112"/>
    </row>
    <row r="27" spans="2:7" ht="15" x14ac:dyDescent="0.25">
      <c r="B27" s="116" t="str">
        <f>IF(D24&lt;0,"DR DTL/DTA","CR DTL/DTA")</f>
        <v>DR DTL/DTA</v>
      </c>
      <c r="C27" s="164">
        <f>IF(D24&lt;0,-D24,0)</f>
        <v>11</v>
      </c>
      <c r="D27" s="164">
        <f>IF(D24&gt;0,D24,0)</f>
        <v>0</v>
      </c>
      <c r="E27" s="164"/>
      <c r="F27" s="164"/>
      <c r="G27" s="112"/>
    </row>
    <row r="28" spans="2:7" ht="15" x14ac:dyDescent="0.25">
      <c r="B28" s="116" t="str">
        <f>IF((F16-D18)&lt;0,"CR Revaluation surplus","DR Revaluation surplus")</f>
        <v>DR Revaluation surplus</v>
      </c>
      <c r="C28" s="164">
        <f>IF((F16-D18)&lt;0,0,F16-D18)</f>
        <v>118.75</v>
      </c>
      <c r="D28" s="164">
        <f>IF((F16-D18)&gt;0,0,-(F16-D18))</f>
        <v>0</v>
      </c>
      <c r="E28" s="164"/>
      <c r="F28" s="164"/>
      <c r="G28" s="112"/>
    </row>
    <row r="29" spans="2:7" ht="15" x14ac:dyDescent="0.25">
      <c r="B29" s="116" t="s">
        <v>1715</v>
      </c>
      <c r="C29" s="166">
        <f>IF(D24&gt;0,D27+D28-C28-C27,0)</f>
        <v>0</v>
      </c>
      <c r="D29" s="166">
        <f>IF(D24&lt;0,C27+C28-D27-D28,0)</f>
        <v>129.75</v>
      </c>
      <c r="E29" s="164"/>
      <c r="F29" s="164"/>
      <c r="G29" s="112"/>
    </row>
    <row r="30" spans="2:7" ht="15.75" thickBot="1" x14ac:dyDescent="0.3">
      <c r="B30" s="118"/>
      <c r="C30" s="119"/>
      <c r="D30" s="119"/>
      <c r="E30" s="119"/>
      <c r="F30" s="119"/>
      <c r="G30" s="120"/>
    </row>
    <row r="32" spans="2:7" ht="15" x14ac:dyDescent="0.25">
      <c r="C32" s="94" t="s">
        <v>1066</v>
      </c>
      <c r="D32" s="94" t="s">
        <v>1699</v>
      </c>
      <c r="E32" s="94" t="s">
        <v>1700</v>
      </c>
      <c r="F32" s="94" t="s">
        <v>1701</v>
      </c>
    </row>
    <row r="33" spans="2:6" ht="15" x14ac:dyDescent="0.25">
      <c r="B33" s="283" t="s">
        <v>1702</v>
      </c>
      <c r="C33" s="174">
        <v>2081</v>
      </c>
      <c r="D33" s="174"/>
      <c r="E33" s="164">
        <f t="shared" ref="E33" si="2">C33-D33</f>
        <v>2081</v>
      </c>
      <c r="F33" s="163">
        <f t="shared" ref="F33:F34" si="3">E33*$C$5</f>
        <v>520.25</v>
      </c>
    </row>
    <row r="34" spans="2:6" ht="15" x14ac:dyDescent="0.25">
      <c r="B34" s="283" t="s">
        <v>1704</v>
      </c>
      <c r="C34" s="174">
        <f>1145-856</f>
        <v>289</v>
      </c>
      <c r="D34" s="174">
        <f>1145-970</f>
        <v>175</v>
      </c>
      <c r="E34" s="164">
        <f>C34-D34</f>
        <v>114</v>
      </c>
      <c r="F34" s="163">
        <f t="shared" si="3"/>
        <v>28.5</v>
      </c>
    </row>
    <row r="35" spans="2:6" x14ac:dyDescent="0.2">
      <c r="B35" s="89"/>
      <c r="C35" s="89" t="str">
        <f ca="1">+_xlfn.FORMULATEXT(C34)</f>
        <v>=1145-856</v>
      </c>
      <c r="D35" s="89" t="str">
        <f ca="1">+_xlfn.FORMULATEXT(D34)</f>
        <v>=1145-970</v>
      </c>
      <c r="E35" s="89">
        <f>SUM(E33:E34)</f>
        <v>2195</v>
      </c>
      <c r="F35" s="89"/>
    </row>
  </sheetData>
  <hyperlinks>
    <hyperlink ref="A1" location="Main!A1" display="Main" xr:uid="{6DE3FD88-4E76-46EE-AAC9-4DEF1FE13E97}"/>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1D045-2F70-40C3-A8C2-9E402BBCF4EC}">
  <dimension ref="A1:O83"/>
  <sheetViews>
    <sheetView zoomScale="190" zoomScaleNormal="190" workbookViewId="0"/>
  </sheetViews>
  <sheetFormatPr defaultRowHeight="12" x14ac:dyDescent="0.2"/>
  <cols>
    <col min="1" max="16384" width="9.140625" style="1"/>
  </cols>
  <sheetData>
    <row r="1" spans="1:15" ht="15" x14ac:dyDescent="0.25">
      <c r="A1" s="2" t="s">
        <v>0</v>
      </c>
    </row>
    <row r="2" spans="1:15" x14ac:dyDescent="0.2">
      <c r="B2" s="1" t="s">
        <v>1921</v>
      </c>
    </row>
    <row r="3" spans="1:15" x14ac:dyDescent="0.2">
      <c r="B3" s="1" t="s">
        <v>5</v>
      </c>
      <c r="C3" s="3">
        <v>44651</v>
      </c>
    </row>
    <row r="6" spans="1:15" x14ac:dyDescent="0.2">
      <c r="B6" s="3">
        <v>44286</v>
      </c>
      <c r="C6" s="1" t="s">
        <v>1922</v>
      </c>
      <c r="D6" s="1">
        <v>146</v>
      </c>
      <c r="E6" s="1" t="s">
        <v>353</v>
      </c>
    </row>
    <row r="7" spans="1:15" x14ac:dyDescent="0.2">
      <c r="B7" s="3">
        <v>44287</v>
      </c>
      <c r="C7" s="1" t="s">
        <v>1922</v>
      </c>
      <c r="D7" s="1">
        <v>127</v>
      </c>
      <c r="E7" s="1" t="s">
        <v>353</v>
      </c>
    </row>
    <row r="8" spans="1:15" x14ac:dyDescent="0.2">
      <c r="B8" s="3">
        <v>44531</v>
      </c>
      <c r="C8" s="1" t="s">
        <v>1924</v>
      </c>
    </row>
    <row r="9" spans="1:15" x14ac:dyDescent="0.2">
      <c r="B9" s="3">
        <v>44562</v>
      </c>
      <c r="C9" s="1" t="s">
        <v>1923</v>
      </c>
      <c r="D9" s="1">
        <v>92</v>
      </c>
      <c r="E9" s="1" t="s">
        <v>353</v>
      </c>
    </row>
    <row r="10" spans="1:15" x14ac:dyDescent="0.2">
      <c r="B10" s="3">
        <v>44592</v>
      </c>
      <c r="C10" s="1" t="s">
        <v>1925</v>
      </c>
    </row>
    <row r="12" spans="1:15" s="226" customFormat="1" ht="15" x14ac:dyDescent="0.25">
      <c r="B12" s="225" t="s">
        <v>1926</v>
      </c>
      <c r="F12" s="227" t="s">
        <v>1927</v>
      </c>
      <c r="H12" s="228" t="s">
        <v>1928</v>
      </c>
    </row>
    <row r="13" spans="1:15" s="226" customFormat="1" ht="15" x14ac:dyDescent="0.25">
      <c r="B13" s="233" t="s">
        <v>1929</v>
      </c>
      <c r="C13" s="233"/>
      <c r="D13" s="233"/>
      <c r="F13" s="227"/>
      <c r="J13" s="228"/>
    </row>
    <row r="14" spans="1:15" s="226" customFormat="1" ht="15" x14ac:dyDescent="0.25">
      <c r="B14" s="226" t="s">
        <v>1930</v>
      </c>
      <c r="C14" s="229" t="s">
        <v>1931</v>
      </c>
      <c r="D14" s="230"/>
      <c r="F14" s="228" t="s">
        <v>1932</v>
      </c>
      <c r="J14" s="231"/>
      <c r="K14" s="70"/>
      <c r="L14" s="70"/>
      <c r="M14" s="70"/>
      <c r="N14" s="70"/>
      <c r="O14" s="70"/>
    </row>
    <row r="15" spans="1:15" s="226" customFormat="1" ht="15" x14ac:dyDescent="0.25">
      <c r="B15" s="226" t="s">
        <v>1933</v>
      </c>
      <c r="C15" s="229" t="s">
        <v>1931</v>
      </c>
      <c r="D15" s="232"/>
      <c r="J15" s="70"/>
      <c r="K15" s="70"/>
      <c r="L15" s="70"/>
      <c r="M15" s="70"/>
      <c r="N15" s="70"/>
      <c r="O15" s="70"/>
    </row>
    <row r="16" spans="1:15" s="226" customFormat="1" ht="15" x14ac:dyDescent="0.25">
      <c r="B16" s="226" t="s">
        <v>1934</v>
      </c>
      <c r="C16" s="229" t="s">
        <v>1931</v>
      </c>
      <c r="D16" s="230"/>
      <c r="E16" s="228" t="s">
        <v>1935</v>
      </c>
      <c r="F16" s="228" t="s">
        <v>1936</v>
      </c>
    </row>
    <row r="17" spans="2:7" s="226" customFormat="1" ht="15" x14ac:dyDescent="0.25">
      <c r="B17" s="226" t="s">
        <v>1937</v>
      </c>
      <c r="C17" s="229" t="s">
        <v>1931</v>
      </c>
      <c r="D17" s="230"/>
      <c r="F17" s="228" t="s">
        <v>1938</v>
      </c>
    </row>
    <row r="18" spans="2:7" s="226" customFormat="1" ht="15" x14ac:dyDescent="0.25">
      <c r="B18" s="226" t="s">
        <v>1939</v>
      </c>
      <c r="C18" s="229" t="s">
        <v>1931</v>
      </c>
      <c r="D18" s="232"/>
    </row>
    <row r="19" spans="2:7" s="226" customFormat="1" ht="15" x14ac:dyDescent="0.25">
      <c r="B19" s="226" t="s">
        <v>1940</v>
      </c>
      <c r="C19" s="229" t="s">
        <v>1931</v>
      </c>
      <c r="D19" s="232"/>
    </row>
    <row r="20" spans="2:7" s="226" customFormat="1" ht="15" x14ac:dyDescent="0.25"/>
    <row r="21" spans="2:7" s="226" customFormat="1" ht="15" x14ac:dyDescent="0.25">
      <c r="B21" s="226" t="s">
        <v>1461</v>
      </c>
      <c r="C21" s="226" t="str">
        <f>IF(AND(C14="MET",C15="MET",C16="MET",C17="MET",C18="MET",C19="MET"),"Expenditure must be capitalised","Expenditure must be recognised as an expense")</f>
        <v>Expenditure must be capitalised</v>
      </c>
    </row>
    <row r="22" spans="2:7" s="226" customFormat="1" ht="15" x14ac:dyDescent="0.25"/>
    <row r="23" spans="2:7" s="226" customFormat="1" ht="15" x14ac:dyDescent="0.25">
      <c r="B23" s="228" t="s">
        <v>1941</v>
      </c>
    </row>
    <row r="24" spans="2:7" s="226" customFormat="1" ht="15" x14ac:dyDescent="0.25">
      <c r="B24" s="228" t="s">
        <v>1942</v>
      </c>
      <c r="C24" s="95"/>
      <c r="D24" s="225"/>
      <c r="E24" s="225"/>
      <c r="F24" s="225"/>
      <c r="G24" s="95"/>
    </row>
    <row r="25" spans="2:7" s="226" customFormat="1" ht="15" x14ac:dyDescent="0.25">
      <c r="B25" s="228" t="s">
        <v>1943</v>
      </c>
      <c r="D25" s="225"/>
      <c r="F25" s="225"/>
    </row>
    <row r="28" spans="2:7" x14ac:dyDescent="0.2">
      <c r="B28" s="1" t="s">
        <v>1944</v>
      </c>
    </row>
    <row r="31" spans="2:7" x14ac:dyDescent="0.2">
      <c r="B31" s="1" t="s">
        <v>1945</v>
      </c>
      <c r="E31" s="89">
        <f>+D9</f>
        <v>92</v>
      </c>
      <c r="F31" s="89"/>
    </row>
    <row r="32" spans="2:7" x14ac:dyDescent="0.2">
      <c r="B32" s="1" t="s">
        <v>606</v>
      </c>
      <c r="E32" s="89">
        <f>+E31*3/(4*12)</f>
        <v>5.75</v>
      </c>
      <c r="F32" s="89"/>
    </row>
    <row r="33" spans="2:10" x14ac:dyDescent="0.2">
      <c r="C33" s="1" t="s">
        <v>1946</v>
      </c>
      <c r="E33" s="89"/>
      <c r="F33" s="89">
        <f>+E31</f>
        <v>92</v>
      </c>
    </row>
    <row r="34" spans="2:10" x14ac:dyDescent="0.2">
      <c r="C34" s="1" t="s">
        <v>843</v>
      </c>
      <c r="E34" s="89"/>
      <c r="F34" s="89">
        <f>+E32</f>
        <v>5.75</v>
      </c>
    </row>
    <row r="35" spans="2:10" x14ac:dyDescent="0.2">
      <c r="B35" s="1" t="s">
        <v>1947</v>
      </c>
    </row>
    <row r="43" spans="2:10" x14ac:dyDescent="0.2">
      <c r="B43" s="1" t="s">
        <v>213</v>
      </c>
      <c r="C43" s="1">
        <v>2015</v>
      </c>
      <c r="D43" s="1">
        <v>430</v>
      </c>
      <c r="I43" s="3">
        <v>45107</v>
      </c>
    </row>
    <row r="44" spans="2:10" x14ac:dyDescent="0.2">
      <c r="B44" s="1" t="s">
        <v>294</v>
      </c>
      <c r="C44" s="1">
        <f>10*12</f>
        <v>120</v>
      </c>
      <c r="H44" s="1">
        <v>27</v>
      </c>
      <c r="I44" s="3">
        <v>45292</v>
      </c>
      <c r="J44" s="1" t="s">
        <v>1954</v>
      </c>
    </row>
    <row r="45" spans="2:10" x14ac:dyDescent="0.2">
      <c r="B45" s="1" t="s">
        <v>865</v>
      </c>
      <c r="D45" s="1">
        <f>12*D43/C44</f>
        <v>43</v>
      </c>
      <c r="H45" s="1">
        <v>27</v>
      </c>
      <c r="I45" s="3">
        <v>45473</v>
      </c>
      <c r="J45" s="1" t="s">
        <v>1955</v>
      </c>
    </row>
    <row r="46" spans="2:10" x14ac:dyDescent="0.2">
      <c r="H46" s="1">
        <v>28</v>
      </c>
      <c r="I46" s="3">
        <v>45838</v>
      </c>
      <c r="J46" s="1" t="s">
        <v>1956</v>
      </c>
    </row>
    <row r="47" spans="2:10" x14ac:dyDescent="0.2">
      <c r="B47" s="1" t="s">
        <v>1948</v>
      </c>
      <c r="E47" s="1">
        <f>+D45</f>
        <v>43</v>
      </c>
      <c r="H47" s="1">
        <v>30</v>
      </c>
      <c r="I47" s="3">
        <v>46568</v>
      </c>
      <c r="J47" s="1" t="s">
        <v>1957</v>
      </c>
    </row>
    <row r="48" spans="2:10" x14ac:dyDescent="0.2">
      <c r="C48" s="1" t="s">
        <v>843</v>
      </c>
      <c r="F48" s="1">
        <f>+E47</f>
        <v>43</v>
      </c>
    </row>
    <row r="49" spans="2:6" x14ac:dyDescent="0.2">
      <c r="B49" s="1" t="s">
        <v>1949</v>
      </c>
    </row>
    <row r="52" spans="2:6" x14ac:dyDescent="0.2">
      <c r="B52" s="1" t="s">
        <v>1950</v>
      </c>
      <c r="E52" s="1">
        <v>1665</v>
      </c>
    </row>
    <row r="53" spans="2:6" x14ac:dyDescent="0.2">
      <c r="B53" s="1" t="s">
        <v>1406</v>
      </c>
      <c r="E53" s="1">
        <v>1450</v>
      </c>
    </row>
    <row r="54" spans="2:6" x14ac:dyDescent="0.2">
      <c r="E54" s="1">
        <f>+E52-E53</f>
        <v>215</v>
      </c>
    </row>
    <row r="56" spans="2:6" x14ac:dyDescent="0.2">
      <c r="B56" s="1" t="s">
        <v>1952</v>
      </c>
      <c r="E56" s="1">
        <f>+E53</f>
        <v>1450</v>
      </c>
    </row>
    <row r="57" spans="2:6" x14ac:dyDescent="0.2">
      <c r="B57" s="1" t="s">
        <v>1274</v>
      </c>
      <c r="E57" s="1">
        <f>+E54</f>
        <v>215</v>
      </c>
    </row>
    <row r="58" spans="2:6" x14ac:dyDescent="0.2">
      <c r="C58" s="1" t="s">
        <v>1423</v>
      </c>
      <c r="F58" s="1">
        <v>16</v>
      </c>
    </row>
    <row r="59" spans="2:6" x14ac:dyDescent="0.2">
      <c r="C59" s="1" t="s">
        <v>1951</v>
      </c>
      <c r="F59" s="1">
        <v>1665</v>
      </c>
    </row>
    <row r="60" spans="2:6" x14ac:dyDescent="0.2">
      <c r="B60" s="1" t="s">
        <v>1958</v>
      </c>
      <c r="E60" s="1">
        <f>+F58</f>
        <v>16</v>
      </c>
    </row>
    <row r="61" spans="2:6" x14ac:dyDescent="0.2">
      <c r="B61" s="1" t="s">
        <v>1953</v>
      </c>
    </row>
    <row r="64" spans="2:6" x14ac:dyDescent="0.2">
      <c r="B64" s="1" t="s">
        <v>1959</v>
      </c>
    </row>
    <row r="65" spans="2:2" x14ac:dyDescent="0.2">
      <c r="B65" s="1" t="s">
        <v>1960</v>
      </c>
    </row>
    <row r="67" spans="2:2" x14ac:dyDescent="0.2">
      <c r="B67" s="1" t="s">
        <v>543</v>
      </c>
    </row>
    <row r="68" spans="2:2" x14ac:dyDescent="0.2">
      <c r="B68" s="1" t="s">
        <v>1961</v>
      </c>
    </row>
    <row r="70" spans="2:2" x14ac:dyDescent="0.2">
      <c r="B70" s="1" t="s">
        <v>405</v>
      </c>
    </row>
    <row r="71" spans="2:2" x14ac:dyDescent="0.2">
      <c r="B71" s="1" t="s">
        <v>1962</v>
      </c>
    </row>
    <row r="73" spans="2:2" x14ac:dyDescent="0.2">
      <c r="B73" s="1" t="s">
        <v>1963</v>
      </c>
    </row>
    <row r="75" spans="2:2" x14ac:dyDescent="0.2">
      <c r="B75" s="1" t="s">
        <v>1964</v>
      </c>
    </row>
    <row r="77" spans="2:2" x14ac:dyDescent="0.2">
      <c r="B77" s="1" t="s">
        <v>1965</v>
      </c>
    </row>
    <row r="79" spans="2:2" x14ac:dyDescent="0.2">
      <c r="B79" s="1" t="s">
        <v>1966</v>
      </c>
    </row>
    <row r="81" spans="2:2" x14ac:dyDescent="0.2">
      <c r="B81" s="1" t="s">
        <v>1967</v>
      </c>
    </row>
    <row r="83" spans="2:2" x14ac:dyDescent="0.2">
      <c r="B83" s="1" t="s">
        <v>1968</v>
      </c>
    </row>
  </sheetData>
  <hyperlinks>
    <hyperlink ref="A1" location="Main!A1" display="Main" xr:uid="{172E1B39-3EC4-4577-A2F6-E6A71804ED39}"/>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7CEDE-93DC-4FCC-9DE3-6BB37ABCDC8B}">
  <sheetPr codeName="Sheet30"/>
  <dimension ref="A1:S109"/>
  <sheetViews>
    <sheetView zoomScaleNormal="100" workbookViewId="0"/>
  </sheetViews>
  <sheetFormatPr defaultRowHeight="12" x14ac:dyDescent="0.2"/>
  <cols>
    <col min="1" max="1" width="9.140625" style="1"/>
    <col min="2" max="2" width="27" style="1" customWidth="1"/>
    <col min="3" max="3" width="9.5703125" style="1" bestFit="1" customWidth="1"/>
    <col min="4" max="4" width="10.7109375" style="1" bestFit="1" customWidth="1"/>
    <col min="5" max="16384" width="9.140625" style="1"/>
  </cols>
  <sheetData>
    <row r="1" spans="1:13" ht="15" x14ac:dyDescent="0.25">
      <c r="A1" s="2" t="s">
        <v>0</v>
      </c>
    </row>
    <row r="2" spans="1:13" x14ac:dyDescent="0.2">
      <c r="B2" s="1" t="s">
        <v>2117</v>
      </c>
    </row>
    <row r="3" spans="1:13" x14ac:dyDescent="0.2">
      <c r="B3" s="1" t="s">
        <v>5</v>
      </c>
      <c r="C3" s="3">
        <v>44926</v>
      </c>
    </row>
    <row r="4" spans="1:13" x14ac:dyDescent="0.2">
      <c r="B4" s="1" t="s">
        <v>2118</v>
      </c>
    </row>
    <row r="7" spans="1:13" customFormat="1" ht="15" x14ac:dyDescent="0.25">
      <c r="B7" s="94" t="s">
        <v>2088</v>
      </c>
    </row>
    <row r="8" spans="1:13" customFormat="1" ht="15" x14ac:dyDescent="0.25">
      <c r="B8" s="103" t="s">
        <v>2087</v>
      </c>
      <c r="C8" s="102"/>
    </row>
    <row r="9" spans="1:13" customFormat="1" ht="15" x14ac:dyDescent="0.25">
      <c r="B9" s="103" t="s">
        <v>2086</v>
      </c>
      <c r="C9" s="102"/>
    </row>
    <row r="10" spans="1:13" customFormat="1" ht="15" x14ac:dyDescent="0.25">
      <c r="B10" s="103" t="s">
        <v>2085</v>
      </c>
      <c r="C10" s="102"/>
    </row>
    <row r="11" spans="1:13" customFormat="1" ht="15" x14ac:dyDescent="0.25">
      <c r="B11" s="103" t="s">
        <v>2084</v>
      </c>
      <c r="C11" s="102"/>
    </row>
    <row r="12" spans="1:13" customFormat="1" ht="15" x14ac:dyDescent="0.25">
      <c r="B12" s="265" t="s">
        <v>2083</v>
      </c>
    </row>
    <row r="13" spans="1:13" customFormat="1" ht="15" x14ac:dyDescent="0.25"/>
    <row r="14" spans="1:13" customFormat="1" ht="15" x14ac:dyDescent="0.25">
      <c r="B14" s="97" t="s">
        <v>2082</v>
      </c>
      <c r="C14" s="256">
        <v>1200</v>
      </c>
      <c r="D14" s="216">
        <v>44166</v>
      </c>
      <c r="K14" s="327" t="s">
        <v>2081</v>
      </c>
      <c r="L14" s="327"/>
      <c r="M14" s="327"/>
    </row>
    <row r="15" spans="1:13" customFormat="1" ht="15" x14ac:dyDescent="0.25">
      <c r="B15" s="97" t="s">
        <v>2080</v>
      </c>
      <c r="C15" s="256">
        <f>13*C14/(50*12)</f>
        <v>26</v>
      </c>
      <c r="D15">
        <f>+YEARFRAC(D14,D17)*12</f>
        <v>13</v>
      </c>
      <c r="E15" t="s">
        <v>52</v>
      </c>
      <c r="F15" t="str">
        <f ca="1">_xlfn.FORMULATEXT(C15)</f>
        <v>=13*C14/(50*12)</v>
      </c>
      <c r="K15" s="327"/>
      <c r="L15" s="327"/>
      <c r="M15" s="327"/>
    </row>
    <row r="16" spans="1:13" customFormat="1" ht="15" x14ac:dyDescent="0.25">
      <c r="B16" s="97" t="s">
        <v>2079</v>
      </c>
      <c r="C16" s="100">
        <f>+C14-C15</f>
        <v>1174</v>
      </c>
      <c r="K16" s="327"/>
      <c r="L16" s="327"/>
      <c r="M16" s="327"/>
    </row>
    <row r="17" spans="2:13" customFormat="1" ht="15" x14ac:dyDescent="0.25">
      <c r="B17" s="97" t="s">
        <v>2078</v>
      </c>
      <c r="C17" s="100">
        <v>1750</v>
      </c>
      <c r="D17" s="216">
        <v>44562</v>
      </c>
      <c r="K17" s="327"/>
      <c r="L17" s="327"/>
      <c r="M17" s="327"/>
    </row>
    <row r="18" spans="2:13" customFormat="1" ht="15" x14ac:dyDescent="0.25">
      <c r="B18" s="97" t="s">
        <v>2039</v>
      </c>
      <c r="C18" s="256">
        <v>50</v>
      </c>
      <c r="K18" s="103"/>
      <c r="L18" s="103"/>
      <c r="M18" s="103"/>
    </row>
    <row r="19" spans="2:13" customFormat="1" ht="15" x14ac:dyDescent="0.25">
      <c r="B19" s="97" t="s">
        <v>2042</v>
      </c>
      <c r="C19" s="256">
        <f>4*12</f>
        <v>48</v>
      </c>
      <c r="K19" s="103"/>
      <c r="L19" s="103"/>
      <c r="M19" s="103"/>
    </row>
    <row r="20" spans="2:13" customFormat="1" ht="15" x14ac:dyDescent="0.25">
      <c r="B20" s="97" t="s">
        <v>2043</v>
      </c>
      <c r="C20" s="256">
        <f>+(48*12)</f>
        <v>576</v>
      </c>
      <c r="D20" t="s">
        <v>52</v>
      </c>
      <c r="K20" s="103"/>
      <c r="L20" s="103"/>
      <c r="M20" s="103"/>
    </row>
    <row r="21" spans="2:13" customFormat="1" ht="15" x14ac:dyDescent="0.25">
      <c r="B21" s="97" t="s">
        <v>2040</v>
      </c>
      <c r="C21" s="213">
        <v>0.04</v>
      </c>
      <c r="K21" s="103"/>
      <c r="L21" s="103"/>
      <c r="M21" s="103"/>
    </row>
    <row r="22" spans="2:13" customFormat="1" ht="15" x14ac:dyDescent="0.25">
      <c r="B22" s="97" t="s">
        <v>2041</v>
      </c>
      <c r="C22" s="122" t="s">
        <v>1655</v>
      </c>
      <c r="J22" s="264">
        <f>C23/C17</f>
        <v>0.10371428571428572</v>
      </c>
      <c r="K22" s="103" t="s">
        <v>2077</v>
      </c>
      <c r="L22" s="103"/>
      <c r="M22" s="103"/>
    </row>
    <row r="23" spans="2:13" customFormat="1" ht="15" x14ac:dyDescent="0.25">
      <c r="B23" s="97" t="s">
        <v>2037</v>
      </c>
      <c r="C23" s="256">
        <f>+C18*3.63</f>
        <v>181.5</v>
      </c>
      <c r="D23" s="224" t="str">
        <f ca="1">IFERROR(_xlfn.FORMULATEXT(C23)," ")</f>
        <v>=+C18*3.63</v>
      </c>
      <c r="E23" s="224" t="s">
        <v>2076</v>
      </c>
      <c r="J23" s="102"/>
      <c r="K23" s="103"/>
      <c r="L23" s="103"/>
      <c r="M23" s="103"/>
    </row>
    <row r="24" spans="2:13" customFormat="1" ht="15" x14ac:dyDescent="0.25">
      <c r="B24" s="97" t="s">
        <v>1309</v>
      </c>
      <c r="C24" s="256">
        <v>1750</v>
      </c>
      <c r="K24" s="103"/>
      <c r="L24" s="103"/>
      <c r="M24" s="103"/>
    </row>
    <row r="25" spans="2:13" customFormat="1" ht="15" x14ac:dyDescent="0.25">
      <c r="B25" s="97" t="s">
        <v>2075</v>
      </c>
      <c r="C25" s="255">
        <f>C24-C16</f>
        <v>576</v>
      </c>
      <c r="D25" s="224" t="s">
        <v>2074</v>
      </c>
      <c r="J25" s="242"/>
      <c r="K25" s="103"/>
      <c r="L25" s="103"/>
      <c r="M25" s="103"/>
    </row>
    <row r="26" spans="2:13" customFormat="1" ht="15" x14ac:dyDescent="0.25">
      <c r="J26" s="102"/>
      <c r="K26" s="103"/>
      <c r="L26" s="103"/>
      <c r="M26" s="103"/>
    </row>
    <row r="27" spans="2:13" customFormat="1" ht="15" x14ac:dyDescent="0.25">
      <c r="B27" s="263" t="s">
        <v>1862</v>
      </c>
      <c r="C27" s="164">
        <f>C24</f>
        <v>1750</v>
      </c>
      <c r="K27" s="103"/>
      <c r="L27" s="103"/>
      <c r="M27" s="103"/>
    </row>
    <row r="28" spans="2:13" customFormat="1" ht="15" x14ac:dyDescent="0.25">
      <c r="B28" t="s">
        <v>2073</v>
      </c>
      <c r="C28" s="164">
        <f>C23</f>
        <v>181.5</v>
      </c>
      <c r="K28" s="103"/>
      <c r="L28" s="103"/>
      <c r="M28" s="103"/>
    </row>
    <row r="29" spans="2:13" customFormat="1" ht="15" x14ac:dyDescent="0.25">
      <c r="B29" t="s">
        <v>2072</v>
      </c>
      <c r="C29" s="164">
        <f>(C16/C17)*C23</f>
        <v>121.76057142857142</v>
      </c>
      <c r="D29" s="224" t="s">
        <v>2071</v>
      </c>
      <c r="K29" s="103" t="s">
        <v>2070</v>
      </c>
      <c r="L29" s="103"/>
      <c r="M29" s="103"/>
    </row>
    <row r="30" spans="2:13" customFormat="1" ht="15" x14ac:dyDescent="0.25">
      <c r="B30" t="str">
        <f>IF(C25&gt;0,"CR SPL - gain on sale","DR  SPL - loss on sale")</f>
        <v>CR SPL - gain on sale</v>
      </c>
      <c r="C30" s="169">
        <f>C25/C17*(C24-C23)</f>
        <v>516.26057142857144</v>
      </c>
      <c r="D30" s="224" t="s">
        <v>2069</v>
      </c>
      <c r="K30" s="103" t="s">
        <v>2068</v>
      </c>
      <c r="L30" s="103"/>
      <c r="M30" s="103"/>
    </row>
    <row r="31" spans="2:13" customFormat="1" ht="15" x14ac:dyDescent="0.25">
      <c r="B31" t="s">
        <v>2067</v>
      </c>
      <c r="C31" s="169">
        <f>C14</f>
        <v>1200</v>
      </c>
      <c r="K31" s="103"/>
      <c r="L31" s="103"/>
      <c r="M31" s="103"/>
    </row>
    <row r="32" spans="2:13" customFormat="1" ht="15" x14ac:dyDescent="0.25">
      <c r="B32" t="s">
        <v>2066</v>
      </c>
      <c r="C32" s="169">
        <f>C15</f>
        <v>26</v>
      </c>
    </row>
    <row r="33" spans="2:7" customFormat="1" ht="15" x14ac:dyDescent="0.25">
      <c r="C33" s="164"/>
    </row>
    <row r="34" spans="2:7" customFormat="1" ht="15" x14ac:dyDescent="0.25">
      <c r="C34" s="164"/>
    </row>
    <row r="35" spans="2:7" customFormat="1" ht="15" x14ac:dyDescent="0.25">
      <c r="C35" s="164"/>
    </row>
    <row r="36" spans="2:7" customFormat="1" ht="15" x14ac:dyDescent="0.25">
      <c r="B36" t="s">
        <v>2033</v>
      </c>
      <c r="C36" s="169">
        <f>C29</f>
        <v>121.76057142857142</v>
      </c>
    </row>
    <row r="37" spans="2:7" customFormat="1" ht="15" x14ac:dyDescent="0.25">
      <c r="B37" t="s">
        <v>2065</v>
      </c>
      <c r="C37" s="169">
        <f>IF(C19&lt;C20,C36/C19,C36/C20)</f>
        <v>2.5366785714285713</v>
      </c>
      <c r="D37" s="224" t="str">
        <f>IF(C19&lt;C20,"="&amp;C36&amp;"/"&amp;C19,"="&amp;C36&amp;"/"&amp;C20)</f>
        <v>=121.760571428571/48</v>
      </c>
      <c r="E37" s="102"/>
    </row>
    <row r="39" spans="2:7" customFormat="1" ht="15" x14ac:dyDescent="0.25">
      <c r="B39" s="115" t="s">
        <v>2016</v>
      </c>
    </row>
    <row r="40" spans="2:7" customFormat="1" ht="15" x14ac:dyDescent="0.25">
      <c r="B40" s="103" t="s">
        <v>2017</v>
      </c>
    </row>
    <row r="41" spans="2:7" customFormat="1" ht="15" x14ac:dyDescent="0.25">
      <c r="B41" s="103" t="s">
        <v>2018</v>
      </c>
    </row>
    <row r="42" spans="2:7" customFormat="1" ht="15" x14ac:dyDescent="0.25">
      <c r="B42" s="103" t="s">
        <v>2019</v>
      </c>
    </row>
    <row r="43" spans="2:7" customFormat="1" ht="15" x14ac:dyDescent="0.25">
      <c r="B43" s="103" t="s">
        <v>2020</v>
      </c>
    </row>
    <row r="44" spans="2:7" customFormat="1" ht="15" x14ac:dyDescent="0.25"/>
    <row r="45" spans="2:7" customFormat="1" ht="15" x14ac:dyDescent="0.25">
      <c r="B45" s="103" t="s">
        <v>2021</v>
      </c>
      <c r="G45" s="103" t="s">
        <v>2022</v>
      </c>
    </row>
    <row r="46" spans="2:7" customFormat="1" ht="15" x14ac:dyDescent="0.25">
      <c r="B46" s="103" t="s">
        <v>2023</v>
      </c>
      <c r="G46" s="103" t="s">
        <v>2024</v>
      </c>
    </row>
    <row r="47" spans="2:7" customFormat="1" ht="15" x14ac:dyDescent="0.25">
      <c r="B47" s="103" t="s">
        <v>2025</v>
      </c>
      <c r="G47" s="103" t="s">
        <v>2026</v>
      </c>
    </row>
    <row r="48" spans="2:7" customFormat="1" ht="15" x14ac:dyDescent="0.25">
      <c r="B48" s="103" t="s">
        <v>2027</v>
      </c>
      <c r="G48" s="103" t="s">
        <v>2028</v>
      </c>
    </row>
    <row r="49" spans="2:19" customFormat="1" ht="15" x14ac:dyDescent="0.25">
      <c r="B49" s="103" t="s">
        <v>2029</v>
      </c>
    </row>
    <row r="50" spans="2:19" customFormat="1" ht="15" x14ac:dyDescent="0.25">
      <c r="B50" s="103" t="s">
        <v>2030</v>
      </c>
      <c r="G50" s="254" t="s">
        <v>2031</v>
      </c>
    </row>
    <row r="51" spans="2:19" customFormat="1" ht="15" x14ac:dyDescent="0.25">
      <c r="B51" s="115" t="s">
        <v>2032</v>
      </c>
    </row>
    <row r="52" spans="2:19" customFormat="1" ht="15" x14ac:dyDescent="0.25"/>
    <row r="53" spans="2:19" customFormat="1" ht="15" x14ac:dyDescent="0.25">
      <c r="B53" s="97" t="s">
        <v>2033</v>
      </c>
      <c r="C53" s="255">
        <f>+C36</f>
        <v>121.76057142857142</v>
      </c>
      <c r="D53" t="s">
        <v>32</v>
      </c>
      <c r="E53" s="224" t="s">
        <v>2034</v>
      </c>
    </row>
    <row r="54" spans="2:19" customFormat="1" ht="15" x14ac:dyDescent="0.25">
      <c r="B54" s="97" t="s">
        <v>2035</v>
      </c>
      <c r="C54" s="256">
        <v>0</v>
      </c>
      <c r="E54" s="224" t="s">
        <v>2036</v>
      </c>
      <c r="R54" s="106"/>
      <c r="S54" s="106"/>
    </row>
    <row r="55" spans="2:19" customFormat="1" ht="15" x14ac:dyDescent="0.25">
      <c r="B55" s="97" t="s">
        <v>2037</v>
      </c>
      <c r="C55" s="256">
        <f>+C28</f>
        <v>181.5</v>
      </c>
      <c r="D55" t="str">
        <f ca="1">IFERROR(_xlfn.FORMULATEXT(C55)," ")</f>
        <v>=+C28</v>
      </c>
      <c r="E55" t="s">
        <v>2038</v>
      </c>
      <c r="R55" s="106"/>
      <c r="S55" s="106"/>
    </row>
    <row r="56" spans="2:19" customFormat="1" ht="15" x14ac:dyDescent="0.25">
      <c r="B56" s="97" t="s">
        <v>2039</v>
      </c>
      <c r="C56" s="256">
        <f>+C18</f>
        <v>50</v>
      </c>
      <c r="R56" s="106"/>
      <c r="S56" s="106"/>
    </row>
    <row r="57" spans="2:19" customFormat="1" ht="15" x14ac:dyDescent="0.25">
      <c r="B57" s="97" t="s">
        <v>2040</v>
      </c>
      <c r="C57" s="213">
        <f>+C21</f>
        <v>0.04</v>
      </c>
    </row>
    <row r="58" spans="2:19" customFormat="1" ht="15" x14ac:dyDescent="0.25">
      <c r="B58" s="97" t="s">
        <v>2041</v>
      </c>
      <c r="C58" s="122" t="s">
        <v>1655</v>
      </c>
    </row>
    <row r="59" spans="2:19" customFormat="1" ht="15" x14ac:dyDescent="0.25">
      <c r="B59" s="97" t="s">
        <v>2042</v>
      </c>
      <c r="C59" s="122">
        <v>4</v>
      </c>
      <c r="D59" t="s">
        <v>740</v>
      </c>
    </row>
    <row r="60" spans="2:19" customFormat="1" ht="15" x14ac:dyDescent="0.25">
      <c r="B60" s="97" t="s">
        <v>2043</v>
      </c>
      <c r="C60" s="122">
        <v>48</v>
      </c>
      <c r="D60" t="s">
        <v>740</v>
      </c>
    </row>
    <row r="61" spans="2:19" customFormat="1" ht="15" x14ac:dyDescent="0.25">
      <c r="B61" s="97" t="s">
        <v>2044</v>
      </c>
      <c r="C61" s="122" t="s">
        <v>2120</v>
      </c>
      <c r="E61" s="102"/>
      <c r="R61" s="106"/>
    </row>
    <row r="62" spans="2:19" customFormat="1" ht="15" x14ac:dyDescent="0.25">
      <c r="B62" s="97" t="s">
        <v>2045</v>
      </c>
      <c r="C62" s="256">
        <v>0</v>
      </c>
      <c r="D62" s="102"/>
      <c r="F62" s="224" t="s">
        <v>2046</v>
      </c>
      <c r="S62" s="106"/>
    </row>
    <row r="63" spans="2:19" customFormat="1" ht="15" x14ac:dyDescent="0.25">
      <c r="B63" s="97" t="s">
        <v>2047</v>
      </c>
      <c r="C63" s="256">
        <v>0</v>
      </c>
      <c r="S63" s="106"/>
    </row>
    <row r="64" spans="2:19" customFormat="1" ht="15" x14ac:dyDescent="0.25">
      <c r="B64" s="97"/>
      <c r="S64" s="106"/>
    </row>
    <row r="65" spans="2:19" customFormat="1" ht="15" x14ac:dyDescent="0.25">
      <c r="S65" s="106"/>
    </row>
    <row r="66" spans="2:19" customFormat="1" ht="15.75" thickBot="1" x14ac:dyDescent="0.3">
      <c r="B66" s="257" t="s">
        <v>2048</v>
      </c>
    </row>
    <row r="67" spans="2:19" customFormat="1" ht="15.75" thickBot="1" x14ac:dyDescent="0.3">
      <c r="B67" s="152" t="s">
        <v>1657</v>
      </c>
      <c r="C67" s="153" t="s">
        <v>2049</v>
      </c>
      <c r="D67" s="153" t="s">
        <v>2050</v>
      </c>
      <c r="E67" s="153" t="s">
        <v>2051</v>
      </c>
      <c r="F67" s="154" t="s">
        <v>2052</v>
      </c>
    </row>
    <row r="68" spans="2:19" customFormat="1" ht="15" x14ac:dyDescent="0.25">
      <c r="B68" s="155"/>
      <c r="C68" s="156" t="s">
        <v>248</v>
      </c>
      <c r="D68" s="156" t="s">
        <v>248</v>
      </c>
      <c r="E68" s="156" t="s">
        <v>248</v>
      </c>
      <c r="F68" s="157" t="s">
        <v>248</v>
      </c>
    </row>
    <row r="69" spans="2:19" customFormat="1" ht="15" x14ac:dyDescent="0.25">
      <c r="B69" s="158">
        <v>44561</v>
      </c>
      <c r="C69" s="128">
        <f>C55</f>
        <v>181.5</v>
      </c>
      <c r="D69" s="128">
        <f t="shared" ref="D69:D74" si="0">IF($C$58="arrears",C69*$C$57,(C69+E69)*$C$57)</f>
        <v>7.26</v>
      </c>
      <c r="E69" s="258">
        <f>IF(C58="ADVANCE",0,-$C$56)</f>
        <v>-50</v>
      </c>
      <c r="F69" s="114">
        <f t="shared" ref="F69:F74" si="1">C69+D69+E69</f>
        <v>138.76</v>
      </c>
      <c r="I69" s="102"/>
    </row>
    <row r="70" spans="2:19" customFormat="1" ht="15" x14ac:dyDescent="0.25">
      <c r="B70" s="158">
        <f>B69+365</f>
        <v>44926</v>
      </c>
      <c r="C70" s="128">
        <f>F69</f>
        <v>138.76</v>
      </c>
      <c r="D70" s="128">
        <f t="shared" si="0"/>
        <v>5.5503999999999998</v>
      </c>
      <c r="E70" s="258">
        <f>-$C$56</f>
        <v>-50</v>
      </c>
      <c r="F70" s="114">
        <f t="shared" si="1"/>
        <v>94.310399999999987</v>
      </c>
      <c r="H70" s="102"/>
    </row>
    <row r="71" spans="2:19" customFormat="1" ht="15" x14ac:dyDescent="0.25">
      <c r="B71" s="158">
        <f>B70+365</f>
        <v>45291</v>
      </c>
      <c r="C71" s="128">
        <f>F70</f>
        <v>94.310399999999987</v>
      </c>
      <c r="D71" s="128">
        <f t="shared" si="0"/>
        <v>3.7724159999999998</v>
      </c>
      <c r="E71" s="258">
        <f>-$C$56</f>
        <v>-50</v>
      </c>
      <c r="F71" s="114">
        <f t="shared" si="1"/>
        <v>48.08281599999998</v>
      </c>
      <c r="I71" s="102"/>
      <c r="J71" s="102"/>
    </row>
    <row r="72" spans="2:19" customFormat="1" ht="15" x14ac:dyDescent="0.25">
      <c r="B72" s="158">
        <f>B71+365</f>
        <v>45656</v>
      </c>
      <c r="C72" s="102">
        <f>F71</f>
        <v>48.08281599999998</v>
      </c>
      <c r="D72" s="128">
        <f t="shared" si="0"/>
        <v>1.9233126399999991</v>
      </c>
      <c r="E72" s="258">
        <f>-$C$56</f>
        <v>-50</v>
      </c>
      <c r="F72" s="114">
        <f t="shared" si="1"/>
        <v>6.1286399999787022E-3</v>
      </c>
      <c r="I72" s="102"/>
      <c r="J72" s="102"/>
    </row>
    <row r="73" spans="2:19" customFormat="1" ht="15" x14ac:dyDescent="0.25">
      <c r="B73" s="158">
        <f>B72+365</f>
        <v>46021</v>
      </c>
      <c r="C73" s="102">
        <f>F72</f>
        <v>6.1286399999787022E-3</v>
      </c>
      <c r="D73" s="128">
        <f t="shared" si="0"/>
        <v>2.4514559999914807E-4</v>
      </c>
      <c r="E73" s="258">
        <f>-$C$56</f>
        <v>-50</v>
      </c>
      <c r="F73" s="114">
        <f t="shared" si="1"/>
        <v>-49.993626214400024</v>
      </c>
    </row>
    <row r="74" spans="2:19" customFormat="1" ht="15" x14ac:dyDescent="0.25">
      <c r="B74" s="158">
        <f>B73+365</f>
        <v>46386</v>
      </c>
      <c r="C74" s="102">
        <f>F73</f>
        <v>-49.993626214400024</v>
      </c>
      <c r="D74" s="128">
        <f t="shared" si="0"/>
        <v>-1.9997450485760011</v>
      </c>
      <c r="E74" s="258">
        <f>-$C$56</f>
        <v>-50</v>
      </c>
      <c r="F74" s="114">
        <f t="shared" si="1"/>
        <v>-101.99337126297603</v>
      </c>
    </row>
    <row r="75" spans="2:19" customFormat="1" ht="15" x14ac:dyDescent="0.25">
      <c r="B75" s="113"/>
      <c r="F75" s="112"/>
    </row>
    <row r="76" spans="2:19" customFormat="1" ht="15" x14ac:dyDescent="0.25">
      <c r="B76" s="113"/>
      <c r="F76" s="112"/>
    </row>
    <row r="77" spans="2:19" customFormat="1" ht="15" x14ac:dyDescent="0.25">
      <c r="B77" s="113" t="s">
        <v>2053</v>
      </c>
      <c r="C77" s="102">
        <f>F70</f>
        <v>94.310399999999987</v>
      </c>
      <c r="F77" s="112"/>
    </row>
    <row r="78" spans="2:19" customFormat="1" ht="15" x14ac:dyDescent="0.25">
      <c r="B78" s="113" t="s">
        <v>2054</v>
      </c>
      <c r="C78" s="102">
        <f>F69-F70</f>
        <v>44.449600000000004</v>
      </c>
      <c r="D78" s="104" t="s">
        <v>1663</v>
      </c>
      <c r="E78" s="102"/>
      <c r="F78" s="112"/>
      <c r="G78" t="s">
        <v>2055</v>
      </c>
    </row>
    <row r="79" spans="2:19" customFormat="1" ht="15.75" thickBot="1" x14ac:dyDescent="0.3">
      <c r="B79" s="111" t="str">
        <f>"Lease payable at year end"</f>
        <v>Lease payable at year end</v>
      </c>
      <c r="C79" s="259">
        <f>C77+C78</f>
        <v>138.76</v>
      </c>
      <c r="F79" s="112"/>
    </row>
    <row r="80" spans="2:19" customFormat="1" ht="15.75" thickBot="1" x14ac:dyDescent="0.3">
      <c r="B80" s="118"/>
      <c r="C80" s="119"/>
      <c r="D80" s="119"/>
      <c r="E80" s="119"/>
      <c r="F80" s="120"/>
    </row>
    <row r="81" spans="2:5" customFormat="1" ht="15" x14ac:dyDescent="0.25">
      <c r="B81" s="103" t="s">
        <v>2056</v>
      </c>
    </row>
    <row r="82" spans="2:5" customFormat="1" ht="15" x14ac:dyDescent="0.25">
      <c r="B82" t="s">
        <v>2033</v>
      </c>
      <c r="C82" s="106">
        <f>C53</f>
        <v>121.76057142857142</v>
      </c>
      <c r="D82" s="106"/>
    </row>
    <row r="83" spans="2:5" customFormat="1" ht="15" x14ac:dyDescent="0.25">
      <c r="B83" t="s">
        <v>2057</v>
      </c>
      <c r="C83" s="106" cm="1">
        <f t="array" ref="C83">_xlfn.IFS(AND($C$59&lt;$C$60,$C$61="No"),(C82-$C$62)/$C$59,OR($C$60&lt;$C$59,$C$61="Yes"),(C82-$C$63)/$C$60)</f>
        <v>30.440142857142856</v>
      </c>
      <c r="D83" s="106"/>
      <c r="E83" s="102"/>
    </row>
    <row r="84" spans="2:5" customFormat="1" ht="15.75" thickBot="1" x14ac:dyDescent="0.3">
      <c r="C84" s="106"/>
      <c r="D84" s="106"/>
      <c r="E84" s="102"/>
    </row>
    <row r="85" spans="2:5" customFormat="1" ht="15.75" thickBot="1" x14ac:dyDescent="0.3">
      <c r="B85" s="152" t="s">
        <v>2058</v>
      </c>
      <c r="C85" s="153"/>
      <c r="D85" s="154"/>
      <c r="E85" s="102"/>
    </row>
    <row r="86" spans="2:5" customFormat="1" ht="15" x14ac:dyDescent="0.25">
      <c r="B86" s="113"/>
      <c r="D86" s="112"/>
      <c r="E86" s="102"/>
    </row>
    <row r="87" spans="2:5" customFormat="1" ht="15" x14ac:dyDescent="0.25">
      <c r="B87" s="113"/>
      <c r="C87" s="156" t="s">
        <v>2059</v>
      </c>
      <c r="D87" s="157" t="s">
        <v>2060</v>
      </c>
      <c r="E87" s="102"/>
    </row>
    <row r="88" spans="2:5" customFormat="1" ht="15" x14ac:dyDescent="0.25">
      <c r="B88" s="113"/>
      <c r="C88" s="95" t="s">
        <v>44</v>
      </c>
      <c r="D88" s="260" t="s">
        <v>44</v>
      </c>
      <c r="E88" s="102"/>
    </row>
    <row r="89" spans="2:5" customFormat="1" ht="15" x14ac:dyDescent="0.25">
      <c r="B89" s="113" t="s">
        <v>2062</v>
      </c>
      <c r="C89" s="164">
        <f>D69</f>
        <v>7.26</v>
      </c>
      <c r="D89" s="165"/>
      <c r="E89" s="102"/>
    </row>
    <row r="90" spans="2:5" customFormat="1" ht="15" x14ac:dyDescent="0.25">
      <c r="B90" s="113" t="s">
        <v>2104</v>
      </c>
      <c r="C90" s="163">
        <f>IF((D69+E69)&lt;0,-(D69+E69),0)</f>
        <v>42.74</v>
      </c>
      <c r="D90" s="268">
        <f>IF((D69+E69)&gt;0,(D69+E69),0)</f>
        <v>0</v>
      </c>
      <c r="E90" s="102"/>
    </row>
    <row r="91" spans="2:5" customFormat="1" ht="15" x14ac:dyDescent="0.25">
      <c r="B91" s="116" t="s">
        <v>2119</v>
      </c>
      <c r="C91" s="164"/>
      <c r="D91" s="165">
        <f>-E69</f>
        <v>50</v>
      </c>
      <c r="E91" s="102"/>
    </row>
    <row r="92" spans="2:5" customFormat="1" ht="15" x14ac:dyDescent="0.25">
      <c r="B92" s="113"/>
      <c r="C92" s="164"/>
      <c r="D92" s="165"/>
      <c r="E92" s="102"/>
    </row>
    <row r="93" spans="2:5" customFormat="1" ht="15" x14ac:dyDescent="0.25">
      <c r="B93" s="113"/>
      <c r="C93" s="164"/>
      <c r="D93" s="165"/>
      <c r="E93" s="102"/>
    </row>
    <row r="94" spans="2:5" customFormat="1" ht="15" x14ac:dyDescent="0.25">
      <c r="B94" s="113"/>
      <c r="C94" s="269" t="s">
        <v>2059</v>
      </c>
      <c r="D94" s="270" t="s">
        <v>2060</v>
      </c>
      <c r="E94" s="102"/>
    </row>
    <row r="95" spans="2:5" customFormat="1" ht="15" x14ac:dyDescent="0.25">
      <c r="B95" s="113"/>
      <c r="C95" s="271" t="s">
        <v>44</v>
      </c>
      <c r="D95" s="272" t="s">
        <v>44</v>
      </c>
      <c r="E95" s="102"/>
    </row>
    <row r="96" spans="2:5" customFormat="1" ht="15" x14ac:dyDescent="0.25">
      <c r="B96" s="113" t="s">
        <v>2063</v>
      </c>
      <c r="C96" s="164">
        <f>C83</f>
        <v>30.440142857142856</v>
      </c>
      <c r="D96" s="165"/>
      <c r="E96" s="102"/>
    </row>
    <row r="97" spans="2:5" customFormat="1" ht="15" x14ac:dyDescent="0.25">
      <c r="B97" s="113" t="s">
        <v>2064</v>
      </c>
      <c r="C97" s="164"/>
      <c r="D97" s="165">
        <f>C83</f>
        <v>30.440142857142856</v>
      </c>
      <c r="E97" s="102"/>
    </row>
    <row r="98" spans="2:5" customFormat="1" ht="15" x14ac:dyDescent="0.25">
      <c r="B98" s="113"/>
      <c r="C98" s="164"/>
      <c r="D98" s="165"/>
      <c r="E98" s="102"/>
    </row>
    <row r="99" spans="2:5" customFormat="1" ht="15.75" thickBot="1" x14ac:dyDescent="0.3">
      <c r="B99" s="118"/>
      <c r="C99" s="273"/>
      <c r="D99" s="274"/>
      <c r="E99" s="102"/>
    </row>
    <row r="100" spans="2:5" x14ac:dyDescent="0.2">
      <c r="C100" s="89"/>
      <c r="D100" s="89"/>
    </row>
    <row r="101" spans="2:5" x14ac:dyDescent="0.2">
      <c r="C101" s="89"/>
      <c r="D101" s="89"/>
    </row>
    <row r="102" spans="2:5" x14ac:dyDescent="0.2">
      <c r="B102" s="1" t="s">
        <v>2121</v>
      </c>
      <c r="C102" s="89"/>
      <c r="D102" s="89"/>
    </row>
    <row r="103" spans="2:5" x14ac:dyDescent="0.2">
      <c r="B103" s="1" t="s">
        <v>2122</v>
      </c>
      <c r="C103" s="89">
        <f>+C14*12/(50*12)</f>
        <v>24</v>
      </c>
      <c r="D103" s="89"/>
    </row>
    <row r="104" spans="2:5" ht="15" x14ac:dyDescent="0.25">
      <c r="B104" s="113" t="s">
        <v>2064</v>
      </c>
      <c r="C104" s="164"/>
      <c r="D104" s="165">
        <f>+C103</f>
        <v>24</v>
      </c>
    </row>
    <row r="105" spans="2:5" x14ac:dyDescent="0.2">
      <c r="C105" s="89"/>
      <c r="D105" s="89"/>
    </row>
    <row r="106" spans="2:5" x14ac:dyDescent="0.2">
      <c r="B106" s="1" t="s">
        <v>502</v>
      </c>
      <c r="C106" s="89"/>
      <c r="D106" s="89"/>
    </row>
    <row r="107" spans="2:5" x14ac:dyDescent="0.2">
      <c r="B107" s="1" t="s">
        <v>606</v>
      </c>
      <c r="C107" s="89">
        <f>+C96-C103</f>
        <v>6.4401428571428561</v>
      </c>
      <c r="D107" s="89"/>
    </row>
    <row r="108" spans="2:5" x14ac:dyDescent="0.2">
      <c r="B108" s="1" t="s">
        <v>1571</v>
      </c>
      <c r="C108" s="89"/>
      <c r="D108" s="89">
        <f>+D97-D104</f>
        <v>6.4401428571428561</v>
      </c>
    </row>
    <row r="109" spans="2:5" x14ac:dyDescent="0.2">
      <c r="B109" s="1" t="s">
        <v>2123</v>
      </c>
    </row>
  </sheetData>
  <mergeCells count="1">
    <mergeCell ref="K14:M17"/>
  </mergeCells>
  <hyperlinks>
    <hyperlink ref="A1" location="Main!A1" display="Main" xr:uid="{3F22A63F-3067-4A80-ACD9-77D923EA6EB3}"/>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58C0B-C763-49E4-B66A-83E8EA29B64E}">
  <sheetPr codeName="Sheet11"/>
  <dimension ref="A1:XFD688"/>
  <sheetViews>
    <sheetView zoomScale="115" zoomScaleNormal="115" workbookViewId="0"/>
  </sheetViews>
  <sheetFormatPr defaultRowHeight="12" x14ac:dyDescent="0.2"/>
  <cols>
    <col min="1" max="1" width="9.140625" style="1"/>
    <col min="2" max="2" width="16.85546875" style="1" bestFit="1" customWidth="1"/>
    <col min="3" max="3" width="18.140625" style="1" customWidth="1"/>
    <col min="4" max="4" width="9.140625" style="1"/>
    <col min="5" max="6" width="10.140625" style="1" bestFit="1" customWidth="1"/>
    <col min="7" max="16384" width="9.140625" style="1"/>
  </cols>
  <sheetData>
    <row r="1" spans="1:15" ht="15" x14ac:dyDescent="0.25">
      <c r="A1" s="2" t="s">
        <v>0</v>
      </c>
    </row>
    <row r="2" spans="1:15" x14ac:dyDescent="0.2">
      <c r="B2" s="1" t="s">
        <v>1388</v>
      </c>
    </row>
    <row r="3" spans="1:15" x14ac:dyDescent="0.2">
      <c r="B3" s="1" t="s">
        <v>5</v>
      </c>
      <c r="C3" s="3">
        <v>44651</v>
      </c>
    </row>
    <row r="14" spans="1:15" customFormat="1" ht="15" x14ac:dyDescent="0.25">
      <c r="B14" s="94" t="s">
        <v>2397</v>
      </c>
      <c r="O14" s="115"/>
    </row>
    <row r="15" spans="1:15" customFormat="1" ht="15" x14ac:dyDescent="0.25">
      <c r="B15" t="s">
        <v>2398</v>
      </c>
      <c r="C15" s="100">
        <v>50</v>
      </c>
    </row>
    <row r="16" spans="1:15" customFormat="1" ht="15" x14ac:dyDescent="0.25">
      <c r="B16" t="s">
        <v>2399</v>
      </c>
      <c r="C16" s="212">
        <v>0.5</v>
      </c>
    </row>
    <row r="17" spans="2:6 16384:16384" customFormat="1" ht="15" x14ac:dyDescent="0.25">
      <c r="B17" t="s">
        <v>2400</v>
      </c>
      <c r="C17" s="212">
        <f>121/C15</f>
        <v>2.42</v>
      </c>
    </row>
    <row r="18" spans="2:6 16384:16384" customFormat="1" ht="15" x14ac:dyDescent="0.25">
      <c r="B18" t="s">
        <v>2401</v>
      </c>
      <c r="C18" s="104">
        <v>0</v>
      </c>
    </row>
    <row r="19" spans="2:6 16384:16384" customFormat="1" ht="15" x14ac:dyDescent="0.25"/>
    <row r="20" spans="2:6 16384:16384" customFormat="1" ht="15" x14ac:dyDescent="0.25">
      <c r="B20" t="s">
        <v>2769</v>
      </c>
      <c r="C20" s="1"/>
      <c r="D20" s="106">
        <f>C15*C17-C18</f>
        <v>121</v>
      </c>
      <c r="XFD20" s="1"/>
    </row>
    <row r="21" spans="2:6 16384:16384" customFormat="1" ht="15" x14ac:dyDescent="0.25">
      <c r="B21" t="s">
        <v>1855</v>
      </c>
      <c r="E21" s="106">
        <f>C15*C16</f>
        <v>25</v>
      </c>
    </row>
    <row r="22" spans="2:6 16384:16384" customFormat="1" ht="15" x14ac:dyDescent="0.25">
      <c r="B22" t="s">
        <v>1854</v>
      </c>
      <c r="E22" s="106">
        <f>IF(C18&lt;(C17-C16)*C15,(C17-C16)*C15-C18,(C17-C16)*C15)</f>
        <v>96</v>
      </c>
    </row>
    <row r="23" spans="2:6 16384:16384" customFormat="1" ht="15" x14ac:dyDescent="0.25">
      <c r="E23" s="106"/>
    </row>
    <row r="24" spans="2:6 16384:16384" customFormat="1" ht="15" x14ac:dyDescent="0.25">
      <c r="B24" s="94" t="s">
        <v>2389</v>
      </c>
    </row>
    <row r="25" spans="2:6 16384:16384" customFormat="1" ht="15" x14ac:dyDescent="0.25">
      <c r="B25" t="s">
        <v>2390</v>
      </c>
      <c r="C25" s="104">
        <v>1</v>
      </c>
      <c r="D25" t="s">
        <v>2391</v>
      </c>
      <c r="E25" s="263">
        <v>5</v>
      </c>
    </row>
    <row r="26" spans="2:6 16384:16384" customFormat="1" ht="15" x14ac:dyDescent="0.25">
      <c r="B26" t="s">
        <v>1844</v>
      </c>
      <c r="C26" s="212">
        <v>1</v>
      </c>
    </row>
    <row r="27" spans="2:6 16384:16384" customFormat="1" ht="15" x14ac:dyDescent="0.25">
      <c r="B27" t="s">
        <v>2392</v>
      </c>
      <c r="C27" s="183">
        <f>10000+50</f>
        <v>10050</v>
      </c>
    </row>
    <row r="28" spans="2:6 16384:16384" customFormat="1" ht="15" x14ac:dyDescent="0.25">
      <c r="B28" t="s">
        <v>2393</v>
      </c>
      <c r="C28" s="147">
        <v>1</v>
      </c>
    </row>
    <row r="29" spans="2:6 16384:16384" customFormat="1" ht="15" x14ac:dyDescent="0.25">
      <c r="B29" t="s">
        <v>1858</v>
      </c>
      <c r="C29" s="212">
        <v>0.5</v>
      </c>
    </row>
    <row r="30" spans="2:6 16384:16384" customFormat="1" ht="15" x14ac:dyDescent="0.25"/>
    <row r="31" spans="2:6 16384:16384" customFormat="1" ht="15" x14ac:dyDescent="0.25"/>
    <row r="32" spans="2:6 16384:16384" customFormat="1" ht="15" x14ac:dyDescent="0.25">
      <c r="B32" t="s">
        <v>2394</v>
      </c>
      <c r="C32" s="164">
        <f>(C27/E25)*C25*C28</f>
        <v>2010</v>
      </c>
      <c r="D32" s="164"/>
      <c r="E32" s="331" t="str">
        <f>"="&amp;C27&amp;"/"&amp;E25&amp;"*"&amp;C25&amp;"*"&amp;C28</f>
        <v>=10050/5*1*1</v>
      </c>
      <c r="F32" s="164"/>
    </row>
    <row r="33" spans="2:6" customFormat="1" ht="15" x14ac:dyDescent="0.25">
      <c r="B33" t="s">
        <v>1309</v>
      </c>
      <c r="C33" s="164">
        <f>C32*C26</f>
        <v>2010</v>
      </c>
      <c r="D33" s="164"/>
      <c r="E33" s="164"/>
      <c r="F33" s="164"/>
    </row>
    <row r="34" spans="2:6" customFormat="1" ht="15" x14ac:dyDescent="0.25">
      <c r="C34" s="164"/>
      <c r="D34" s="164"/>
      <c r="E34" s="164"/>
      <c r="F34" s="164"/>
    </row>
    <row r="35" spans="2:6" customFormat="1" ht="15" x14ac:dyDescent="0.25">
      <c r="B35" t="str">
        <f>"Share capital (£"&amp;C29&amp;"*"&amp;C32&amp;")"</f>
        <v>Share capital (£0.5*2010)</v>
      </c>
      <c r="C35" s="164">
        <f>C29*C32</f>
        <v>1005</v>
      </c>
      <c r="D35" s="164"/>
      <c r="E35" s="164"/>
      <c r="F35" s="164"/>
    </row>
    <row r="36" spans="2:6" customFormat="1" ht="15" x14ac:dyDescent="0.25">
      <c r="B36" t="s">
        <v>974</v>
      </c>
      <c r="C36" s="164">
        <f>C33-C32</f>
        <v>0</v>
      </c>
      <c r="D36" s="164"/>
      <c r="E36" s="164"/>
      <c r="F36" s="164"/>
    </row>
    <row r="37" spans="2:6" customFormat="1" ht="15.75" thickBot="1" x14ac:dyDescent="0.3">
      <c r="B37" t="s">
        <v>1309</v>
      </c>
      <c r="C37" s="285">
        <f>SUM(C35:C36)</f>
        <v>1005</v>
      </c>
      <c r="D37" s="164"/>
      <c r="E37" s="164"/>
      <c r="F37" s="164"/>
    </row>
    <row r="38" spans="2:6" customFormat="1" ht="15.75" thickTop="1" x14ac:dyDescent="0.25">
      <c r="C38" s="164"/>
      <c r="D38" s="164"/>
      <c r="E38" s="164"/>
      <c r="F38" s="164"/>
    </row>
    <row r="39" spans="2:6" customFormat="1" ht="15" x14ac:dyDescent="0.25">
      <c r="B39" s="104" t="s">
        <v>2768</v>
      </c>
      <c r="C39" s="89"/>
      <c r="D39" s="89"/>
      <c r="E39" s="164">
        <f>C37</f>
        <v>1005</v>
      </c>
      <c r="F39" s="164"/>
    </row>
    <row r="40" spans="2:6" customFormat="1" ht="15" x14ac:dyDescent="0.25">
      <c r="B40" s="1"/>
      <c r="C40" s="164" t="s">
        <v>1855</v>
      </c>
      <c r="D40" s="164"/>
      <c r="E40" s="164"/>
      <c r="F40" s="164">
        <f>C35</f>
        <v>1005</v>
      </c>
    </row>
    <row r="53" spans="2:4" x14ac:dyDescent="0.2">
      <c r="B53" s="1" t="s">
        <v>49</v>
      </c>
    </row>
    <row r="54" spans="2:4" x14ac:dyDescent="0.2">
      <c r="B54" s="3">
        <v>44498</v>
      </c>
    </row>
    <row r="56" spans="2:4" x14ac:dyDescent="0.2">
      <c r="B56" s="3"/>
      <c r="C56" s="1" t="s">
        <v>2774</v>
      </c>
      <c r="D56" s="1" t="s">
        <v>2775</v>
      </c>
    </row>
    <row r="57" spans="2:4" x14ac:dyDescent="0.2">
      <c r="B57" s="1" t="s">
        <v>2770</v>
      </c>
      <c r="C57" s="89">
        <v>200000</v>
      </c>
      <c r="D57" s="89">
        <v>50000</v>
      </c>
    </row>
    <row r="58" spans="2:4" x14ac:dyDescent="0.2">
      <c r="B58" s="1" t="s">
        <v>2771</v>
      </c>
      <c r="C58" s="1">
        <v>2.6</v>
      </c>
      <c r="D58" s="1">
        <v>1.8</v>
      </c>
    </row>
    <row r="59" spans="2:4" x14ac:dyDescent="0.2">
      <c r="B59" s="1" t="s">
        <v>213</v>
      </c>
      <c r="C59" s="89">
        <f>+C57*C58</f>
        <v>520000</v>
      </c>
      <c r="D59" s="89">
        <f>+D57*D58</f>
        <v>90000</v>
      </c>
    </row>
    <row r="60" spans="2:4" x14ac:dyDescent="0.2">
      <c r="B60" s="1" t="s">
        <v>2772</v>
      </c>
      <c r="C60" s="89">
        <v>9000</v>
      </c>
      <c r="D60" s="89">
        <v>2000</v>
      </c>
    </row>
    <row r="61" spans="2:4" x14ac:dyDescent="0.2">
      <c r="B61" s="1" t="s">
        <v>2773</v>
      </c>
      <c r="C61" s="11" t="s">
        <v>2120</v>
      </c>
      <c r="D61" s="11" t="s">
        <v>2090</v>
      </c>
    </row>
    <row r="63" spans="2:4" x14ac:dyDescent="0.2">
      <c r="B63" s="1" t="s">
        <v>1675</v>
      </c>
      <c r="C63" s="89">
        <f>+C59</f>
        <v>520000</v>
      </c>
      <c r="D63" s="89">
        <f>+D59+D60</f>
        <v>92000</v>
      </c>
    </row>
    <row r="64" spans="2:4" x14ac:dyDescent="0.2">
      <c r="B64" s="1" t="s">
        <v>2176</v>
      </c>
      <c r="C64" s="89">
        <f>+C60</f>
        <v>9000</v>
      </c>
    </row>
    <row r="66" spans="2:6" x14ac:dyDescent="0.2">
      <c r="B66" s="3">
        <v>44651</v>
      </c>
    </row>
    <row r="67" spans="2:6" x14ac:dyDescent="0.2">
      <c r="B67" s="1" t="s">
        <v>32</v>
      </c>
      <c r="C67" s="1">
        <v>2.87</v>
      </c>
      <c r="D67" s="1">
        <v>1.18</v>
      </c>
    </row>
    <row r="68" spans="2:6" x14ac:dyDescent="0.2">
      <c r="C68" s="89">
        <f>+C67*C57</f>
        <v>574000</v>
      </c>
      <c r="D68" s="89">
        <f>+D67*D57</f>
        <v>59000</v>
      </c>
    </row>
    <row r="69" spans="2:6" x14ac:dyDescent="0.2">
      <c r="B69" s="1" t="s">
        <v>2778</v>
      </c>
      <c r="C69" s="89">
        <f>+C68-C63</f>
        <v>54000</v>
      </c>
      <c r="D69" s="89">
        <f>+D68-D63</f>
        <v>-33000</v>
      </c>
    </row>
    <row r="72" spans="2:6" x14ac:dyDescent="0.2">
      <c r="B72" s="1" t="s">
        <v>2776</v>
      </c>
    </row>
    <row r="73" spans="2:6" x14ac:dyDescent="0.2">
      <c r="B73" s="1" t="s">
        <v>1391</v>
      </c>
      <c r="E73" s="89">
        <f>+C60</f>
        <v>9000</v>
      </c>
    </row>
    <row r="74" spans="2:6" x14ac:dyDescent="0.2">
      <c r="C74" s="1" t="s">
        <v>1323</v>
      </c>
      <c r="F74" s="89">
        <f>+E73</f>
        <v>9000</v>
      </c>
    </row>
    <row r="75" spans="2:6" x14ac:dyDescent="0.2">
      <c r="B75" s="1" t="s">
        <v>2777</v>
      </c>
    </row>
    <row r="77" spans="2:6" x14ac:dyDescent="0.2">
      <c r="B77" s="1" t="s">
        <v>2779</v>
      </c>
      <c r="E77" s="89">
        <f>+C69</f>
        <v>54000</v>
      </c>
    </row>
    <row r="78" spans="2:6" x14ac:dyDescent="0.2">
      <c r="C78" s="1" t="s">
        <v>2736</v>
      </c>
      <c r="F78" s="89">
        <f>+E77</f>
        <v>54000</v>
      </c>
    </row>
    <row r="79" spans="2:6" x14ac:dyDescent="0.2">
      <c r="B79" s="1" t="s">
        <v>2780</v>
      </c>
    </row>
    <row r="81" spans="2:6" x14ac:dyDescent="0.2">
      <c r="B81" s="1" t="s">
        <v>1393</v>
      </c>
      <c r="E81" s="89">
        <f>-D69</f>
        <v>33000</v>
      </c>
    </row>
    <row r="82" spans="2:6" x14ac:dyDescent="0.2">
      <c r="C82" s="1" t="s">
        <v>2781</v>
      </c>
      <c r="F82" s="89">
        <f>+E81</f>
        <v>33000</v>
      </c>
    </row>
    <row r="83" spans="2:6" x14ac:dyDescent="0.2">
      <c r="B83" s="1" t="s">
        <v>2782</v>
      </c>
    </row>
    <row r="87" spans="2:6" x14ac:dyDescent="0.2">
      <c r="B87" s="1" t="s">
        <v>2783</v>
      </c>
    </row>
    <row r="88" spans="2:6" x14ac:dyDescent="0.2">
      <c r="B88" s="3">
        <v>44596</v>
      </c>
    </row>
    <row r="90" spans="2:6" x14ac:dyDescent="0.2">
      <c r="B90" s="1" t="s">
        <v>2790</v>
      </c>
      <c r="C90" s="1">
        <v>1801</v>
      </c>
    </row>
    <row r="92" spans="2:6" x14ac:dyDescent="0.2">
      <c r="B92" s="1" t="s">
        <v>1265</v>
      </c>
      <c r="C92" s="1">
        <v>249</v>
      </c>
    </row>
    <row r="94" spans="2:6" x14ac:dyDescent="0.2">
      <c r="B94" s="1" t="s">
        <v>2784</v>
      </c>
      <c r="C94" s="1">
        <v>4.62</v>
      </c>
    </row>
    <row r="95" spans="2:6" x14ac:dyDescent="0.2">
      <c r="C95" s="1">
        <v>400</v>
      </c>
    </row>
    <row r="96" spans="2:6" x14ac:dyDescent="0.2">
      <c r="B96" s="1" t="s">
        <v>32</v>
      </c>
      <c r="C96" s="1">
        <f>+C94*C95</f>
        <v>1848</v>
      </c>
    </row>
    <row r="97" spans="2:5" x14ac:dyDescent="0.2">
      <c r="B97" s="1" t="s">
        <v>2791</v>
      </c>
      <c r="C97" s="1">
        <f>+C96-C90</f>
        <v>47</v>
      </c>
    </row>
    <row r="98" spans="2:5" x14ac:dyDescent="0.2">
      <c r="B98" s="1" t="s">
        <v>45</v>
      </c>
      <c r="C98" s="1">
        <v>-74</v>
      </c>
    </row>
    <row r="99" spans="2:5" x14ac:dyDescent="0.2">
      <c r="B99" s="1" t="s">
        <v>46</v>
      </c>
      <c r="C99" s="1">
        <f>SUM(C96:C98)</f>
        <v>1821</v>
      </c>
    </row>
    <row r="100" spans="2:5" x14ac:dyDescent="0.2">
      <c r="C100" s="1">
        <f>+C99-C90</f>
        <v>20</v>
      </c>
    </row>
    <row r="102" spans="2:5" x14ac:dyDescent="0.2">
      <c r="B102" s="1" t="s">
        <v>2785</v>
      </c>
      <c r="D102" s="1">
        <f>-C98</f>
        <v>74</v>
      </c>
    </row>
    <row r="103" spans="2:5" x14ac:dyDescent="0.2">
      <c r="C103" s="1" t="s">
        <v>2792</v>
      </c>
      <c r="E103" s="1">
        <f>+C97</f>
        <v>47</v>
      </c>
    </row>
    <row r="104" spans="2:5" x14ac:dyDescent="0.2">
      <c r="C104" s="1" t="s">
        <v>2787</v>
      </c>
      <c r="E104" s="1">
        <f>+D102-E103</f>
        <v>27</v>
      </c>
    </row>
    <row r="105" spans="2:5" x14ac:dyDescent="0.2">
      <c r="B105" s="1" t="s">
        <v>2788</v>
      </c>
    </row>
    <row r="107" spans="2:5" x14ac:dyDescent="0.2">
      <c r="B107" s="1" t="s">
        <v>2670</v>
      </c>
      <c r="D107" s="1">
        <f>249+E103</f>
        <v>296</v>
      </c>
    </row>
    <row r="108" spans="2:5" x14ac:dyDescent="0.2">
      <c r="C108" s="1" t="s">
        <v>1105</v>
      </c>
      <c r="E108" s="1">
        <f>+D107</f>
        <v>296</v>
      </c>
    </row>
    <row r="109" spans="2:5" x14ac:dyDescent="0.2">
      <c r="B109" s="1" t="s">
        <v>2789</v>
      </c>
    </row>
    <row r="123" spans="2:13" x14ac:dyDescent="0.2">
      <c r="B123" s="16" t="s">
        <v>72</v>
      </c>
      <c r="C123" s="16" t="s">
        <v>1395</v>
      </c>
    </row>
    <row r="124" spans="2:13" s="353" customFormat="1" ht="15.75" x14ac:dyDescent="0.25">
      <c r="B124" s="376" t="s">
        <v>2793</v>
      </c>
      <c r="C124" s="377"/>
      <c r="D124" s="377"/>
    </row>
    <row r="125" spans="2:13" s="353" customFormat="1" ht="15.75" x14ac:dyDescent="0.25">
      <c r="B125" s="378" t="s">
        <v>1223</v>
      </c>
      <c r="C125" s="377"/>
      <c r="D125" s="377"/>
    </row>
    <row r="126" spans="2:13" s="353" customFormat="1" ht="16.5" thickBot="1" x14ac:dyDescent="0.3">
      <c r="B126" s="379" t="s">
        <v>2795</v>
      </c>
      <c r="C126" s="377"/>
      <c r="D126" s="377"/>
    </row>
    <row r="127" spans="2:13" s="353" customFormat="1" ht="15.75" x14ac:dyDescent="0.25">
      <c r="B127" s="380"/>
      <c r="C127" s="381" t="s">
        <v>44</v>
      </c>
      <c r="D127" s="381" t="s">
        <v>44</v>
      </c>
    </row>
    <row r="128" spans="2:13" s="353" customFormat="1" ht="15.75" x14ac:dyDescent="0.25">
      <c r="B128" s="378" t="s">
        <v>2798</v>
      </c>
      <c r="C128" s="383"/>
      <c r="D128" s="383"/>
      <c r="L128" s="384"/>
      <c r="M128" s="384"/>
    </row>
    <row r="129" spans="2:13" s="353" customFormat="1" ht="15" x14ac:dyDescent="0.25">
      <c r="B129" s="380" t="str">
        <f>IF(C129&gt;0,"Cash receipts from customers","Cashpaidtocustomers")</f>
        <v>Cash receipts from customers</v>
      </c>
      <c r="C129" s="385">
        <f>C180</f>
        <v>105900</v>
      </c>
      <c r="D129" s="386"/>
      <c r="L129" s="384"/>
      <c r="M129" s="384"/>
    </row>
    <row r="130" spans="2:13" s="353" customFormat="1" ht="15" x14ac:dyDescent="0.25">
      <c r="B130" s="380" t="str">
        <f>IF(C130&lt;0,"Cash paid to suppliers and employees","Cash received from suppliers")</f>
        <v>Cash paid to suppliers and employees</v>
      </c>
      <c r="C130" s="387">
        <f>-E180</f>
        <v>-87270</v>
      </c>
      <c r="D130" s="386"/>
      <c r="L130" s="384"/>
      <c r="M130" s="384"/>
    </row>
    <row r="131" spans="2:13" s="353" customFormat="1" ht="15" x14ac:dyDescent="0.25">
      <c r="B131" s="380" t="s">
        <v>2803</v>
      </c>
      <c r="C131" s="390">
        <f>C129+C130</f>
        <v>18630</v>
      </c>
      <c r="D131" s="386"/>
      <c r="L131" s="384"/>
      <c r="M131" s="384"/>
    </row>
    <row r="132" spans="2:13" s="353" customFormat="1" ht="15" x14ac:dyDescent="0.25">
      <c r="B132" s="380" t="s">
        <v>2806</v>
      </c>
      <c r="C132" s="385">
        <f>-E191</f>
        <v>-2660</v>
      </c>
      <c r="D132" s="386"/>
      <c r="L132" s="384"/>
      <c r="M132" s="384"/>
    </row>
    <row r="133" spans="2:13" s="353" customFormat="1" ht="15" x14ac:dyDescent="0.25">
      <c r="B133" s="380" t="s">
        <v>2810</v>
      </c>
      <c r="C133" s="387">
        <f>-E200</f>
        <v>-3838</v>
      </c>
      <c r="D133" s="386"/>
      <c r="L133" s="384"/>
      <c r="M133" s="384"/>
    </row>
    <row r="134" spans="2:13" s="353" customFormat="1" ht="15" x14ac:dyDescent="0.25">
      <c r="B134" s="392" t="s">
        <v>2812</v>
      </c>
      <c r="C134" s="393"/>
      <c r="D134" s="394">
        <f>SUM(C131:C133)</f>
        <v>12132</v>
      </c>
      <c r="L134" s="384"/>
      <c r="M134" s="384"/>
    </row>
    <row r="135" spans="2:13" s="353" customFormat="1" ht="15" x14ac:dyDescent="0.25">
      <c r="B135" s="380"/>
      <c r="C135" s="386"/>
      <c r="D135" s="386"/>
      <c r="L135" s="384"/>
      <c r="M135" s="384"/>
    </row>
    <row r="136" spans="2:13" s="353" customFormat="1" ht="15.75" x14ac:dyDescent="0.25">
      <c r="B136" s="378" t="s">
        <v>2817</v>
      </c>
      <c r="C136" s="386"/>
      <c r="D136" s="386"/>
      <c r="L136" s="384"/>
      <c r="M136" s="384"/>
    </row>
    <row r="137" spans="2:13" s="353" customFormat="1" ht="15" x14ac:dyDescent="0.25">
      <c r="B137" s="380" t="s">
        <v>2820</v>
      </c>
      <c r="C137" s="385"/>
      <c r="D137" s="386"/>
      <c r="L137" s="384"/>
      <c r="M137" s="384"/>
    </row>
    <row r="138" spans="2:13" s="353" customFormat="1" ht="15" x14ac:dyDescent="0.25">
      <c r="B138" s="380" t="s">
        <v>2821</v>
      </c>
      <c r="C138" s="385"/>
      <c r="D138" s="386"/>
      <c r="L138" s="384"/>
      <c r="M138" s="384"/>
    </row>
    <row r="139" spans="2:13" s="353" customFormat="1" ht="15" x14ac:dyDescent="0.25">
      <c r="B139" s="380" t="s">
        <v>2824</v>
      </c>
      <c r="C139" s="385">
        <f>-+E210</f>
        <v>-10489</v>
      </c>
      <c r="D139" s="386"/>
      <c r="L139" s="384"/>
      <c r="M139" s="384"/>
    </row>
    <row r="140" spans="2:13" s="353" customFormat="1" ht="15" x14ac:dyDescent="0.25">
      <c r="B140" s="380" t="s">
        <v>2827</v>
      </c>
      <c r="C140" s="385">
        <f>+E215</f>
        <v>2914</v>
      </c>
      <c r="D140" s="386"/>
      <c r="L140" s="384"/>
      <c r="M140" s="384"/>
    </row>
    <row r="141" spans="2:13" s="353" customFormat="1" ht="15" x14ac:dyDescent="0.25">
      <c r="B141" s="380" t="s">
        <v>2830</v>
      </c>
      <c r="C141" s="385">
        <f>+E257</f>
        <v>-612</v>
      </c>
      <c r="D141" s="386"/>
      <c r="L141" s="384"/>
      <c r="M141" s="384"/>
    </row>
    <row r="142" spans="2:13" s="353" customFormat="1" ht="15" x14ac:dyDescent="0.25">
      <c r="B142" s="380" t="s">
        <v>2834</v>
      </c>
      <c r="C142" s="385">
        <f>+E273</f>
        <v>1774</v>
      </c>
      <c r="D142" s="386"/>
      <c r="L142" s="384"/>
      <c r="M142" s="384"/>
    </row>
    <row r="143" spans="2:13" s="353" customFormat="1" ht="15" x14ac:dyDescent="0.25">
      <c r="B143" s="380" t="s">
        <v>2835</v>
      </c>
      <c r="C143" s="385">
        <f>+E225</f>
        <v>0</v>
      </c>
      <c r="D143" s="386"/>
      <c r="L143" s="384"/>
      <c r="M143" s="384"/>
    </row>
    <row r="144" spans="2:13" s="353" customFormat="1" ht="15" x14ac:dyDescent="0.25">
      <c r="B144" s="380" t="s">
        <v>2838</v>
      </c>
      <c r="C144" s="387">
        <f>+E237</f>
        <v>134</v>
      </c>
      <c r="D144" s="386"/>
      <c r="L144" s="384"/>
      <c r="M144" s="384"/>
    </row>
    <row r="145" spans="2:13" s="353" customFormat="1" ht="15" x14ac:dyDescent="0.25">
      <c r="B145" s="392" t="s">
        <v>2840</v>
      </c>
      <c r="C145" s="393"/>
      <c r="D145" s="394">
        <f>SUM(C137:C144)</f>
        <v>-6279</v>
      </c>
      <c r="L145" s="384"/>
      <c r="M145" s="384"/>
    </row>
    <row r="146" spans="2:13" s="353" customFormat="1" ht="15" x14ac:dyDescent="0.25">
      <c r="B146" s="380"/>
      <c r="C146" s="386"/>
      <c r="D146" s="386"/>
      <c r="L146" s="384"/>
      <c r="M146" s="384"/>
    </row>
    <row r="147" spans="2:13" s="353" customFormat="1" ht="15.75" x14ac:dyDescent="0.25">
      <c r="B147" s="378" t="s">
        <v>2842</v>
      </c>
      <c r="C147" s="386"/>
      <c r="D147" s="386"/>
      <c r="L147" s="384"/>
      <c r="M147" s="384"/>
    </row>
    <row r="148" spans="2:13" s="353" customFormat="1" ht="15" x14ac:dyDescent="0.25">
      <c r="B148" s="380" t="s">
        <v>2843</v>
      </c>
      <c r="C148" s="385">
        <f>-+E244</f>
        <v>0</v>
      </c>
      <c r="D148" s="386"/>
      <c r="L148" s="384"/>
      <c r="M148" s="384"/>
    </row>
    <row r="149" spans="2:13" s="353" customFormat="1" ht="15" x14ac:dyDescent="0.25">
      <c r="B149" s="380" t="s">
        <v>2844</v>
      </c>
      <c r="C149" s="385"/>
      <c r="D149" s="386"/>
      <c r="L149" s="384"/>
      <c r="M149" s="384"/>
    </row>
    <row r="150" spans="2:13" s="353" customFormat="1" ht="15" x14ac:dyDescent="0.25">
      <c r="B150" s="380" t="s">
        <v>2846</v>
      </c>
      <c r="C150" s="400">
        <f>E249</f>
        <v>0</v>
      </c>
      <c r="D150" s="386"/>
      <c r="L150" s="384"/>
      <c r="M150" s="384"/>
    </row>
    <row r="151" spans="2:13" s="353" customFormat="1" ht="15" x14ac:dyDescent="0.25">
      <c r="B151" s="380" t="s">
        <v>2849</v>
      </c>
      <c r="C151" s="400">
        <f>-E263</f>
        <v>-1243</v>
      </c>
      <c r="D151" s="386"/>
      <c r="L151" s="384"/>
      <c r="M151" s="384"/>
    </row>
    <row r="152" spans="2:13" s="353" customFormat="1" ht="15" x14ac:dyDescent="0.25">
      <c r="B152" s="380" t="s">
        <v>2852</v>
      </c>
      <c r="C152" s="385">
        <f>-+E281</f>
        <v>0</v>
      </c>
      <c r="D152" s="386"/>
      <c r="L152" s="384"/>
      <c r="M152" s="384"/>
    </row>
    <row r="153" spans="2:13" s="353" customFormat="1" ht="15" x14ac:dyDescent="0.25">
      <c r="B153" s="380" t="s">
        <v>2854</v>
      </c>
      <c r="C153" s="387">
        <f>-+E234</f>
        <v>-3777</v>
      </c>
      <c r="D153" s="386"/>
      <c r="L153" s="384"/>
      <c r="M153" s="384"/>
    </row>
    <row r="154" spans="2:13" s="353" customFormat="1" ht="15" x14ac:dyDescent="0.25">
      <c r="B154" s="392" t="s">
        <v>2855</v>
      </c>
      <c r="C154" s="393"/>
      <c r="D154" s="402">
        <f>SUM(C148:C153)</f>
        <v>-5020</v>
      </c>
      <c r="L154" s="384"/>
      <c r="M154" s="384"/>
    </row>
    <row r="155" spans="2:13" s="353" customFormat="1" ht="15" x14ac:dyDescent="0.25">
      <c r="B155" s="380"/>
      <c r="C155" s="386"/>
      <c r="D155" s="393"/>
      <c r="L155" s="384"/>
      <c r="M155" s="384"/>
    </row>
    <row r="156" spans="2:13" s="353" customFormat="1" ht="15.75" x14ac:dyDescent="0.25">
      <c r="B156" s="378" t="s">
        <v>2857</v>
      </c>
      <c r="C156" s="386"/>
      <c r="D156" s="394">
        <f>SUM(D134,D145,D154)</f>
        <v>833</v>
      </c>
      <c r="L156" s="384"/>
      <c r="M156" s="384"/>
    </row>
    <row r="157" spans="2:13" s="353" customFormat="1" ht="15.75" x14ac:dyDescent="0.25">
      <c r="B157" s="404" t="s">
        <v>2859</v>
      </c>
      <c r="C157" s="386"/>
      <c r="D157" s="387">
        <f>E168</f>
        <v>202</v>
      </c>
      <c r="L157" s="384"/>
      <c r="M157" s="384"/>
    </row>
    <row r="158" spans="2:13" s="353" customFormat="1" ht="16.5" thickBot="1" x14ac:dyDescent="0.3">
      <c r="B158" s="378" t="s">
        <v>2861</v>
      </c>
      <c r="C158" s="386"/>
      <c r="D158" s="405">
        <f>D168</f>
        <v>1035</v>
      </c>
      <c r="L158" s="384"/>
      <c r="M158" s="384"/>
    </row>
    <row r="159" spans="2:13" s="353" customFormat="1" ht="15" x14ac:dyDescent="0.25">
      <c r="C159" s="407"/>
      <c r="D159" s="407"/>
      <c r="L159" s="384"/>
      <c r="M159" s="384"/>
    </row>
    <row r="160" spans="2:13" s="353" customFormat="1" ht="15" x14ac:dyDescent="0.25">
      <c r="C160" s="415">
        <f>D158-(SUM(D156:D157))</f>
        <v>0</v>
      </c>
      <c r="D160" s="416"/>
      <c r="L160" s="384"/>
      <c r="M160" s="384"/>
    </row>
    <row r="161" spans="2:29" s="353" customFormat="1" ht="15" x14ac:dyDescent="0.25">
      <c r="C161" s="406"/>
      <c r="D161" s="407"/>
      <c r="E161" s="407"/>
    </row>
    <row r="162" spans="2:29" s="353" customFormat="1" ht="15" x14ac:dyDescent="0.25">
      <c r="C162" s="406"/>
      <c r="D162" s="407"/>
      <c r="E162" s="407"/>
    </row>
    <row r="163" spans="2:29" s="353" customFormat="1" ht="15" x14ac:dyDescent="0.25">
      <c r="B163" s="382" t="s">
        <v>2797</v>
      </c>
    </row>
    <row r="164" spans="2:29" s="353" customFormat="1" ht="15.75" x14ac:dyDescent="0.25">
      <c r="B164" s="226"/>
      <c r="C164" s="226"/>
      <c r="D164" s="314" t="s">
        <v>1506</v>
      </c>
      <c r="E164" s="314" t="s">
        <v>1970</v>
      </c>
      <c r="F164" s="226"/>
      <c r="G164" s="384"/>
      <c r="I164" s="347" t="s">
        <v>1521</v>
      </c>
      <c r="J164" s="348"/>
      <c r="K164" s="348"/>
      <c r="L164" s="348"/>
      <c r="M164" s="348"/>
      <c r="N164" s="348"/>
      <c r="O164" s="348"/>
      <c r="P164" s="349"/>
      <c r="S164" s="347" t="s">
        <v>2799</v>
      </c>
      <c r="T164" s="348"/>
      <c r="U164" s="348"/>
      <c r="V164" s="348"/>
      <c r="W164" s="348"/>
      <c r="X164" s="348"/>
      <c r="Y164" s="348"/>
      <c r="Z164" s="348"/>
      <c r="AA164" s="348"/>
      <c r="AB164" s="348"/>
      <c r="AC164" s="348"/>
    </row>
    <row r="165" spans="2:29" s="353" customFormat="1" ht="15" x14ac:dyDescent="0.25">
      <c r="B165" s="225" t="s">
        <v>972</v>
      </c>
      <c r="C165" s="226"/>
      <c r="D165" s="236" t="s">
        <v>44</v>
      </c>
      <c r="E165" s="236" t="s">
        <v>44</v>
      </c>
      <c r="F165" s="226"/>
      <c r="G165" s="384"/>
      <c r="I165" s="348" t="s">
        <v>2801</v>
      </c>
      <c r="J165" s="348"/>
      <c r="K165" s="348"/>
      <c r="L165" s="348"/>
      <c r="M165" s="348"/>
      <c r="N165" s="348"/>
      <c r="O165" s="348"/>
      <c r="P165" s="352">
        <v>83146</v>
      </c>
      <c r="S165" s="348" t="s">
        <v>2802</v>
      </c>
      <c r="T165" s="348"/>
      <c r="U165" s="348"/>
      <c r="V165" s="348"/>
      <c r="W165" s="348"/>
      <c r="X165" s="348"/>
      <c r="Y165" s="348"/>
      <c r="Z165" s="348"/>
      <c r="AA165" s="348"/>
      <c r="AB165" s="348"/>
      <c r="AC165" s="389"/>
    </row>
    <row r="166" spans="2:29" s="353" customFormat="1" ht="15" x14ac:dyDescent="0.25">
      <c r="B166" s="226" t="s">
        <v>2800</v>
      </c>
      <c r="C166" s="226"/>
      <c r="D166" s="388">
        <v>1091</v>
      </c>
      <c r="E166" s="388">
        <v>654</v>
      </c>
      <c r="F166" s="226"/>
      <c r="G166" s="384"/>
      <c r="I166" s="348" t="s">
        <v>2805</v>
      </c>
      <c r="J166" s="348"/>
      <c r="K166" s="348"/>
      <c r="L166" s="348"/>
      <c r="M166" s="348"/>
      <c r="N166" s="348"/>
      <c r="O166" s="348"/>
      <c r="P166" s="352">
        <v>8429</v>
      </c>
      <c r="S166" s="348" t="s">
        <v>96</v>
      </c>
      <c r="T166" s="348"/>
      <c r="U166" s="348"/>
      <c r="V166" s="348"/>
      <c r="W166" s="348"/>
      <c r="X166" s="348"/>
      <c r="Y166" s="348"/>
      <c r="Z166" s="348"/>
      <c r="AA166" s="348"/>
      <c r="AB166" s="348"/>
      <c r="AC166" s="389"/>
    </row>
    <row r="167" spans="2:29" s="353" customFormat="1" ht="15" x14ac:dyDescent="0.25">
      <c r="B167" s="226" t="s">
        <v>2804</v>
      </c>
      <c r="C167" s="226"/>
      <c r="D167" s="388">
        <v>-56</v>
      </c>
      <c r="E167" s="388">
        <v>-452</v>
      </c>
      <c r="F167" s="226"/>
      <c r="G167" s="384"/>
      <c r="I167" s="348" t="s">
        <v>2808</v>
      </c>
      <c r="J167" s="348"/>
      <c r="K167" s="348"/>
      <c r="L167" s="348"/>
      <c r="M167" s="348"/>
      <c r="N167" s="348"/>
      <c r="O167" s="348"/>
      <c r="P167" s="352">
        <v>8657</v>
      </c>
      <c r="S167" s="348" t="s">
        <v>2809</v>
      </c>
      <c r="T167" s="348"/>
      <c r="U167" s="348"/>
      <c r="V167" s="348"/>
      <c r="W167" s="348"/>
      <c r="X167" s="348"/>
      <c r="Y167" s="348"/>
      <c r="Z167" s="348"/>
      <c r="AA167" s="348"/>
      <c r="AB167" s="348"/>
      <c r="AC167" s="389"/>
    </row>
    <row r="168" spans="2:29" s="353" customFormat="1" ht="15.75" thickBot="1" x14ac:dyDescent="0.3">
      <c r="B168" s="226"/>
      <c r="C168" s="226"/>
      <c r="D168" s="391">
        <f>SUM(D166:D167)</f>
        <v>1035</v>
      </c>
      <c r="E168" s="391">
        <f>SUM(E166:E167)</f>
        <v>202</v>
      </c>
      <c r="F168" s="226"/>
      <c r="G168" s="384"/>
      <c r="I168" s="348"/>
      <c r="J168" s="348"/>
      <c r="K168" s="348"/>
      <c r="L168" s="348"/>
      <c r="M168" s="348"/>
      <c r="N168" s="348"/>
      <c r="O168" s="348"/>
      <c r="P168" s="355">
        <f>P165-P166+P167</f>
        <v>83374</v>
      </c>
      <c r="S168" s="348" t="s">
        <v>2811</v>
      </c>
      <c r="T168" s="348"/>
      <c r="U168" s="348"/>
      <c r="V168" s="348"/>
      <c r="W168" s="348"/>
      <c r="X168" s="348"/>
      <c r="Y168" s="348"/>
      <c r="Z168" s="348"/>
      <c r="AA168" s="348"/>
      <c r="AB168" s="348"/>
      <c r="AC168" s="389"/>
    </row>
    <row r="169" spans="2:29" s="353" customFormat="1" ht="15.75" thickTop="1" x14ac:dyDescent="0.25">
      <c r="B169" s="226"/>
      <c r="C169" s="226"/>
      <c r="D169" s="226"/>
      <c r="E169" s="226"/>
      <c r="F169" s="226"/>
      <c r="G169" s="384"/>
      <c r="S169" s="348" t="s">
        <v>2814</v>
      </c>
      <c r="T169" s="348"/>
      <c r="U169" s="348"/>
      <c r="V169" s="348"/>
      <c r="W169" s="348"/>
      <c r="X169" s="348"/>
      <c r="Y169" s="348"/>
      <c r="Z169" s="348"/>
      <c r="AA169" s="348"/>
      <c r="AB169" s="348"/>
      <c r="AC169" s="389"/>
    </row>
    <row r="170" spans="2:29" s="353" customFormat="1" ht="15" x14ac:dyDescent="0.25">
      <c r="B170" s="226"/>
      <c r="C170" s="226"/>
      <c r="D170" s="226"/>
      <c r="E170" s="226"/>
      <c r="F170" s="226"/>
      <c r="G170" s="384"/>
      <c r="S170" s="348" t="s">
        <v>2816</v>
      </c>
      <c r="T170" s="348"/>
      <c r="U170" s="348"/>
      <c r="V170" s="348"/>
      <c r="W170" s="348"/>
      <c r="X170" s="348"/>
      <c r="Y170" s="348"/>
      <c r="Z170" s="348"/>
      <c r="AA170" s="348"/>
      <c r="AB170" s="348"/>
      <c r="AC170" s="389"/>
    </row>
    <row r="171" spans="2:29" s="353" customFormat="1" ht="15" x14ac:dyDescent="0.25">
      <c r="B171" s="226" t="s">
        <v>2815</v>
      </c>
      <c r="C171" s="226"/>
      <c r="D171" s="226"/>
      <c r="E171" s="226"/>
      <c r="F171" s="226"/>
      <c r="G171" s="384"/>
      <c r="S171" s="348"/>
      <c r="T171" s="348"/>
      <c r="U171" s="348"/>
      <c r="V171" s="348"/>
      <c r="W171" s="348"/>
      <c r="X171" s="348"/>
      <c r="Y171" s="348"/>
      <c r="Z171" s="348"/>
      <c r="AA171" s="348"/>
      <c r="AB171" s="348"/>
      <c r="AC171" s="348">
        <f>SUM(AC165:AC170)</f>
        <v>0</v>
      </c>
    </row>
    <row r="172" spans="2:29" s="353" customFormat="1" ht="15" x14ac:dyDescent="0.25">
      <c r="B172" s="226"/>
      <c r="C172" s="226" t="s">
        <v>2819</v>
      </c>
      <c r="D172" s="226"/>
      <c r="E172" s="226" t="s">
        <v>980</v>
      </c>
      <c r="F172" s="226"/>
      <c r="G172" s="384"/>
      <c r="M172" s="384"/>
      <c r="N172" s="384"/>
    </row>
    <row r="173" spans="2:29" s="353" customFormat="1" ht="15" x14ac:dyDescent="0.25">
      <c r="B173" s="226"/>
      <c r="C173" s="236" t="s">
        <v>44</v>
      </c>
      <c r="D173" s="226"/>
      <c r="E173" s="236" t="s">
        <v>44</v>
      </c>
      <c r="F173" s="226"/>
      <c r="G173" s="384"/>
      <c r="M173" s="384"/>
      <c r="N173" s="384"/>
    </row>
    <row r="174" spans="2:29" s="353" customFormat="1" ht="15" x14ac:dyDescent="0.25">
      <c r="B174" s="97" t="s">
        <v>2822</v>
      </c>
      <c r="C174" s="395">
        <v>4801</v>
      </c>
      <c r="D174" s="168" t="s">
        <v>2822</v>
      </c>
      <c r="E174" s="395">
        <f>3954-17-49</f>
        <v>3888</v>
      </c>
      <c r="F174" s="226"/>
      <c r="G174" s="396" t="s">
        <v>2823</v>
      </c>
      <c r="M174" s="384"/>
      <c r="N174" s="384"/>
    </row>
    <row r="175" spans="2:29" s="353" customFormat="1" ht="15" x14ac:dyDescent="0.25">
      <c r="B175" s="97" t="s">
        <v>1405</v>
      </c>
      <c r="C175" s="395">
        <v>105114</v>
      </c>
      <c r="D175" s="168" t="s">
        <v>1521</v>
      </c>
      <c r="E175" s="395">
        <f>+P168</f>
        <v>83374</v>
      </c>
      <c r="F175" s="226"/>
      <c r="G175" s="396" t="s">
        <v>2826</v>
      </c>
      <c r="M175" s="384"/>
      <c r="N175" s="384"/>
    </row>
    <row r="176" spans="2:29" s="353" customFormat="1" ht="15" x14ac:dyDescent="0.25">
      <c r="B176" s="97" t="s">
        <v>2828</v>
      </c>
      <c r="C176" s="388"/>
      <c r="D176" s="168" t="s">
        <v>2829</v>
      </c>
      <c r="E176" s="395">
        <v>2541</v>
      </c>
      <c r="F176" s="226"/>
      <c r="G176" s="384"/>
      <c r="M176" s="384"/>
      <c r="N176" s="384"/>
    </row>
    <row r="177" spans="2:14" s="353" customFormat="1" ht="15" x14ac:dyDescent="0.25">
      <c r="B177" s="360" t="s">
        <v>2832</v>
      </c>
      <c r="C177" s="388"/>
      <c r="D177" s="168" t="s">
        <v>2799</v>
      </c>
      <c r="E177" s="395">
        <f>4462-3542+9</f>
        <v>929</v>
      </c>
      <c r="F177" s="226"/>
      <c r="G177" s="396" t="s">
        <v>2833</v>
      </c>
      <c r="M177" s="384"/>
      <c r="N177" s="384"/>
    </row>
    <row r="178" spans="2:14" s="353" customFormat="1" ht="15" x14ac:dyDescent="0.25">
      <c r="B178" s="226"/>
      <c r="C178" s="397">
        <f>SUM(C174:C177)</f>
        <v>109915</v>
      </c>
      <c r="D178" s="397"/>
      <c r="E178" s="397">
        <f>SUM(E174:E177)</f>
        <v>90732</v>
      </c>
      <c r="F178" s="226"/>
      <c r="G178" s="384"/>
      <c r="M178" s="384"/>
      <c r="N178" s="384"/>
    </row>
    <row r="179" spans="2:14" s="353" customFormat="1" ht="15" x14ac:dyDescent="0.25">
      <c r="B179" s="97" t="s">
        <v>2837</v>
      </c>
      <c r="C179" s="395">
        <v>4015</v>
      </c>
      <c r="D179" s="168" t="s">
        <v>2837</v>
      </c>
      <c r="E179" s="395">
        <f>3696-19-215</f>
        <v>3462</v>
      </c>
      <c r="F179" s="226"/>
      <c r="G179" s="384"/>
      <c r="M179" s="384"/>
      <c r="N179" s="384"/>
    </row>
    <row r="180" spans="2:14" s="353" customFormat="1" ht="15.75" thickBot="1" x14ac:dyDescent="0.3">
      <c r="B180" s="97" t="s">
        <v>2839</v>
      </c>
      <c r="C180" s="391">
        <f>C178-C179</f>
        <v>105900</v>
      </c>
      <c r="D180" s="398"/>
      <c r="E180" s="391">
        <f>E178-E179</f>
        <v>87270</v>
      </c>
      <c r="F180" s="226"/>
      <c r="G180" s="384"/>
      <c r="M180" s="384"/>
      <c r="N180" s="384"/>
    </row>
    <row r="181" spans="2:14" s="353" customFormat="1" ht="15.75" thickTop="1" x14ac:dyDescent="0.25">
      <c r="B181" s="226"/>
      <c r="C181" s="398"/>
      <c r="D181" s="398"/>
      <c r="E181" s="398"/>
      <c r="F181" s="226"/>
      <c r="G181" s="384"/>
      <c r="M181" s="384"/>
      <c r="N181" s="384"/>
    </row>
    <row r="182" spans="2:14" s="353" customFormat="1" ht="15" x14ac:dyDescent="0.25">
      <c r="B182" s="225" t="s">
        <v>2841</v>
      </c>
      <c r="C182" s="398"/>
      <c r="D182" s="398"/>
      <c r="E182" s="399">
        <f>C180+E180</f>
        <v>193170</v>
      </c>
      <c r="F182" s="226"/>
      <c r="G182" s="384"/>
      <c r="M182" s="384"/>
      <c r="N182" s="384"/>
    </row>
    <row r="183" spans="2:14" s="353" customFormat="1" ht="15" x14ac:dyDescent="0.25">
      <c r="B183" s="226"/>
      <c r="C183" s="226"/>
      <c r="D183" s="398"/>
      <c r="E183" s="398"/>
      <c r="F183" s="226"/>
      <c r="G183" s="384"/>
      <c r="M183" s="384"/>
      <c r="N183" s="384"/>
    </row>
    <row r="184" spans="2:14" s="353" customFormat="1" ht="15" x14ac:dyDescent="0.25">
      <c r="B184" s="225" t="s">
        <v>2806</v>
      </c>
      <c r="C184" s="226"/>
      <c r="D184" s="398"/>
      <c r="E184" s="398"/>
      <c r="F184" s="226"/>
      <c r="G184" s="384"/>
      <c r="M184" s="384"/>
      <c r="N184" s="384"/>
    </row>
    <row r="185" spans="2:14" s="353" customFormat="1" ht="15" x14ac:dyDescent="0.25">
      <c r="B185" s="226" t="s">
        <v>2845</v>
      </c>
      <c r="C185" s="226"/>
      <c r="D185" s="398"/>
      <c r="E185" s="395">
        <v>17</v>
      </c>
      <c r="F185" s="226"/>
      <c r="G185" s="384"/>
      <c r="M185" s="384"/>
      <c r="N185" s="384"/>
    </row>
    <row r="186" spans="2:14" s="353" customFormat="1" ht="15" x14ac:dyDescent="0.25">
      <c r="B186" s="226" t="s">
        <v>2848</v>
      </c>
      <c r="C186" s="226"/>
      <c r="D186" s="398"/>
      <c r="E186" s="395">
        <v>2662</v>
      </c>
      <c r="F186" s="226"/>
      <c r="G186" s="384"/>
      <c r="M186" s="384"/>
      <c r="N186" s="384"/>
    </row>
    <row r="187" spans="2:14" s="353" customFormat="1" ht="15" x14ac:dyDescent="0.25">
      <c r="B187" s="226" t="s">
        <v>2851</v>
      </c>
      <c r="C187" s="226"/>
      <c r="D187" s="398"/>
      <c r="E187" s="395"/>
      <c r="F187" s="226"/>
      <c r="G187" s="384"/>
      <c r="M187" s="384"/>
      <c r="N187" s="384"/>
    </row>
    <row r="188" spans="2:14" s="353" customFormat="1" ht="15" x14ac:dyDescent="0.25">
      <c r="B188" s="226" t="s">
        <v>2853</v>
      </c>
      <c r="C188" s="226"/>
      <c r="D188" s="398"/>
      <c r="E188" s="395"/>
      <c r="F188" s="226"/>
      <c r="G188" s="384"/>
      <c r="M188" s="384"/>
      <c r="N188" s="384"/>
    </row>
    <row r="189" spans="2:14" s="353" customFormat="1" ht="15" x14ac:dyDescent="0.25">
      <c r="B189" s="226"/>
      <c r="C189" s="226"/>
      <c r="D189" s="398"/>
      <c r="E189" s="401">
        <f>E185+E186-E188+E187</f>
        <v>2679</v>
      </c>
      <c r="F189" s="226"/>
      <c r="G189" s="384"/>
      <c r="M189" s="384"/>
      <c r="N189" s="384"/>
    </row>
    <row r="190" spans="2:14" s="353" customFormat="1" ht="15" x14ac:dyDescent="0.25">
      <c r="B190" s="226" t="s">
        <v>2856</v>
      </c>
      <c r="C190" s="226"/>
      <c r="D190" s="398"/>
      <c r="E190" s="395">
        <v>19</v>
      </c>
      <c r="F190" s="226"/>
      <c r="G190" s="384"/>
      <c r="M190" s="384"/>
      <c r="N190" s="384"/>
    </row>
    <row r="191" spans="2:14" s="353" customFormat="1" ht="15.75" thickBot="1" x14ac:dyDescent="0.3">
      <c r="B191" s="226" t="s">
        <v>2806</v>
      </c>
      <c r="C191" s="226"/>
      <c r="D191" s="398"/>
      <c r="E191" s="403">
        <f>E189-E190</f>
        <v>2660</v>
      </c>
      <c r="F191" s="226"/>
      <c r="G191" s="384"/>
      <c r="M191" s="384"/>
      <c r="N191" s="384"/>
    </row>
    <row r="192" spans="2:14" s="353" customFormat="1" ht="15.75" thickTop="1" x14ac:dyDescent="0.25">
      <c r="B192" s="226"/>
      <c r="C192" s="226"/>
      <c r="D192" s="398"/>
      <c r="E192" s="398"/>
      <c r="F192" s="226"/>
      <c r="G192" s="384"/>
      <c r="M192" s="384"/>
      <c r="N192" s="384"/>
    </row>
    <row r="193" spans="2:14" s="353" customFormat="1" ht="15" x14ac:dyDescent="0.25">
      <c r="B193" s="225" t="s">
        <v>2810</v>
      </c>
      <c r="C193" s="226"/>
      <c r="D193" s="398"/>
      <c r="E193" s="398"/>
      <c r="F193" s="226"/>
      <c r="G193" s="384"/>
      <c r="M193" s="384"/>
      <c r="N193" s="384"/>
    </row>
    <row r="194" spans="2:14" s="353" customFormat="1" ht="15" x14ac:dyDescent="0.25">
      <c r="B194" s="226" t="s">
        <v>2862</v>
      </c>
      <c r="C194" s="226"/>
      <c r="D194" s="395">
        <v>1646</v>
      </c>
      <c r="E194" s="397"/>
      <c r="F194" s="226"/>
      <c r="G194" s="384"/>
      <c r="M194" s="384"/>
      <c r="N194" s="384"/>
    </row>
    <row r="195" spans="2:14" s="353" customFormat="1" ht="15" x14ac:dyDescent="0.25">
      <c r="B195" s="226" t="s">
        <v>2863</v>
      </c>
      <c r="C195" s="226"/>
      <c r="D195" s="395">
        <v>462</v>
      </c>
      <c r="E195" s="397">
        <f>D195+D194</f>
        <v>2108</v>
      </c>
      <c r="F195" s="226"/>
      <c r="G195" s="384"/>
      <c r="M195" s="384"/>
      <c r="N195" s="384"/>
    </row>
    <row r="196" spans="2:14" s="353" customFormat="1" ht="15" x14ac:dyDescent="0.25">
      <c r="B196" s="226" t="s">
        <v>2865</v>
      </c>
      <c r="C196" s="226"/>
      <c r="D196" s="397"/>
      <c r="E196" s="395">
        <v>3589</v>
      </c>
      <c r="F196" s="226"/>
      <c r="G196" s="384"/>
    </row>
    <row r="197" spans="2:14" s="353" customFormat="1" ht="15" x14ac:dyDescent="0.25">
      <c r="B197" s="226"/>
      <c r="C197" s="226"/>
      <c r="D197" s="397"/>
      <c r="E197" s="397">
        <f>E195+E196</f>
        <v>5697</v>
      </c>
      <c r="F197" s="226"/>
      <c r="G197" s="384"/>
    </row>
    <row r="198" spans="2:14" s="353" customFormat="1" ht="15" x14ac:dyDescent="0.25">
      <c r="B198" s="226" t="s">
        <v>2866</v>
      </c>
      <c r="C198" s="226"/>
      <c r="D198" s="395">
        <v>1417</v>
      </c>
      <c r="E198" s="397"/>
      <c r="F198" s="226"/>
      <c r="G198" s="384"/>
    </row>
    <row r="199" spans="2:14" s="353" customFormat="1" ht="15" x14ac:dyDescent="0.25">
      <c r="B199" s="226" t="s">
        <v>2867</v>
      </c>
      <c r="C199" s="226"/>
      <c r="D199" s="395">
        <v>442</v>
      </c>
      <c r="E199" s="397">
        <f>D199+D198</f>
        <v>1859</v>
      </c>
      <c r="F199" s="226"/>
      <c r="G199" s="384"/>
    </row>
    <row r="200" spans="2:14" s="353" customFormat="1" ht="15.75" thickBot="1" x14ac:dyDescent="0.3">
      <c r="B200" s="226" t="s">
        <v>2810</v>
      </c>
      <c r="C200" s="226"/>
      <c r="D200" s="397"/>
      <c r="E200" s="403">
        <f>E197-E199</f>
        <v>3838</v>
      </c>
      <c r="F200" s="226"/>
      <c r="G200" s="384"/>
    </row>
    <row r="201" spans="2:14" s="353" customFormat="1" ht="15.75" thickTop="1" x14ac:dyDescent="0.25">
      <c r="B201" s="226"/>
      <c r="C201" s="226"/>
      <c r="D201" s="398"/>
      <c r="E201" s="398"/>
      <c r="F201" s="226"/>
      <c r="G201" s="384"/>
    </row>
    <row r="202" spans="2:14" s="353" customFormat="1" ht="15" x14ac:dyDescent="0.25">
      <c r="B202" s="225" t="s">
        <v>2868</v>
      </c>
      <c r="C202" s="226"/>
      <c r="D202" s="398"/>
      <c r="E202" s="398"/>
      <c r="F202" s="226"/>
      <c r="G202" s="384"/>
    </row>
    <row r="203" spans="2:14" s="353" customFormat="1" ht="15" x14ac:dyDescent="0.25">
      <c r="B203" s="226" t="s">
        <v>2869</v>
      </c>
      <c r="C203" s="226"/>
      <c r="D203" s="398"/>
      <c r="E203" s="395">
        <v>20570</v>
      </c>
      <c r="F203" s="226"/>
      <c r="G203" s="384"/>
    </row>
    <row r="204" spans="2:14" s="353" customFormat="1" ht="15" x14ac:dyDescent="0.25">
      <c r="B204" s="226" t="s">
        <v>2870</v>
      </c>
      <c r="C204" s="226"/>
      <c r="D204" s="398"/>
      <c r="E204" s="395">
        <f>1126</f>
        <v>1126</v>
      </c>
      <c r="F204" s="226"/>
      <c r="G204" s="384"/>
    </row>
    <row r="205" spans="2:14" s="353" customFormat="1" ht="15" x14ac:dyDescent="0.25">
      <c r="B205" s="226" t="s">
        <v>2871</v>
      </c>
      <c r="C205" s="226"/>
      <c r="D205" s="398"/>
      <c r="E205" s="395">
        <v>3542</v>
      </c>
      <c r="F205" s="226"/>
      <c r="G205" s="384"/>
    </row>
    <row r="206" spans="2:14" s="353" customFormat="1" ht="15" x14ac:dyDescent="0.25">
      <c r="B206" s="226" t="s">
        <v>2872</v>
      </c>
      <c r="C206" s="226"/>
      <c r="D206" s="398"/>
      <c r="E206" s="395">
        <f>+E213</f>
        <v>2536</v>
      </c>
      <c r="F206" s="226"/>
      <c r="G206" s="384"/>
    </row>
    <row r="207" spans="2:14" s="353" customFormat="1" ht="15" x14ac:dyDescent="0.25">
      <c r="B207" s="226" t="s">
        <v>2873</v>
      </c>
      <c r="C207" s="226"/>
      <c r="D207" s="398"/>
      <c r="E207" s="395"/>
      <c r="F207" s="226"/>
      <c r="G207" s="384"/>
    </row>
    <row r="208" spans="2:14" s="353" customFormat="1" ht="15" x14ac:dyDescent="0.25">
      <c r="B208" s="226"/>
      <c r="C208" s="226"/>
      <c r="D208" s="398"/>
      <c r="E208" s="401">
        <f>E203-E205+E204-E206+E207</f>
        <v>15618</v>
      </c>
      <c r="F208" s="226"/>
      <c r="G208" s="384"/>
    </row>
    <row r="209" spans="2:7" s="353" customFormat="1" ht="15" x14ac:dyDescent="0.25">
      <c r="B209" s="226" t="s">
        <v>2874</v>
      </c>
      <c r="C209" s="226"/>
      <c r="D209" s="398"/>
      <c r="E209" s="395">
        <v>26107</v>
      </c>
      <c r="F209" s="226"/>
      <c r="G209" s="384"/>
    </row>
    <row r="210" spans="2:7" s="353" customFormat="1" ht="15.75" thickBot="1" x14ac:dyDescent="0.3">
      <c r="B210" s="226" t="s">
        <v>2868</v>
      </c>
      <c r="C210" s="226"/>
      <c r="D210" s="398"/>
      <c r="E210" s="403">
        <f>E209-E208</f>
        <v>10489</v>
      </c>
      <c r="F210" s="226"/>
      <c r="G210" s="384"/>
    </row>
    <row r="211" spans="2:7" s="353" customFormat="1" ht="15.75" thickTop="1" x14ac:dyDescent="0.25">
      <c r="B211" s="226"/>
      <c r="C211" s="226"/>
      <c r="D211" s="398"/>
      <c r="E211" s="398"/>
      <c r="F211" s="226"/>
      <c r="G211" s="384"/>
    </row>
    <row r="212" spans="2:7" s="353" customFormat="1" ht="15" x14ac:dyDescent="0.25">
      <c r="B212" s="225" t="s">
        <v>2875</v>
      </c>
      <c r="C212" s="349"/>
      <c r="D212" s="355"/>
      <c r="E212" s="355"/>
      <c r="F212" s="349"/>
      <c r="G212" s="384"/>
    </row>
    <row r="213" spans="2:7" s="353" customFormat="1" ht="15" x14ac:dyDescent="0.25">
      <c r="B213" s="226" t="s">
        <v>1066</v>
      </c>
      <c r="C213" s="349"/>
      <c r="D213" s="355"/>
      <c r="E213" s="352">
        <v>2536</v>
      </c>
      <c r="F213" s="349"/>
      <c r="G213" s="384"/>
    </row>
    <row r="214" spans="2:7" s="353" customFormat="1" ht="15" x14ac:dyDescent="0.25">
      <c r="B214" s="226" t="s">
        <v>2876</v>
      </c>
      <c r="C214" s="349"/>
      <c r="D214" s="355"/>
      <c r="E214" s="352">
        <v>-378</v>
      </c>
      <c r="F214" s="349"/>
      <c r="G214" s="384"/>
    </row>
    <row r="215" spans="2:7" s="353" customFormat="1" ht="15.75" thickBot="1" x14ac:dyDescent="0.3">
      <c r="B215" s="226" t="s">
        <v>2875</v>
      </c>
      <c r="C215" s="349"/>
      <c r="D215" s="355"/>
      <c r="E215" s="403">
        <f>E213-E214</f>
        <v>2914</v>
      </c>
      <c r="F215" s="349"/>
      <c r="G215" s="384"/>
    </row>
    <row r="216" spans="2:7" s="353" customFormat="1" ht="15.75" thickTop="1" x14ac:dyDescent="0.25">
      <c r="B216" s="349"/>
      <c r="C216" s="349"/>
      <c r="D216" s="355"/>
      <c r="E216" s="355"/>
      <c r="F216" s="349"/>
      <c r="G216" s="384"/>
    </row>
    <row r="217" spans="2:7" s="353" customFormat="1" ht="15" x14ac:dyDescent="0.25">
      <c r="B217" s="349"/>
      <c r="C217" s="349"/>
      <c r="D217" s="355"/>
      <c r="E217" s="355"/>
      <c r="F217" s="349"/>
      <c r="G217" s="384"/>
    </row>
    <row r="218" spans="2:7" s="353" customFormat="1" ht="15" x14ac:dyDescent="0.25">
      <c r="B218" s="225" t="s">
        <v>2835</v>
      </c>
      <c r="C218" s="226"/>
      <c r="D218" s="398"/>
      <c r="E218" s="398"/>
      <c r="F218" s="226"/>
      <c r="G218" s="384"/>
    </row>
    <row r="219" spans="2:7" s="353" customFormat="1" ht="15" x14ac:dyDescent="0.25">
      <c r="B219" s="226" t="s">
        <v>2877</v>
      </c>
      <c r="C219" s="226"/>
      <c r="D219" s="398"/>
      <c r="E219" s="388"/>
      <c r="F219" s="226"/>
      <c r="G219" s="384"/>
    </row>
    <row r="220" spans="2:7" s="353" customFormat="1" ht="15" x14ac:dyDescent="0.25">
      <c r="B220" s="226" t="s">
        <v>2878</v>
      </c>
      <c r="C220" s="226"/>
      <c r="D220" s="398"/>
      <c r="E220" s="395"/>
      <c r="F220" s="226"/>
      <c r="G220" s="384"/>
    </row>
    <row r="221" spans="2:7" s="353" customFormat="1" ht="15" x14ac:dyDescent="0.25">
      <c r="B221" s="226" t="s">
        <v>2879</v>
      </c>
      <c r="C221" s="226"/>
      <c r="D221" s="398"/>
      <c r="E221" s="395"/>
      <c r="F221" s="226"/>
      <c r="G221" s="384"/>
    </row>
    <row r="222" spans="2:7" s="353" customFormat="1" ht="15" x14ac:dyDescent="0.25">
      <c r="B222" s="226" t="s">
        <v>2880</v>
      </c>
      <c r="C222" s="226"/>
      <c r="D222" s="398"/>
      <c r="E222" s="395"/>
      <c r="F222" s="226"/>
      <c r="G222" s="384"/>
    </row>
    <row r="223" spans="2:7" s="353" customFormat="1" ht="15" x14ac:dyDescent="0.25">
      <c r="B223" s="226"/>
      <c r="C223" s="226"/>
      <c r="D223" s="398"/>
      <c r="E223" s="408">
        <f>E219+E220+E222-E221</f>
        <v>0</v>
      </c>
      <c r="F223" s="226"/>
      <c r="G223" s="384"/>
    </row>
    <row r="224" spans="2:7" s="353" customFormat="1" ht="15" x14ac:dyDescent="0.25">
      <c r="B224" s="226" t="s">
        <v>2881</v>
      </c>
      <c r="C224" s="226"/>
      <c r="D224" s="398"/>
      <c r="E224" s="388">
        <v>0</v>
      </c>
      <c r="F224" s="226"/>
      <c r="G224" s="384"/>
    </row>
    <row r="225" spans="2:7" s="353" customFormat="1" ht="15.75" thickBot="1" x14ac:dyDescent="0.3">
      <c r="B225" s="226" t="s">
        <v>2835</v>
      </c>
      <c r="C225" s="226"/>
      <c r="D225" s="398"/>
      <c r="E225" s="403">
        <f>E223-E224</f>
        <v>0</v>
      </c>
      <c r="F225" s="226"/>
      <c r="G225" s="384"/>
    </row>
    <row r="226" spans="2:7" s="353" customFormat="1" ht="15.75" thickTop="1" x14ac:dyDescent="0.25">
      <c r="B226" s="226"/>
      <c r="C226" s="226"/>
      <c r="D226" s="398"/>
      <c r="E226" s="398"/>
      <c r="F226" s="226"/>
      <c r="G226" s="384"/>
    </row>
    <row r="227" spans="2:7" s="353" customFormat="1" ht="15" x14ac:dyDescent="0.25">
      <c r="B227" s="225" t="s">
        <v>2854</v>
      </c>
      <c r="C227" s="226"/>
      <c r="D227" s="398"/>
      <c r="E227" s="398"/>
      <c r="F227" s="226"/>
      <c r="G227" s="384"/>
    </row>
    <row r="228" spans="2:7" s="353" customFormat="1" ht="15" x14ac:dyDescent="0.25">
      <c r="B228" s="226" t="s">
        <v>2882</v>
      </c>
      <c r="C228" s="226"/>
      <c r="D228" s="398"/>
      <c r="E228" s="409">
        <v>8390</v>
      </c>
      <c r="F228" s="226"/>
      <c r="G228" s="384"/>
    </row>
    <row r="229" spans="2:7" s="353" customFormat="1" ht="15" x14ac:dyDescent="0.25">
      <c r="B229" s="226" t="s">
        <v>1414</v>
      </c>
      <c r="C229" s="226"/>
      <c r="D229" s="398"/>
      <c r="E229" s="409">
        <v>9226</v>
      </c>
      <c r="F229" s="226"/>
      <c r="G229" s="384"/>
    </row>
    <row r="230" spans="2:7" s="353" customFormat="1" ht="15" x14ac:dyDescent="0.25">
      <c r="B230" s="226" t="s">
        <v>2767</v>
      </c>
      <c r="C230" s="226"/>
      <c r="D230" s="398"/>
      <c r="E230" s="409"/>
      <c r="F230" s="226"/>
      <c r="G230" s="384"/>
    </row>
    <row r="231" spans="2:7" s="353" customFormat="1" ht="15" x14ac:dyDescent="0.25">
      <c r="B231" s="226" t="s">
        <v>2883</v>
      </c>
      <c r="C231" s="226"/>
      <c r="D231" s="398"/>
      <c r="E231" s="409">
        <v>145</v>
      </c>
      <c r="F231" s="228" t="s">
        <v>2884</v>
      </c>
      <c r="G231" s="384"/>
    </row>
    <row r="232" spans="2:7" s="353" customFormat="1" ht="15" x14ac:dyDescent="0.25">
      <c r="B232" s="226"/>
      <c r="C232" s="226"/>
      <c r="D232" s="398"/>
      <c r="E232" s="401">
        <f>E228+E229-E230+E231</f>
        <v>17761</v>
      </c>
      <c r="F232" s="226"/>
    </row>
    <row r="233" spans="2:7" s="353" customFormat="1" ht="15" x14ac:dyDescent="0.25">
      <c r="B233" s="226" t="s">
        <v>2885</v>
      </c>
      <c r="C233" s="226"/>
      <c r="D233" s="398"/>
      <c r="E233" s="409">
        <v>13984</v>
      </c>
      <c r="F233" s="226"/>
    </row>
    <row r="234" spans="2:7" s="353" customFormat="1" ht="15.75" thickBot="1" x14ac:dyDescent="0.3">
      <c r="B234" s="226" t="s">
        <v>2854</v>
      </c>
      <c r="C234" s="226"/>
      <c r="D234" s="398"/>
      <c r="E234" s="391">
        <f>-(E233-E232)</f>
        <v>3777</v>
      </c>
      <c r="F234" s="226"/>
    </row>
    <row r="235" spans="2:7" s="353" customFormat="1" ht="15.75" thickTop="1" x14ac:dyDescent="0.25">
      <c r="B235" s="226"/>
      <c r="C235" s="226"/>
      <c r="D235" s="398"/>
      <c r="E235" s="398"/>
      <c r="F235" s="226"/>
    </row>
    <row r="236" spans="2:7" s="353" customFormat="1" ht="15" x14ac:dyDescent="0.25">
      <c r="B236" s="226"/>
      <c r="C236" s="226"/>
      <c r="D236" s="398"/>
      <c r="E236" s="398"/>
      <c r="F236" s="226"/>
    </row>
    <row r="237" spans="2:7" s="353" customFormat="1" ht="15" x14ac:dyDescent="0.25">
      <c r="B237" s="225" t="s">
        <v>2838</v>
      </c>
      <c r="C237" s="226"/>
      <c r="D237" s="398"/>
      <c r="E237" s="388">
        <f>512-378</f>
        <v>134</v>
      </c>
      <c r="F237" s="226"/>
    </row>
    <row r="238" spans="2:7" s="353" customFormat="1" ht="15" x14ac:dyDescent="0.25">
      <c r="B238" s="226"/>
      <c r="C238" s="226"/>
      <c r="D238" s="398"/>
      <c r="E238" s="398"/>
      <c r="F238" s="226"/>
    </row>
    <row r="239" spans="2:7" s="353" customFormat="1" ht="15" x14ac:dyDescent="0.25">
      <c r="B239" s="225" t="s">
        <v>2886</v>
      </c>
      <c r="C239" s="349"/>
      <c r="D239" s="355"/>
      <c r="E239" s="355"/>
      <c r="F239" s="349"/>
    </row>
    <row r="240" spans="2:7" s="353" customFormat="1" ht="15" x14ac:dyDescent="0.25">
      <c r="B240" s="226" t="s">
        <v>2887</v>
      </c>
      <c r="C240" s="349"/>
      <c r="D240" s="355"/>
      <c r="E240" s="410"/>
      <c r="F240" s="349"/>
    </row>
    <row r="241" spans="2:7" s="353" customFormat="1" ht="15" x14ac:dyDescent="0.25">
      <c r="B241" s="226" t="s">
        <v>2888</v>
      </c>
      <c r="C241" s="349"/>
      <c r="D241" s="355"/>
      <c r="E241" s="388"/>
      <c r="F241" s="349"/>
    </row>
    <row r="242" spans="2:7" s="353" customFormat="1" ht="15" x14ac:dyDescent="0.25">
      <c r="B242" s="226"/>
      <c r="C242" s="349"/>
      <c r="D242" s="355"/>
      <c r="E242" s="401">
        <f>SUM(E240:E241)</f>
        <v>0</v>
      </c>
      <c r="F242" s="349"/>
    </row>
    <row r="243" spans="2:7" s="353" customFormat="1" ht="15" x14ac:dyDescent="0.25">
      <c r="B243" s="226" t="s">
        <v>2889</v>
      </c>
      <c r="C243" s="349"/>
      <c r="D243" s="355"/>
      <c r="E243" s="409"/>
      <c r="F243" s="349"/>
    </row>
    <row r="244" spans="2:7" s="353" customFormat="1" ht="15.75" thickBot="1" x14ac:dyDescent="0.3">
      <c r="B244" s="226" t="s">
        <v>2886</v>
      </c>
      <c r="C244" s="349"/>
      <c r="D244" s="355"/>
      <c r="E244" s="391">
        <f>E243-E242</f>
        <v>0</v>
      </c>
      <c r="F244" s="349"/>
    </row>
    <row r="245" spans="2:7" s="353" customFormat="1" ht="15.75" thickTop="1" x14ac:dyDescent="0.25">
      <c r="B245" s="349"/>
      <c r="C245" s="349"/>
      <c r="D245" s="355"/>
      <c r="E245" s="355"/>
      <c r="F245" s="349"/>
    </row>
    <row r="246" spans="2:7" s="353" customFormat="1" ht="15" x14ac:dyDescent="0.25">
      <c r="B246" s="225" t="s">
        <v>2890</v>
      </c>
      <c r="C246" s="349"/>
      <c r="D246" s="355"/>
      <c r="E246" s="355"/>
      <c r="F246" s="349"/>
    </row>
    <row r="247" spans="2:7" s="353" customFormat="1" ht="15" x14ac:dyDescent="0.25">
      <c r="B247" s="226" t="s">
        <v>2891</v>
      </c>
      <c r="C247" s="349"/>
      <c r="D247" s="355"/>
      <c r="E247" s="352">
        <v>500</v>
      </c>
      <c r="F247" s="349"/>
    </row>
    <row r="248" spans="2:7" s="353" customFormat="1" ht="15" x14ac:dyDescent="0.25">
      <c r="B248" s="226" t="s">
        <v>2892</v>
      </c>
      <c r="C248" s="349"/>
      <c r="D248" s="355"/>
      <c r="E248" s="352">
        <v>500</v>
      </c>
      <c r="F248" s="349"/>
    </row>
    <row r="249" spans="2:7" s="353" customFormat="1" ht="15.75" thickBot="1" x14ac:dyDescent="0.3">
      <c r="B249" s="226" t="s">
        <v>2893</v>
      </c>
      <c r="C249" s="349"/>
      <c r="D249" s="355"/>
      <c r="E249" s="391">
        <f>E248-E247</f>
        <v>0</v>
      </c>
      <c r="F249" s="349"/>
    </row>
    <row r="250" spans="2:7" s="353" customFormat="1" ht="15.75" thickTop="1" x14ac:dyDescent="0.25">
      <c r="B250" s="226"/>
      <c r="C250" s="349"/>
      <c r="D250" s="355"/>
      <c r="E250" s="398"/>
      <c r="F250" s="349"/>
    </row>
    <row r="251" spans="2:7" s="353" customFormat="1" ht="15" x14ac:dyDescent="0.25">
      <c r="B251" s="225" t="s">
        <v>2894</v>
      </c>
      <c r="C251" s="349"/>
      <c r="D251" s="355"/>
      <c r="E251" s="355"/>
      <c r="F251" s="349"/>
    </row>
    <row r="252" spans="2:7" ht="15" x14ac:dyDescent="0.25">
      <c r="B252" s="226" t="s">
        <v>2895</v>
      </c>
      <c r="C252" s="349"/>
      <c r="D252" s="355"/>
      <c r="E252" s="352"/>
      <c r="F252" s="349"/>
      <c r="G252" s="353"/>
    </row>
    <row r="253" spans="2:7" ht="15" x14ac:dyDescent="0.25">
      <c r="B253" s="226" t="s">
        <v>2896</v>
      </c>
      <c r="C253" s="349"/>
      <c r="D253" s="355"/>
      <c r="E253" s="352">
        <f>+(200*2.6)+(50*1.8)+2</f>
        <v>612</v>
      </c>
      <c r="F253" s="349"/>
      <c r="G253" s="353"/>
    </row>
    <row r="254" spans="2:7" ht="15" x14ac:dyDescent="0.25">
      <c r="B254" s="226" t="s">
        <v>2897</v>
      </c>
      <c r="C254" s="349"/>
      <c r="D254" s="355"/>
      <c r="E254" s="352"/>
      <c r="F254" s="349"/>
      <c r="G254" s="353"/>
    </row>
    <row r="255" spans="2:7" ht="15" x14ac:dyDescent="0.2">
      <c r="B255" s="349"/>
      <c r="C255" s="349"/>
      <c r="D255" s="355"/>
      <c r="E255" s="411">
        <f>SUM(E252:E254)</f>
        <v>612</v>
      </c>
      <c r="F255" s="349"/>
      <c r="G255" s="353"/>
    </row>
    <row r="256" spans="2:7" ht="15" x14ac:dyDescent="0.25">
      <c r="B256" s="226" t="s">
        <v>2898</v>
      </c>
      <c r="C256" s="349"/>
      <c r="D256" s="355"/>
      <c r="E256" s="352"/>
      <c r="F256" s="349"/>
      <c r="G256" s="353"/>
    </row>
    <row r="257" spans="2:7" ht="15.75" thickBot="1" x14ac:dyDescent="0.3">
      <c r="B257" s="226" t="s">
        <v>2894</v>
      </c>
      <c r="C257" s="349"/>
      <c r="D257" s="355"/>
      <c r="E257" s="412">
        <f>E256-E255</f>
        <v>-612</v>
      </c>
      <c r="F257" s="349"/>
      <c r="G257" s="353"/>
    </row>
    <row r="258" spans="2:7" ht="15.75" thickTop="1" x14ac:dyDescent="0.2">
      <c r="B258" s="349"/>
      <c r="C258" s="349"/>
      <c r="D258" s="355"/>
      <c r="E258" s="355"/>
      <c r="F258" s="349"/>
      <c r="G258" s="353"/>
    </row>
    <row r="259" spans="2:7" ht="15" x14ac:dyDescent="0.2">
      <c r="B259" s="349"/>
      <c r="C259" s="349"/>
      <c r="D259" s="355"/>
      <c r="E259" s="355"/>
      <c r="F259" s="349"/>
      <c r="G259" s="353"/>
    </row>
    <row r="260" spans="2:7" ht="15" x14ac:dyDescent="0.25">
      <c r="B260" s="225" t="s">
        <v>2899</v>
      </c>
      <c r="C260" s="349"/>
      <c r="D260" s="355"/>
      <c r="E260" s="355"/>
      <c r="F260" s="349"/>
      <c r="G260" s="353"/>
    </row>
    <row r="261" spans="2:7" ht="15" x14ac:dyDescent="0.25">
      <c r="B261" s="226" t="s">
        <v>2900</v>
      </c>
      <c r="C261" s="349"/>
      <c r="D261" s="355"/>
      <c r="E261" s="388">
        <v>11076</v>
      </c>
      <c r="F261" s="349"/>
      <c r="G261" s="353"/>
    </row>
    <row r="262" spans="2:7" ht="15" x14ac:dyDescent="0.25">
      <c r="B262" s="226" t="s">
        <v>2901</v>
      </c>
      <c r="C262" s="349"/>
      <c r="D262" s="355"/>
      <c r="E262" s="388">
        <v>9833</v>
      </c>
      <c r="F262" s="349"/>
      <c r="G262" s="353"/>
    </row>
    <row r="263" spans="2:7" ht="15.75" thickBot="1" x14ac:dyDescent="0.3">
      <c r="B263" s="226" t="s">
        <v>2899</v>
      </c>
      <c r="C263" s="349"/>
      <c r="D263" s="355"/>
      <c r="E263" s="412">
        <f>E261-E262</f>
        <v>1243</v>
      </c>
      <c r="F263" s="349"/>
      <c r="G263" s="353"/>
    </row>
    <row r="264" spans="2:7" ht="15.75" thickTop="1" x14ac:dyDescent="0.2">
      <c r="B264" s="349"/>
      <c r="C264" s="349"/>
      <c r="D264" s="355"/>
      <c r="E264" s="355"/>
      <c r="F264" s="349"/>
      <c r="G264" s="353"/>
    </row>
    <row r="265" spans="2:7" ht="15" x14ac:dyDescent="0.2">
      <c r="B265" s="349"/>
      <c r="C265" s="349"/>
      <c r="D265" s="355"/>
      <c r="E265" s="355"/>
      <c r="F265" s="349"/>
      <c r="G265" s="353"/>
    </row>
    <row r="266" spans="2:7" ht="15.75" x14ac:dyDescent="0.2">
      <c r="B266" s="413" t="s">
        <v>2902</v>
      </c>
      <c r="C266" s="349"/>
      <c r="D266" s="355"/>
      <c r="E266" s="355"/>
      <c r="F266" s="349"/>
      <c r="G266" s="353"/>
    </row>
    <row r="267" spans="2:7" ht="15" x14ac:dyDescent="0.25">
      <c r="B267" s="226" t="s">
        <v>2895</v>
      </c>
      <c r="C267" s="349"/>
      <c r="D267" s="355"/>
      <c r="E267" s="352"/>
      <c r="F267" s="349"/>
      <c r="G267" s="353"/>
    </row>
    <row r="268" spans="2:7" ht="15" x14ac:dyDescent="0.25">
      <c r="B268" s="226" t="s">
        <v>2903</v>
      </c>
      <c r="C268" s="349"/>
      <c r="D268" s="355"/>
      <c r="E268" s="352"/>
      <c r="F268" s="349"/>
      <c r="G268" s="353"/>
    </row>
    <row r="269" spans="2:7" ht="15" x14ac:dyDescent="0.25">
      <c r="B269" s="226"/>
      <c r="C269" s="349"/>
      <c r="D269" s="355"/>
      <c r="E269" s="411">
        <f>SUM(E267:E268)</f>
        <v>0</v>
      </c>
      <c r="F269" s="349"/>
      <c r="G269" s="353"/>
    </row>
    <row r="270" spans="2:7" ht="15" x14ac:dyDescent="0.25">
      <c r="B270" s="226" t="s">
        <v>2898</v>
      </c>
      <c r="C270" s="349"/>
      <c r="D270" s="355"/>
      <c r="E270" s="352"/>
      <c r="F270" s="349"/>
      <c r="G270" s="353"/>
    </row>
    <row r="271" spans="2:7" ht="15" x14ac:dyDescent="0.25">
      <c r="B271" s="226" t="s">
        <v>2904</v>
      </c>
      <c r="C271" s="349"/>
      <c r="D271" s="355"/>
      <c r="E271" s="355">
        <f>E269-E270</f>
        <v>0</v>
      </c>
      <c r="F271" s="349"/>
      <c r="G271" s="353"/>
    </row>
    <row r="272" spans="2:7" ht="15" x14ac:dyDescent="0.25">
      <c r="B272" s="226" t="s">
        <v>2905</v>
      </c>
      <c r="C272" s="349"/>
      <c r="D272" s="355"/>
      <c r="E272" s="352">
        <f>+(400*4.62)-74</f>
        <v>1774</v>
      </c>
      <c r="F272" s="349"/>
      <c r="G272" s="353"/>
    </row>
    <row r="273" spans="2:7" ht="15.75" thickBot="1" x14ac:dyDescent="0.3">
      <c r="B273" s="226" t="s">
        <v>2902</v>
      </c>
      <c r="C273" s="349"/>
      <c r="D273" s="355"/>
      <c r="E273" s="412">
        <f>E272+E271</f>
        <v>1774</v>
      </c>
      <c r="F273" s="349"/>
      <c r="G273" s="353"/>
    </row>
    <row r="274" spans="2:7" ht="15.75" thickTop="1" x14ac:dyDescent="0.2">
      <c r="B274" s="349"/>
      <c r="C274" s="349"/>
      <c r="D274" s="355"/>
      <c r="E274" s="355"/>
      <c r="F274" s="349"/>
      <c r="G274" s="353"/>
    </row>
    <row r="275" spans="2:7" ht="15" x14ac:dyDescent="0.2">
      <c r="B275" s="349"/>
      <c r="C275" s="349"/>
      <c r="D275" s="355"/>
      <c r="E275" s="355"/>
      <c r="F275" s="349"/>
      <c r="G275" s="353"/>
    </row>
    <row r="276" spans="2:7" ht="15.75" x14ac:dyDescent="0.2">
      <c r="B276" s="413" t="s">
        <v>2906</v>
      </c>
      <c r="C276" s="349"/>
      <c r="D276" s="355"/>
      <c r="E276" s="355"/>
      <c r="F276" s="349"/>
      <c r="G276" s="353"/>
    </row>
    <row r="277" spans="2:7" ht="15" x14ac:dyDescent="0.25">
      <c r="B277" s="226" t="s">
        <v>2907</v>
      </c>
      <c r="C277" s="349"/>
      <c r="D277" s="355"/>
      <c r="E277" s="352"/>
      <c r="F277" s="349"/>
      <c r="G277" s="353"/>
    </row>
    <row r="278" spans="2:7" ht="15" x14ac:dyDescent="0.25">
      <c r="B278" s="226" t="s">
        <v>2908</v>
      </c>
      <c r="C278" s="349"/>
      <c r="D278" s="355"/>
      <c r="E278" s="352"/>
      <c r="F278" s="349"/>
      <c r="G278" s="353"/>
    </row>
    <row r="279" spans="2:7" ht="15" x14ac:dyDescent="0.25">
      <c r="B279" s="226"/>
      <c r="C279" s="349"/>
      <c r="D279" s="355"/>
      <c r="E279" s="414">
        <f>E277+E278</f>
        <v>0</v>
      </c>
      <c r="F279" s="349"/>
      <c r="G279" s="353"/>
    </row>
    <row r="280" spans="2:7" ht="15" x14ac:dyDescent="0.25">
      <c r="B280" s="226" t="s">
        <v>2909</v>
      </c>
      <c r="C280" s="349"/>
      <c r="D280" s="355"/>
      <c r="E280" s="352"/>
      <c r="F280" s="349"/>
      <c r="G280" s="353"/>
    </row>
    <row r="281" spans="2:7" ht="15.75" thickBot="1" x14ac:dyDescent="0.3">
      <c r="B281" s="226" t="s">
        <v>2852</v>
      </c>
      <c r="C281" s="349"/>
      <c r="D281" s="355"/>
      <c r="E281" s="412">
        <f>E279-E280</f>
        <v>0</v>
      </c>
      <c r="F281" s="349"/>
      <c r="G281" s="353"/>
    </row>
    <row r="282" spans="2:7" ht="15.75" thickTop="1" x14ac:dyDescent="0.2">
      <c r="B282" s="349"/>
      <c r="C282" s="349"/>
      <c r="D282" s="349"/>
      <c r="E282" s="349"/>
      <c r="F282" s="349"/>
      <c r="G282" s="353"/>
    </row>
    <row r="283" spans="2:7" ht="15" x14ac:dyDescent="0.2">
      <c r="B283" s="349"/>
      <c r="C283" s="349"/>
      <c r="D283" s="349"/>
      <c r="E283" s="349"/>
      <c r="F283" s="349"/>
      <c r="G283" s="353"/>
    </row>
    <row r="284" spans="2:7" ht="15" x14ac:dyDescent="0.2">
      <c r="B284" s="349"/>
      <c r="C284" s="349"/>
      <c r="D284" s="349"/>
      <c r="E284" s="349"/>
      <c r="F284" s="349"/>
      <c r="G284" s="353"/>
    </row>
    <row r="285" spans="2:7" ht="15" x14ac:dyDescent="0.2">
      <c r="B285" s="349"/>
      <c r="C285" s="349"/>
      <c r="D285" s="349"/>
      <c r="E285" s="349"/>
      <c r="F285" s="349"/>
      <c r="G285" s="353"/>
    </row>
    <row r="286" spans="2:7" ht="15" x14ac:dyDescent="0.2">
      <c r="B286" s="349"/>
      <c r="C286" s="349"/>
      <c r="D286" s="349"/>
      <c r="E286" s="349"/>
      <c r="F286" s="349"/>
      <c r="G286" s="353"/>
    </row>
    <row r="287" spans="2:7" ht="15" x14ac:dyDescent="0.2">
      <c r="B287" s="349"/>
      <c r="C287" s="349"/>
      <c r="D287" s="349"/>
      <c r="E287" s="349"/>
      <c r="F287" s="349"/>
      <c r="G287" s="353"/>
    </row>
    <row r="300" spans="2:2" x14ac:dyDescent="0.2">
      <c r="B300" s="1" t="s">
        <v>2910</v>
      </c>
    </row>
    <row r="301" spans="2:2" x14ac:dyDescent="0.2">
      <c r="B301" s="1" t="s">
        <v>2911</v>
      </c>
    </row>
    <row r="302" spans="2:2" x14ac:dyDescent="0.2">
      <c r="B302" s="1" t="s">
        <v>2912</v>
      </c>
    </row>
    <row r="303" spans="2:2" x14ac:dyDescent="0.2">
      <c r="B303" s="1" t="s">
        <v>2913</v>
      </c>
    </row>
    <row r="304" spans="2:2" x14ac:dyDescent="0.2">
      <c r="B304" s="1" t="s">
        <v>2914</v>
      </c>
    </row>
    <row r="305" spans="2:2" x14ac:dyDescent="0.2">
      <c r="B305" s="1" t="s">
        <v>2915</v>
      </c>
    </row>
    <row r="306" spans="2:2" x14ac:dyDescent="0.2">
      <c r="B306" s="1" t="s">
        <v>2916</v>
      </c>
    </row>
    <row r="307" spans="2:2" x14ac:dyDescent="0.2">
      <c r="B307" s="1" t="s">
        <v>2917</v>
      </c>
    </row>
    <row r="308" spans="2:2" x14ac:dyDescent="0.2">
      <c r="B308" s="1" t="s">
        <v>2918</v>
      </c>
    </row>
    <row r="309" spans="2:2" x14ac:dyDescent="0.2">
      <c r="B309" s="1" t="s">
        <v>2919</v>
      </c>
    </row>
    <row r="310" spans="2:2" x14ac:dyDescent="0.2">
      <c r="B310" s="1" t="s">
        <v>2920</v>
      </c>
    </row>
    <row r="311" spans="2:2" x14ac:dyDescent="0.2">
      <c r="B311" s="1" t="s">
        <v>2921</v>
      </c>
    </row>
    <row r="312" spans="2:2" x14ac:dyDescent="0.2">
      <c r="B312" s="1" t="s">
        <v>2922</v>
      </c>
    </row>
    <row r="313" spans="2:2" x14ac:dyDescent="0.2">
      <c r="B313" s="1" t="s">
        <v>2923</v>
      </c>
    </row>
    <row r="314" spans="2:2" x14ac:dyDescent="0.2">
      <c r="B314" s="1" t="s">
        <v>2924</v>
      </c>
    </row>
    <row r="321" s="1" customFormat="1" x14ac:dyDescent="0.2"/>
    <row r="322" s="1" customFormat="1" x14ac:dyDescent="0.2"/>
    <row r="323" s="1" customFormat="1" x14ac:dyDescent="0.2"/>
    <row r="324" s="1" customFormat="1" x14ac:dyDescent="0.2"/>
    <row r="325" s="1" customFormat="1" x14ac:dyDescent="0.2"/>
    <row r="326" s="1" customFormat="1" x14ac:dyDescent="0.2"/>
    <row r="327" s="1" customFormat="1" x14ac:dyDescent="0.2"/>
    <row r="328" s="1" customFormat="1" x14ac:dyDescent="0.2"/>
    <row r="329" s="1" customFormat="1" x14ac:dyDescent="0.2"/>
    <row r="330" s="1" customFormat="1" x14ac:dyDescent="0.2"/>
    <row r="331" s="1" customFormat="1" x14ac:dyDescent="0.2"/>
    <row r="332" s="1" customFormat="1" x14ac:dyDescent="0.2"/>
    <row r="333" s="1" customFormat="1" x14ac:dyDescent="0.2"/>
    <row r="334" s="1" customFormat="1" x14ac:dyDescent="0.2"/>
    <row r="335" s="1" customFormat="1" x14ac:dyDescent="0.2"/>
    <row r="336" s="1" customFormat="1" x14ac:dyDescent="0.2"/>
    <row r="337" s="1" customFormat="1" x14ac:dyDescent="0.2"/>
    <row r="338" s="1" customFormat="1" x14ac:dyDescent="0.2"/>
    <row r="339" s="1" customFormat="1" x14ac:dyDescent="0.2"/>
    <row r="340" s="1" customFormat="1" x14ac:dyDescent="0.2"/>
    <row r="341" s="1" customFormat="1" x14ac:dyDescent="0.2"/>
    <row r="342" s="1" customFormat="1" x14ac:dyDescent="0.2"/>
    <row r="343" s="1" customFormat="1" x14ac:dyDescent="0.2"/>
    <row r="344" s="1" customFormat="1" x14ac:dyDescent="0.2"/>
    <row r="345" s="1" customFormat="1" x14ac:dyDescent="0.2"/>
    <row r="346" s="1" customFormat="1" x14ac:dyDescent="0.2"/>
    <row r="347" s="1" customFormat="1" x14ac:dyDescent="0.2"/>
    <row r="348" s="1" customFormat="1" x14ac:dyDescent="0.2"/>
    <row r="349" s="1" customFormat="1" x14ac:dyDescent="0.2"/>
    <row r="350" s="1" customFormat="1" x14ac:dyDescent="0.2"/>
    <row r="351" s="1" customFormat="1" x14ac:dyDescent="0.2"/>
    <row r="352" s="1" customFormat="1" x14ac:dyDescent="0.2"/>
    <row r="353" s="1" customFormat="1" x14ac:dyDescent="0.2"/>
    <row r="354" s="1" customFormat="1" x14ac:dyDescent="0.2"/>
    <row r="355" s="1" customFormat="1" x14ac:dyDescent="0.2"/>
    <row r="356" s="1" customFormat="1" x14ac:dyDescent="0.2"/>
    <row r="357" s="1" customFormat="1" x14ac:dyDescent="0.2"/>
    <row r="358" s="1" customFormat="1" x14ac:dyDescent="0.2"/>
    <row r="359" s="1" customFormat="1" x14ac:dyDescent="0.2"/>
    <row r="360" s="1" customFormat="1" x14ac:dyDescent="0.2"/>
    <row r="361" s="1" customFormat="1" x14ac:dyDescent="0.2"/>
    <row r="362" s="1" customFormat="1" x14ac:dyDescent="0.2"/>
    <row r="363" s="1" customFormat="1" x14ac:dyDescent="0.2"/>
    <row r="364" s="1" customFormat="1" x14ac:dyDescent="0.2"/>
    <row r="365" s="1" customFormat="1" x14ac:dyDescent="0.2"/>
    <row r="366" s="1" customFormat="1" x14ac:dyDescent="0.2"/>
    <row r="367" s="1" customFormat="1" x14ac:dyDescent="0.2"/>
    <row r="368" s="1" customFormat="1" x14ac:dyDescent="0.2"/>
    <row r="369" s="1" customFormat="1" x14ac:dyDescent="0.2"/>
    <row r="370" s="1" customFormat="1" x14ac:dyDescent="0.2"/>
    <row r="371" s="1" customFormat="1" x14ac:dyDescent="0.2"/>
    <row r="372" s="1" customFormat="1" x14ac:dyDescent="0.2"/>
    <row r="373" s="1" customFormat="1" x14ac:dyDescent="0.2"/>
    <row r="374" s="1" customFormat="1" x14ac:dyDescent="0.2"/>
    <row r="375" s="1" customFormat="1" x14ac:dyDescent="0.2"/>
    <row r="376" s="1" customFormat="1" x14ac:dyDescent="0.2"/>
    <row r="377" s="1" customFormat="1" x14ac:dyDescent="0.2"/>
    <row r="378" s="1" customFormat="1" x14ac:dyDescent="0.2"/>
    <row r="379" s="1" customFormat="1" x14ac:dyDescent="0.2"/>
    <row r="380" s="1" customFormat="1" x14ac:dyDescent="0.2"/>
    <row r="381" s="1" customFormat="1" x14ac:dyDescent="0.2"/>
    <row r="382" s="1" customFormat="1" x14ac:dyDescent="0.2"/>
    <row r="383" s="1" customFormat="1" x14ac:dyDescent="0.2"/>
    <row r="384" s="1" customFormat="1" x14ac:dyDescent="0.2"/>
    <row r="385" s="1" customFormat="1" x14ac:dyDescent="0.2"/>
    <row r="386" s="1" customFormat="1" x14ac:dyDescent="0.2"/>
    <row r="387" s="1" customFormat="1" x14ac:dyDescent="0.2"/>
    <row r="388" s="1" customFormat="1" x14ac:dyDescent="0.2"/>
    <row r="389" s="1" customFormat="1" x14ac:dyDescent="0.2"/>
    <row r="390" s="1" customFormat="1" x14ac:dyDescent="0.2"/>
    <row r="391" s="1" customFormat="1" x14ac:dyDescent="0.2"/>
    <row r="392" s="1" customFormat="1" x14ac:dyDescent="0.2"/>
    <row r="393" s="1" customFormat="1" x14ac:dyDescent="0.2"/>
    <row r="394" s="1" customFormat="1" x14ac:dyDescent="0.2"/>
    <row r="395" s="1" customFormat="1" x14ac:dyDescent="0.2"/>
    <row r="396" s="1" customFormat="1" x14ac:dyDescent="0.2"/>
    <row r="397" s="1" customFormat="1" x14ac:dyDescent="0.2"/>
    <row r="398" s="1" customFormat="1" x14ac:dyDescent="0.2"/>
    <row r="399" s="1" customFormat="1" x14ac:dyDescent="0.2"/>
    <row r="400" s="1" customFormat="1" x14ac:dyDescent="0.2"/>
    <row r="401" s="1" customFormat="1" x14ac:dyDescent="0.2"/>
    <row r="402" s="1" customFormat="1" x14ac:dyDescent="0.2"/>
    <row r="403" s="1" customFormat="1" x14ac:dyDescent="0.2"/>
    <row r="404" s="1" customFormat="1" x14ac:dyDescent="0.2"/>
    <row r="405" s="1" customFormat="1" x14ac:dyDescent="0.2"/>
    <row r="406" s="1" customFormat="1" x14ac:dyDescent="0.2"/>
    <row r="407" s="1" customFormat="1" x14ac:dyDescent="0.2"/>
    <row r="408" s="1" customFormat="1" x14ac:dyDescent="0.2"/>
    <row r="409" s="1" customFormat="1" x14ac:dyDescent="0.2"/>
    <row r="410" s="1" customFormat="1" x14ac:dyDescent="0.2"/>
    <row r="411" s="1" customFormat="1" x14ac:dyDescent="0.2"/>
    <row r="412" s="1" customFormat="1" x14ac:dyDescent="0.2"/>
    <row r="413" s="1" customFormat="1" x14ac:dyDescent="0.2"/>
    <row r="414" s="1" customFormat="1" x14ac:dyDescent="0.2"/>
    <row r="415" s="1" customFormat="1" x14ac:dyDescent="0.2"/>
    <row r="416" s="1" customFormat="1" x14ac:dyDescent="0.2"/>
    <row r="417" s="1" customFormat="1" x14ac:dyDescent="0.2"/>
    <row r="418" s="1" customFormat="1" x14ac:dyDescent="0.2"/>
    <row r="419" s="1" customFormat="1" x14ac:dyDescent="0.2"/>
    <row r="420" s="1" customFormat="1" x14ac:dyDescent="0.2"/>
    <row r="421" s="1" customFormat="1" x14ac:dyDescent="0.2"/>
    <row r="422" s="1" customFormat="1" x14ac:dyDescent="0.2"/>
    <row r="423" s="1" customFormat="1" x14ac:dyDescent="0.2"/>
    <row r="424" s="1" customFormat="1" x14ac:dyDescent="0.2"/>
    <row r="425" s="1" customFormat="1" x14ac:dyDescent="0.2"/>
    <row r="426" s="1" customFormat="1" x14ac:dyDescent="0.2"/>
    <row r="427" s="1" customFormat="1" x14ac:dyDescent="0.2"/>
    <row r="428" s="1" customFormat="1" x14ac:dyDescent="0.2"/>
    <row r="429" s="1" customFormat="1" x14ac:dyDescent="0.2"/>
    <row r="430" s="1" customFormat="1" x14ac:dyDescent="0.2"/>
    <row r="431" s="1" customFormat="1" x14ac:dyDescent="0.2"/>
    <row r="432" s="1" customFormat="1" x14ac:dyDescent="0.2"/>
    <row r="433" s="1" customFormat="1" x14ac:dyDescent="0.2"/>
    <row r="434" s="1" customFormat="1" x14ac:dyDescent="0.2"/>
    <row r="435" s="1" customFormat="1" x14ac:dyDescent="0.2"/>
    <row r="436" s="1" customFormat="1" x14ac:dyDescent="0.2"/>
    <row r="437" s="1" customFormat="1" x14ac:dyDescent="0.2"/>
    <row r="438" s="1" customFormat="1" x14ac:dyDescent="0.2"/>
    <row r="439" s="1" customFormat="1" x14ac:dyDescent="0.2"/>
    <row r="440" s="1" customFormat="1" x14ac:dyDescent="0.2"/>
    <row r="441" s="1" customFormat="1" x14ac:dyDescent="0.2"/>
    <row r="442" s="1" customFormat="1" x14ac:dyDescent="0.2"/>
    <row r="443" s="1" customFormat="1" x14ac:dyDescent="0.2"/>
    <row r="444" s="1" customFormat="1" x14ac:dyDescent="0.2"/>
    <row r="445" s="1" customFormat="1" x14ac:dyDescent="0.2"/>
    <row r="446" s="1" customFormat="1" x14ac:dyDescent="0.2"/>
    <row r="447" s="1" customFormat="1" x14ac:dyDescent="0.2"/>
    <row r="448" s="1" customFormat="1" x14ac:dyDescent="0.2"/>
    <row r="449" s="1" customFormat="1" x14ac:dyDescent="0.2"/>
    <row r="450" s="1" customFormat="1" x14ac:dyDescent="0.2"/>
    <row r="451" s="1" customFormat="1" x14ac:dyDescent="0.2"/>
    <row r="452" s="1" customFormat="1" x14ac:dyDescent="0.2"/>
    <row r="453" s="1" customFormat="1" x14ac:dyDescent="0.2"/>
    <row r="454" s="1" customFormat="1" x14ac:dyDescent="0.2"/>
    <row r="455" s="1" customFormat="1" x14ac:dyDescent="0.2"/>
    <row r="456" s="1" customFormat="1" x14ac:dyDescent="0.2"/>
    <row r="457" s="1" customFormat="1" x14ac:dyDescent="0.2"/>
    <row r="458" s="1" customFormat="1" x14ac:dyDescent="0.2"/>
    <row r="459" s="1" customFormat="1" x14ac:dyDescent="0.2"/>
    <row r="460" s="1" customFormat="1" x14ac:dyDescent="0.2"/>
    <row r="461" s="1" customFormat="1" x14ac:dyDescent="0.2"/>
    <row r="462" s="1" customFormat="1" x14ac:dyDescent="0.2"/>
    <row r="463" s="1" customFormat="1" x14ac:dyDescent="0.2"/>
    <row r="464" s="1" customFormat="1" x14ac:dyDescent="0.2"/>
    <row r="465" s="1" customFormat="1" x14ac:dyDescent="0.2"/>
    <row r="466" s="1" customFormat="1" x14ac:dyDescent="0.2"/>
    <row r="467" s="1" customFormat="1" x14ac:dyDescent="0.2"/>
    <row r="468" s="1" customFormat="1" x14ac:dyDescent="0.2"/>
    <row r="469" s="1" customFormat="1" x14ac:dyDescent="0.2"/>
    <row r="470" s="1" customFormat="1" x14ac:dyDescent="0.2"/>
    <row r="471" s="1" customFormat="1" x14ac:dyDescent="0.2"/>
    <row r="472" s="1" customFormat="1" x14ac:dyDescent="0.2"/>
    <row r="473" s="1" customFormat="1" x14ac:dyDescent="0.2"/>
    <row r="474" s="1" customFormat="1" x14ac:dyDescent="0.2"/>
    <row r="475" s="1" customFormat="1" x14ac:dyDescent="0.2"/>
    <row r="476" s="1" customFormat="1" x14ac:dyDescent="0.2"/>
    <row r="477" s="1" customFormat="1" x14ac:dyDescent="0.2"/>
    <row r="478" s="1" customFormat="1" x14ac:dyDescent="0.2"/>
    <row r="479" s="1" customFormat="1" x14ac:dyDescent="0.2"/>
    <row r="480" s="1" customFormat="1" x14ac:dyDescent="0.2"/>
    <row r="481" s="1" customFormat="1" x14ac:dyDescent="0.2"/>
    <row r="482" s="1" customFormat="1" x14ac:dyDescent="0.2"/>
    <row r="483" s="1" customFormat="1" x14ac:dyDescent="0.2"/>
    <row r="484" s="1" customFormat="1" x14ac:dyDescent="0.2"/>
    <row r="485" s="1" customFormat="1" x14ac:dyDescent="0.2"/>
    <row r="486" s="1" customFormat="1" x14ac:dyDescent="0.2"/>
    <row r="487" s="1" customFormat="1" x14ac:dyDescent="0.2"/>
    <row r="488" s="1" customFormat="1" x14ac:dyDescent="0.2"/>
    <row r="489" s="1" customFormat="1" x14ac:dyDescent="0.2"/>
    <row r="490" s="1" customFormat="1" x14ac:dyDescent="0.2"/>
    <row r="491" s="1" customFormat="1" x14ac:dyDescent="0.2"/>
    <row r="492" s="1" customFormat="1" x14ac:dyDescent="0.2"/>
    <row r="493" s="1" customFormat="1" x14ac:dyDescent="0.2"/>
    <row r="494" s="1" customFormat="1" x14ac:dyDescent="0.2"/>
    <row r="495" s="1" customFormat="1" x14ac:dyDescent="0.2"/>
    <row r="496" s="1" customFormat="1" x14ac:dyDescent="0.2"/>
    <row r="497" s="1" customFormat="1" x14ac:dyDescent="0.2"/>
    <row r="498" s="1" customFormat="1" x14ac:dyDescent="0.2"/>
    <row r="499" s="1" customFormat="1" x14ac:dyDescent="0.2"/>
    <row r="500" s="1" customFormat="1" x14ac:dyDescent="0.2"/>
    <row r="501" s="1" customFormat="1" x14ac:dyDescent="0.2"/>
    <row r="502" s="1" customFormat="1" x14ac:dyDescent="0.2"/>
    <row r="503" s="1" customFormat="1" x14ac:dyDescent="0.2"/>
    <row r="504" s="1" customFormat="1" x14ac:dyDescent="0.2"/>
    <row r="505" s="1" customFormat="1" x14ac:dyDescent="0.2"/>
    <row r="506" s="1" customFormat="1" x14ac:dyDescent="0.2"/>
    <row r="507" s="1" customFormat="1" x14ac:dyDescent="0.2"/>
    <row r="508" s="1" customFormat="1" x14ac:dyDescent="0.2"/>
    <row r="509" s="1" customFormat="1" x14ac:dyDescent="0.2"/>
    <row r="510" s="1" customFormat="1" x14ac:dyDescent="0.2"/>
    <row r="511" s="1" customFormat="1" x14ac:dyDescent="0.2"/>
    <row r="512" s="1" customFormat="1" x14ac:dyDescent="0.2"/>
    <row r="513" s="1" customFormat="1" x14ac:dyDescent="0.2"/>
    <row r="514" s="1" customFormat="1" x14ac:dyDescent="0.2"/>
    <row r="515" s="1" customFormat="1" x14ac:dyDescent="0.2"/>
    <row r="516" s="1" customFormat="1" x14ac:dyDescent="0.2"/>
    <row r="517" s="1" customFormat="1" x14ac:dyDescent="0.2"/>
    <row r="518" s="1" customFormat="1" x14ac:dyDescent="0.2"/>
    <row r="519" s="1" customFormat="1" x14ac:dyDescent="0.2"/>
    <row r="520" s="1" customFormat="1" x14ac:dyDescent="0.2"/>
    <row r="521" s="1" customFormat="1" x14ac:dyDescent="0.2"/>
    <row r="522" s="1" customFormat="1" x14ac:dyDescent="0.2"/>
    <row r="523" s="1" customFormat="1" x14ac:dyDescent="0.2"/>
    <row r="524" s="1" customFormat="1" x14ac:dyDescent="0.2"/>
    <row r="525" s="1" customFormat="1" x14ac:dyDescent="0.2"/>
    <row r="526" s="1" customFormat="1" x14ac:dyDescent="0.2"/>
    <row r="527" s="1" customFormat="1" x14ac:dyDescent="0.2"/>
    <row r="528" s="1" customFormat="1" x14ac:dyDescent="0.2"/>
    <row r="529" s="1" customFormat="1" x14ac:dyDescent="0.2"/>
    <row r="530" s="1" customFormat="1" x14ac:dyDescent="0.2"/>
    <row r="531" s="1" customFormat="1" x14ac:dyDescent="0.2"/>
    <row r="532" s="1" customFormat="1" x14ac:dyDescent="0.2"/>
    <row r="533" s="1" customFormat="1" x14ac:dyDescent="0.2"/>
    <row r="534" s="1" customFormat="1" x14ac:dyDescent="0.2"/>
    <row r="535" s="1" customFormat="1" x14ac:dyDescent="0.2"/>
    <row r="536" s="1" customFormat="1" x14ac:dyDescent="0.2"/>
    <row r="537" s="1" customFormat="1" x14ac:dyDescent="0.2"/>
    <row r="538" s="1" customFormat="1" x14ac:dyDescent="0.2"/>
    <row r="539" s="1" customFormat="1" x14ac:dyDescent="0.2"/>
    <row r="540" s="1" customFormat="1" x14ac:dyDescent="0.2"/>
    <row r="541" s="1" customFormat="1" x14ac:dyDescent="0.2"/>
    <row r="542" s="1" customFormat="1" x14ac:dyDescent="0.2"/>
    <row r="543" s="1" customFormat="1" x14ac:dyDescent="0.2"/>
    <row r="544" s="1" customFormat="1" x14ac:dyDescent="0.2"/>
    <row r="545" s="1" customFormat="1" x14ac:dyDescent="0.2"/>
    <row r="546" s="1" customFormat="1" x14ac:dyDescent="0.2"/>
    <row r="547" s="1" customFormat="1" x14ac:dyDescent="0.2"/>
    <row r="548" s="1" customFormat="1" x14ac:dyDescent="0.2"/>
    <row r="549" s="1" customFormat="1" x14ac:dyDescent="0.2"/>
    <row r="550" s="1" customFormat="1" x14ac:dyDescent="0.2"/>
    <row r="551" s="1" customFormat="1" x14ac:dyDescent="0.2"/>
    <row r="552" s="1" customFormat="1" x14ac:dyDescent="0.2"/>
    <row r="553" s="1" customFormat="1" x14ac:dyDescent="0.2"/>
    <row r="554" s="1" customFormat="1" x14ac:dyDescent="0.2"/>
    <row r="555" s="1" customFormat="1" x14ac:dyDescent="0.2"/>
    <row r="556" s="1" customFormat="1" x14ac:dyDescent="0.2"/>
    <row r="557" s="1" customFormat="1" x14ac:dyDescent="0.2"/>
    <row r="558" s="1" customFormat="1" x14ac:dyDescent="0.2"/>
    <row r="559" s="1" customFormat="1" x14ac:dyDescent="0.2"/>
    <row r="560" s="1" customFormat="1" x14ac:dyDescent="0.2"/>
    <row r="561" s="1" customFormat="1" x14ac:dyDescent="0.2"/>
    <row r="562" s="1" customFormat="1" x14ac:dyDescent="0.2"/>
    <row r="563" s="1" customFormat="1" x14ac:dyDescent="0.2"/>
    <row r="564" s="1" customFormat="1" x14ac:dyDescent="0.2"/>
    <row r="565" s="1" customFormat="1" x14ac:dyDescent="0.2"/>
    <row r="566" s="1" customFormat="1" x14ac:dyDescent="0.2"/>
    <row r="567" s="1" customFormat="1" x14ac:dyDescent="0.2"/>
    <row r="568" s="1" customFormat="1" x14ac:dyDescent="0.2"/>
    <row r="569" s="1" customFormat="1" x14ac:dyDescent="0.2"/>
    <row r="570" s="1" customFormat="1" x14ac:dyDescent="0.2"/>
    <row r="571" s="1" customFormat="1" x14ac:dyDescent="0.2"/>
    <row r="572" s="1" customFormat="1" x14ac:dyDescent="0.2"/>
    <row r="573" s="1" customFormat="1" x14ac:dyDescent="0.2"/>
    <row r="574" s="1" customFormat="1" x14ac:dyDescent="0.2"/>
    <row r="575" s="1" customFormat="1" x14ac:dyDescent="0.2"/>
    <row r="576" s="1" customFormat="1" x14ac:dyDescent="0.2"/>
    <row r="577" s="1" customFormat="1" x14ac:dyDescent="0.2"/>
    <row r="578" s="1" customFormat="1" x14ac:dyDescent="0.2"/>
    <row r="579" s="1" customFormat="1" x14ac:dyDescent="0.2"/>
    <row r="580" s="1" customFormat="1" x14ac:dyDescent="0.2"/>
    <row r="581" s="1" customFormat="1" x14ac:dyDescent="0.2"/>
    <row r="582" s="1" customFormat="1" x14ac:dyDescent="0.2"/>
    <row r="583" s="1" customFormat="1" x14ac:dyDescent="0.2"/>
    <row r="584" s="1" customFormat="1" x14ac:dyDescent="0.2"/>
    <row r="585" s="1" customFormat="1" x14ac:dyDescent="0.2"/>
    <row r="586" s="1" customFormat="1" x14ac:dyDescent="0.2"/>
    <row r="587" s="1" customFormat="1" x14ac:dyDescent="0.2"/>
    <row r="588" s="1" customFormat="1" x14ac:dyDescent="0.2"/>
    <row r="589" s="1" customFormat="1" x14ac:dyDescent="0.2"/>
    <row r="590" s="1" customFormat="1" x14ac:dyDescent="0.2"/>
    <row r="591" s="1" customFormat="1" x14ac:dyDescent="0.2"/>
    <row r="592" s="1" customFormat="1" x14ac:dyDescent="0.2"/>
    <row r="593" s="1" customFormat="1" x14ac:dyDescent="0.2"/>
    <row r="594" s="1" customFormat="1" x14ac:dyDescent="0.2"/>
    <row r="595" s="1" customFormat="1" x14ac:dyDescent="0.2"/>
    <row r="596" s="1" customFormat="1" x14ac:dyDescent="0.2"/>
    <row r="597" s="1" customFormat="1" x14ac:dyDescent="0.2"/>
    <row r="598" s="1" customFormat="1" x14ac:dyDescent="0.2"/>
    <row r="599" s="1" customFormat="1" x14ac:dyDescent="0.2"/>
    <row r="600" s="1" customFormat="1" x14ac:dyDescent="0.2"/>
    <row r="601" s="1" customFormat="1" x14ac:dyDescent="0.2"/>
    <row r="602" s="1" customFormat="1" x14ac:dyDescent="0.2"/>
    <row r="603" s="1" customFormat="1" x14ac:dyDescent="0.2"/>
    <row r="604" s="1" customFormat="1" x14ac:dyDescent="0.2"/>
    <row r="605" s="1" customFormat="1" x14ac:dyDescent="0.2"/>
    <row r="606" s="1" customFormat="1" x14ac:dyDescent="0.2"/>
    <row r="607" s="1" customFormat="1" x14ac:dyDescent="0.2"/>
    <row r="608" s="1" customFormat="1" x14ac:dyDescent="0.2"/>
    <row r="609" s="1" customFormat="1" x14ac:dyDescent="0.2"/>
    <row r="610" s="1" customFormat="1" x14ac:dyDescent="0.2"/>
    <row r="611" s="1" customFormat="1" x14ac:dyDescent="0.2"/>
    <row r="612" s="1" customFormat="1" x14ac:dyDescent="0.2"/>
    <row r="613" s="1" customFormat="1" x14ac:dyDescent="0.2"/>
    <row r="614" s="1" customFormat="1" x14ac:dyDescent="0.2"/>
    <row r="615" s="1" customFormat="1" x14ac:dyDescent="0.2"/>
    <row r="616" s="1" customFormat="1" x14ac:dyDescent="0.2"/>
    <row r="617" s="1" customFormat="1" x14ac:dyDescent="0.2"/>
    <row r="618" s="1" customFormat="1" x14ac:dyDescent="0.2"/>
    <row r="619" s="1" customFormat="1" x14ac:dyDescent="0.2"/>
    <row r="620" s="1" customFormat="1" x14ac:dyDescent="0.2"/>
    <row r="621" s="1" customFormat="1" x14ac:dyDescent="0.2"/>
    <row r="622" s="1" customFormat="1" x14ac:dyDescent="0.2"/>
    <row r="623" s="1" customFormat="1" x14ac:dyDescent="0.2"/>
    <row r="624" s="1" customFormat="1" x14ac:dyDescent="0.2"/>
    <row r="625" s="1" customFormat="1" x14ac:dyDescent="0.2"/>
    <row r="626" s="1" customFormat="1" x14ac:dyDescent="0.2"/>
    <row r="627" s="1" customFormat="1" x14ac:dyDescent="0.2"/>
    <row r="628" s="1" customFormat="1" x14ac:dyDescent="0.2"/>
    <row r="629" s="1" customFormat="1" x14ac:dyDescent="0.2"/>
    <row r="630" s="1" customFormat="1" x14ac:dyDescent="0.2"/>
    <row r="631" s="1" customFormat="1" x14ac:dyDescent="0.2"/>
    <row r="632" s="1" customFormat="1" x14ac:dyDescent="0.2"/>
    <row r="633" s="1" customFormat="1" x14ac:dyDescent="0.2"/>
    <row r="634" s="1" customFormat="1" x14ac:dyDescent="0.2"/>
    <row r="635" s="1" customFormat="1" x14ac:dyDescent="0.2"/>
    <row r="636" s="1" customFormat="1" x14ac:dyDescent="0.2"/>
    <row r="637" s="1" customFormat="1" x14ac:dyDescent="0.2"/>
    <row r="638" s="1" customFormat="1" x14ac:dyDescent="0.2"/>
    <row r="639" s="1" customFormat="1" x14ac:dyDescent="0.2"/>
    <row r="640" s="1" customFormat="1" x14ac:dyDescent="0.2"/>
    <row r="641" s="1" customFormat="1" x14ac:dyDescent="0.2"/>
    <row r="642" s="1" customFormat="1" x14ac:dyDescent="0.2"/>
    <row r="643" s="1" customFormat="1" x14ac:dyDescent="0.2"/>
    <row r="644" s="1" customFormat="1" x14ac:dyDescent="0.2"/>
    <row r="646" s="1" customFormat="1" x14ac:dyDescent="0.2"/>
    <row r="647" s="1" customFormat="1" x14ac:dyDescent="0.2"/>
    <row r="648" s="1" customFormat="1" x14ac:dyDescent="0.2"/>
    <row r="649" s="1" customFormat="1" x14ac:dyDescent="0.2"/>
    <row r="650" s="1" customFormat="1" x14ac:dyDescent="0.2"/>
    <row r="651" s="1" customFormat="1" x14ac:dyDescent="0.2"/>
    <row r="652" s="1" customFormat="1" x14ac:dyDescent="0.2"/>
    <row r="653" s="1" customFormat="1" x14ac:dyDescent="0.2"/>
    <row r="654" s="1" customFormat="1" x14ac:dyDescent="0.2"/>
    <row r="655" s="1" customFormat="1" x14ac:dyDescent="0.2"/>
    <row r="656" s="1" customFormat="1" x14ac:dyDescent="0.2"/>
    <row r="657" s="1" customFormat="1" x14ac:dyDescent="0.2"/>
    <row r="658" s="1" customFormat="1" x14ac:dyDescent="0.2"/>
    <row r="659" s="1" customFormat="1" x14ac:dyDescent="0.2"/>
    <row r="660" s="1" customFormat="1" x14ac:dyDescent="0.2"/>
    <row r="661" s="1" customFormat="1" x14ac:dyDescent="0.2"/>
    <row r="662" s="1" customFormat="1" x14ac:dyDescent="0.2"/>
    <row r="663" s="1" customFormat="1" x14ac:dyDescent="0.2"/>
    <row r="664" s="1" customFormat="1" x14ac:dyDescent="0.2"/>
    <row r="665" s="1" customFormat="1" x14ac:dyDescent="0.2"/>
    <row r="666" s="1" customFormat="1" x14ac:dyDescent="0.2"/>
    <row r="667" s="1" customFormat="1" x14ac:dyDescent="0.2"/>
    <row r="668" s="1" customFormat="1" x14ac:dyDescent="0.2"/>
    <row r="669" s="1" customFormat="1" x14ac:dyDescent="0.2"/>
    <row r="670" s="1" customFormat="1" x14ac:dyDescent="0.2"/>
    <row r="671" s="1" customFormat="1" x14ac:dyDescent="0.2"/>
    <row r="672" s="1" customFormat="1" x14ac:dyDescent="0.2"/>
    <row r="673" s="1" customFormat="1" x14ac:dyDescent="0.2"/>
    <row r="674" s="1" customFormat="1" x14ac:dyDescent="0.2"/>
    <row r="675" s="1" customFormat="1" x14ac:dyDescent="0.2"/>
    <row r="676" s="1" customFormat="1" x14ac:dyDescent="0.2"/>
    <row r="677" s="1" customFormat="1" x14ac:dyDescent="0.2"/>
    <row r="678" s="1" customFormat="1" x14ac:dyDescent="0.2"/>
    <row r="679" s="1" customFormat="1" x14ac:dyDescent="0.2"/>
    <row r="680" s="1" customFormat="1" x14ac:dyDescent="0.2"/>
    <row r="681" s="1" customFormat="1" x14ac:dyDescent="0.2"/>
    <row r="682" s="1" customFormat="1" x14ac:dyDescent="0.2"/>
    <row r="683" s="1" customFormat="1" x14ac:dyDescent="0.2"/>
    <row r="684" s="1" customFormat="1" x14ac:dyDescent="0.2"/>
    <row r="685" s="1" customFormat="1" x14ac:dyDescent="0.2"/>
    <row r="686" s="1" customFormat="1" x14ac:dyDescent="0.2"/>
    <row r="687" s="1" customFormat="1" x14ac:dyDescent="0.2"/>
    <row r="688" s="1" customFormat="1" x14ac:dyDescent="0.2"/>
  </sheetData>
  <conditionalFormatting sqref="C160">
    <cfRule type="cellIs" dxfId="3" priority="1" operator="lessThan">
      <formula>0</formula>
    </cfRule>
    <cfRule type="cellIs" dxfId="2" priority="2" operator="greaterThan">
      <formula>0</formula>
    </cfRule>
  </conditionalFormatting>
  <hyperlinks>
    <hyperlink ref="A1" location="Main!A1" display="Main" xr:uid="{3BCBDBC0-F606-4B1E-A23B-EA6BD7CF1195}"/>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D50D4-8E56-461D-B6F7-18C9F0F1D443}">
  <sheetPr codeName="Sheet12"/>
  <dimension ref="A1:F84"/>
  <sheetViews>
    <sheetView zoomScaleNormal="100" workbookViewId="0"/>
  </sheetViews>
  <sheetFormatPr defaultRowHeight="12" x14ac:dyDescent="0.2"/>
  <cols>
    <col min="1" max="16384" width="9.140625" style="1"/>
  </cols>
  <sheetData>
    <row r="1" spans="1:3" ht="15" x14ac:dyDescent="0.25">
      <c r="A1" s="2" t="s">
        <v>0</v>
      </c>
    </row>
    <row r="14" spans="1:3" x14ac:dyDescent="0.2">
      <c r="B14" s="1" t="s">
        <v>5</v>
      </c>
      <c r="C14" s="3">
        <v>44651</v>
      </c>
    </row>
    <row r="17" spans="2:6" x14ac:dyDescent="0.2">
      <c r="B17" s="1" t="s">
        <v>1256</v>
      </c>
    </row>
    <row r="19" spans="2:6" x14ac:dyDescent="0.2">
      <c r="B19" s="1" t="s">
        <v>1258</v>
      </c>
    </row>
    <row r="20" spans="2:6" x14ac:dyDescent="0.2">
      <c r="B20" s="1" t="s">
        <v>1259</v>
      </c>
      <c r="E20" s="6">
        <v>6000</v>
      </c>
    </row>
    <row r="21" spans="2:6" x14ac:dyDescent="0.2">
      <c r="B21" s="1" t="s">
        <v>1260</v>
      </c>
      <c r="E21" s="6">
        <f>2000/(1+0.065)^2</f>
        <v>1763.3185655403472</v>
      </c>
      <c r="F21" s="1" t="str">
        <f ca="1">_xlfn.FORMULATEXT(E21)</f>
        <v>=2000/(1+0.065)^2</v>
      </c>
    </row>
    <row r="22" spans="2:6" x14ac:dyDescent="0.2">
      <c r="E22" s="6">
        <f>SUM(E20:E21)</f>
        <v>7763.3185655403468</v>
      </c>
    </row>
    <row r="23" spans="2:6" x14ac:dyDescent="0.2">
      <c r="E23" s="6"/>
    </row>
    <row r="24" spans="2:6" x14ac:dyDescent="0.2">
      <c r="B24" s="1" t="s">
        <v>1277</v>
      </c>
      <c r="E24" s="6">
        <f>+E21</f>
        <v>1763.3185655403472</v>
      </c>
    </row>
    <row r="25" spans="2:6" x14ac:dyDescent="0.2">
      <c r="C25" s="1" t="s">
        <v>1278</v>
      </c>
      <c r="E25" s="6"/>
      <c r="F25" s="6">
        <f>+E21</f>
        <v>1763.3185655403472</v>
      </c>
    </row>
    <row r="26" spans="2:6" x14ac:dyDescent="0.2">
      <c r="B26" s="1" t="s">
        <v>1279</v>
      </c>
      <c r="E26" s="6"/>
    </row>
    <row r="27" spans="2:6" x14ac:dyDescent="0.2">
      <c r="E27" s="6"/>
    </row>
    <row r="28" spans="2:6" x14ac:dyDescent="0.2">
      <c r="B28" s="1" t="s">
        <v>1280</v>
      </c>
      <c r="E28" s="6"/>
    </row>
    <row r="29" spans="2:6" x14ac:dyDescent="0.2">
      <c r="B29" s="1" t="s">
        <v>302</v>
      </c>
      <c r="E29" s="6">
        <v>8520</v>
      </c>
    </row>
    <row r="30" spans="2:6" x14ac:dyDescent="0.2">
      <c r="B30" s="1" t="s">
        <v>1281</v>
      </c>
      <c r="E30" s="6">
        <f>+D62</f>
        <v>-1400</v>
      </c>
    </row>
    <row r="31" spans="2:6" x14ac:dyDescent="0.2">
      <c r="B31" s="1" t="s">
        <v>1282</v>
      </c>
      <c r="E31" s="6">
        <f>+D67</f>
        <v>1200</v>
      </c>
    </row>
    <row r="32" spans="2:6" x14ac:dyDescent="0.2">
      <c r="B32" s="1" t="s">
        <v>1283</v>
      </c>
      <c r="E32" s="6">
        <f>SUM(E29:E31)</f>
        <v>8320</v>
      </c>
    </row>
    <row r="33" spans="2:5" x14ac:dyDescent="0.2">
      <c r="E33" s="6"/>
    </row>
    <row r="34" spans="2:5" x14ac:dyDescent="0.2">
      <c r="E34" s="6"/>
    </row>
    <row r="35" spans="2:5" x14ac:dyDescent="0.2">
      <c r="E35" s="6"/>
    </row>
    <row r="36" spans="2:5" x14ac:dyDescent="0.2">
      <c r="B36" s="1" t="s">
        <v>1257</v>
      </c>
      <c r="E36" s="6">
        <f>+E22</f>
        <v>7763.3185655403468</v>
      </c>
    </row>
    <row r="37" spans="2:5" x14ac:dyDescent="0.2">
      <c r="B37" s="1" t="s">
        <v>1261</v>
      </c>
      <c r="D37" s="4">
        <v>0.2</v>
      </c>
      <c r="E37" s="6">
        <f>-D37*E44</f>
        <v>1664</v>
      </c>
    </row>
    <row r="38" spans="2:5" x14ac:dyDescent="0.2">
      <c r="B38" s="1" t="s">
        <v>1262</v>
      </c>
      <c r="D38" s="6">
        <v>1200</v>
      </c>
      <c r="E38" s="6"/>
    </row>
    <row r="39" spans="2:5" x14ac:dyDescent="0.2">
      <c r="B39" s="1" t="s">
        <v>1263</v>
      </c>
      <c r="D39" s="6">
        <v>840</v>
      </c>
      <c r="E39" s="6"/>
    </row>
    <row r="40" spans="2:5" x14ac:dyDescent="0.2">
      <c r="B40" s="1" t="s">
        <v>1264</v>
      </c>
      <c r="D40" s="6">
        <v>5760</v>
      </c>
      <c r="E40" s="6"/>
    </row>
    <row r="41" spans="2:5" x14ac:dyDescent="0.2">
      <c r="B41" s="1" t="s">
        <v>1265</v>
      </c>
      <c r="D41" s="6">
        <v>720</v>
      </c>
    </row>
    <row r="42" spans="2:5" x14ac:dyDescent="0.2">
      <c r="B42" s="1" t="s">
        <v>1269</v>
      </c>
      <c r="D42" s="6">
        <f>D62</f>
        <v>-1400</v>
      </c>
    </row>
    <row r="43" spans="2:5" x14ac:dyDescent="0.2">
      <c r="B43" s="1" t="s">
        <v>592</v>
      </c>
      <c r="D43" s="6">
        <f>D67</f>
        <v>1200</v>
      </c>
    </row>
    <row r="44" spans="2:5" x14ac:dyDescent="0.2">
      <c r="E44" s="6">
        <f>-SUM(D38:D43)</f>
        <v>-8320</v>
      </c>
    </row>
    <row r="45" spans="2:5" x14ac:dyDescent="0.2">
      <c r="B45" s="1" t="s">
        <v>1266</v>
      </c>
      <c r="E45" s="6">
        <f>+E36+E37+E44</f>
        <v>1107.3185655403468</v>
      </c>
    </row>
    <row r="46" spans="2:5" x14ac:dyDescent="0.2">
      <c r="D46" s="6"/>
      <c r="E46" s="6"/>
    </row>
    <row r="47" spans="2:5" x14ac:dyDescent="0.2">
      <c r="B47" s="1" t="s">
        <v>1271</v>
      </c>
      <c r="D47" s="6">
        <f>+D38</f>
        <v>1200</v>
      </c>
      <c r="E47" s="6"/>
    </row>
    <row r="48" spans="2:5" x14ac:dyDescent="0.2">
      <c r="B48" s="1" t="s">
        <v>1272</v>
      </c>
      <c r="D48" s="6">
        <f>+D39</f>
        <v>840</v>
      </c>
      <c r="E48" s="6"/>
    </row>
    <row r="49" spans="2:5" x14ac:dyDescent="0.2">
      <c r="B49" s="1" t="s">
        <v>1108</v>
      </c>
      <c r="D49" s="6">
        <f>+D40</f>
        <v>5760</v>
      </c>
      <c r="E49" s="6"/>
    </row>
    <row r="50" spans="2:5" x14ac:dyDescent="0.2">
      <c r="B50" s="1" t="s">
        <v>1273</v>
      </c>
      <c r="D50" s="6">
        <f>+D41</f>
        <v>720</v>
      </c>
      <c r="E50" s="6"/>
    </row>
    <row r="51" spans="2:5" x14ac:dyDescent="0.2">
      <c r="B51" s="1" t="s">
        <v>1274</v>
      </c>
      <c r="D51" s="6">
        <f>+E45</f>
        <v>1107.3185655403468</v>
      </c>
      <c r="E51" s="6"/>
    </row>
    <row r="52" spans="2:5" x14ac:dyDescent="0.2">
      <c r="B52" s="1" t="s">
        <v>585</v>
      </c>
      <c r="D52" s="6">
        <f>+D43</f>
        <v>1200</v>
      </c>
      <c r="E52" s="6"/>
    </row>
    <row r="53" spans="2:5" x14ac:dyDescent="0.2">
      <c r="C53" s="1" t="s">
        <v>335</v>
      </c>
      <c r="D53" s="6"/>
      <c r="E53" s="6">
        <f>+D42</f>
        <v>-1400</v>
      </c>
    </row>
    <row r="54" spans="2:5" x14ac:dyDescent="0.2">
      <c r="C54" s="1" t="s">
        <v>1275</v>
      </c>
      <c r="D54" s="6"/>
      <c r="E54" s="6">
        <f>+E36</f>
        <v>7763.3185655403468</v>
      </c>
    </row>
    <row r="55" spans="2:5" x14ac:dyDescent="0.2">
      <c r="C55" s="1" t="s">
        <v>1276</v>
      </c>
      <c r="D55" s="6"/>
      <c r="E55" s="6">
        <f>+E37</f>
        <v>1664</v>
      </c>
    </row>
    <row r="56" spans="2:5" x14ac:dyDescent="0.2">
      <c r="B56" s="1" t="s">
        <v>1284</v>
      </c>
      <c r="D56" s="6"/>
      <c r="E56" s="6"/>
    </row>
    <row r="57" spans="2:5" x14ac:dyDescent="0.2">
      <c r="D57" s="6"/>
      <c r="E57" s="6"/>
    </row>
    <row r="59" spans="2:5" x14ac:dyDescent="0.2">
      <c r="B59" s="1" t="s">
        <v>1267</v>
      </c>
    </row>
    <row r="60" spans="2:5" x14ac:dyDescent="0.2">
      <c r="B60" s="1" t="s">
        <v>302</v>
      </c>
      <c r="D60" s="1">
        <v>4600</v>
      </c>
    </row>
    <row r="61" spans="2:5" x14ac:dyDescent="0.2">
      <c r="B61" s="1" t="s">
        <v>32</v>
      </c>
      <c r="D61" s="1">
        <v>3200</v>
      </c>
    </row>
    <row r="62" spans="2:5" x14ac:dyDescent="0.2">
      <c r="B62" s="1" t="s">
        <v>1268</v>
      </c>
      <c r="D62" s="1">
        <f>+D61-D60</f>
        <v>-1400</v>
      </c>
    </row>
    <row r="65" spans="2:4" x14ac:dyDescent="0.2">
      <c r="B65" s="1" t="s">
        <v>592</v>
      </c>
      <c r="D65" s="1">
        <v>750</v>
      </c>
    </row>
    <row r="66" spans="2:4" x14ac:dyDescent="0.2">
      <c r="D66" s="1">
        <v>450</v>
      </c>
    </row>
    <row r="67" spans="2:4" x14ac:dyDescent="0.2">
      <c r="D67" s="1">
        <f>SUM(D65:D66)</f>
        <v>1200</v>
      </c>
    </row>
    <row r="70" spans="2:4" x14ac:dyDescent="0.2">
      <c r="B70" s="1" t="s">
        <v>1270</v>
      </c>
    </row>
    <row r="74" spans="2:4" x14ac:dyDescent="0.2">
      <c r="B74" s="88" t="s">
        <v>1285</v>
      </c>
    </row>
    <row r="75" spans="2:4" x14ac:dyDescent="0.2">
      <c r="B75" s="1" t="s">
        <v>1286</v>
      </c>
    </row>
    <row r="76" spans="2:4" x14ac:dyDescent="0.2">
      <c r="B76" s="1" t="s">
        <v>1287</v>
      </c>
    </row>
    <row r="77" spans="2:4" x14ac:dyDescent="0.2">
      <c r="B77" s="1" t="s">
        <v>1288</v>
      </c>
    </row>
    <row r="80" spans="2:4" x14ac:dyDescent="0.2">
      <c r="B80" s="88" t="s">
        <v>1289</v>
      </c>
    </row>
    <row r="81" spans="2:2" x14ac:dyDescent="0.2">
      <c r="B81" s="1" t="s">
        <v>1290</v>
      </c>
    </row>
    <row r="82" spans="2:2" x14ac:dyDescent="0.2">
      <c r="B82" s="1" t="s">
        <v>1291</v>
      </c>
    </row>
    <row r="83" spans="2:2" x14ac:dyDescent="0.2">
      <c r="B83" s="1" t="s">
        <v>1292</v>
      </c>
    </row>
    <row r="84" spans="2:2" x14ac:dyDescent="0.2">
      <c r="B84" s="1" t="s">
        <v>1293</v>
      </c>
    </row>
  </sheetData>
  <hyperlinks>
    <hyperlink ref="A1" location="Main!A1" display="Main" xr:uid="{2A967648-3B62-4158-9EC2-C80E87DCBF79}"/>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6CCE0-40E7-4F5B-B336-F3C66D07E273}">
  <dimension ref="A1:G72"/>
  <sheetViews>
    <sheetView workbookViewId="0"/>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s>
  <sheetData>
    <row r="1" spans="1:7" ht="15.75" thickBot="1" x14ac:dyDescent="0.3">
      <c r="A1" s="2" t="s">
        <v>0</v>
      </c>
    </row>
    <row r="2" spans="1:7" x14ac:dyDescent="0.25">
      <c r="B2" s="126" t="s">
        <v>1969</v>
      </c>
      <c r="C2" s="108"/>
      <c r="D2" s="108"/>
      <c r="E2" s="234" t="s">
        <v>1506</v>
      </c>
      <c r="F2" s="235" t="s">
        <v>1970</v>
      </c>
      <c r="G2" s="236"/>
    </row>
    <row r="3" spans="1:7" x14ac:dyDescent="0.25">
      <c r="B3" s="113" t="s">
        <v>1971</v>
      </c>
      <c r="E3" s="237">
        <v>94300</v>
      </c>
      <c r="F3" s="237">
        <v>79200</v>
      </c>
      <c r="G3" s="238"/>
    </row>
    <row r="4" spans="1:7" x14ac:dyDescent="0.25">
      <c r="B4" s="113" t="s">
        <v>1972</v>
      </c>
      <c r="E4" s="237">
        <v>78900</v>
      </c>
      <c r="F4" s="237">
        <v>66400</v>
      </c>
      <c r="G4" s="238"/>
    </row>
    <row r="5" spans="1:7" x14ac:dyDescent="0.25">
      <c r="B5" s="113" t="s">
        <v>1973</v>
      </c>
      <c r="E5" s="239">
        <f>E3-E4</f>
        <v>15400</v>
      </c>
      <c r="F5" s="240">
        <f>F3-F4</f>
        <v>12800</v>
      </c>
    </row>
    <row r="6" spans="1:7" x14ac:dyDescent="0.25">
      <c r="B6" s="113"/>
      <c r="F6" s="112"/>
    </row>
    <row r="7" spans="1:7" x14ac:dyDescent="0.25">
      <c r="B7" s="113" t="s">
        <v>1974</v>
      </c>
      <c r="F7" s="241">
        <v>0.05</v>
      </c>
      <c r="G7" s="242"/>
    </row>
    <row r="8" spans="1:7" x14ac:dyDescent="0.25">
      <c r="B8" s="113" t="s">
        <v>1975</v>
      </c>
      <c r="E8" s="243" t="str">
        <f ca="1">IFERROR(_xlfn.FORMULATEXT(F8)," ")</f>
        <v>=40500*0.16</v>
      </c>
      <c r="F8" s="244">
        <f>40500*0.16</f>
        <v>6480</v>
      </c>
      <c r="G8" s="245"/>
    </row>
    <row r="9" spans="1:7" x14ac:dyDescent="0.25">
      <c r="B9" s="113" t="s">
        <v>1976</v>
      </c>
      <c r="F9" s="244">
        <v>5300</v>
      </c>
      <c r="G9" s="238"/>
    </row>
    <row r="10" spans="1:7" x14ac:dyDescent="0.25">
      <c r="B10" s="113" t="s">
        <v>1977</v>
      </c>
      <c r="F10" s="244">
        <v>4100</v>
      </c>
    </row>
    <row r="11" spans="1:7" x14ac:dyDescent="0.25">
      <c r="B11" s="113" t="s">
        <v>1978</v>
      </c>
      <c r="F11" s="244">
        <v>4300</v>
      </c>
    </row>
    <row r="12" spans="1:7" x14ac:dyDescent="0.25">
      <c r="B12" s="113" t="s">
        <v>1979</v>
      </c>
      <c r="F12" s="244"/>
      <c r="G12" s="238"/>
    </row>
    <row r="13" spans="1:7" x14ac:dyDescent="0.25">
      <c r="B13" s="113" t="s">
        <v>1980</v>
      </c>
      <c r="F13" s="244"/>
    </row>
    <row r="14" spans="1:7" x14ac:dyDescent="0.25">
      <c r="B14" s="113" t="s">
        <v>1981</v>
      </c>
      <c r="F14" s="244"/>
    </row>
    <row r="15" spans="1:7" ht="15.75" thickBot="1" x14ac:dyDescent="0.3">
      <c r="B15" s="118" t="s">
        <v>1982</v>
      </c>
      <c r="C15" s="119"/>
      <c r="D15" s="246" t="str">
        <f>"= "&amp;F14&amp;"-"&amp;F13</f>
        <v>= -</v>
      </c>
      <c r="E15" s="119"/>
      <c r="F15" s="247">
        <f>F14-F13</f>
        <v>0</v>
      </c>
    </row>
    <row r="17" spans="2:7" x14ac:dyDescent="0.25">
      <c r="B17" s="94" t="s">
        <v>1983</v>
      </c>
      <c r="G17" s="97"/>
    </row>
    <row r="18" spans="2:7" x14ac:dyDescent="0.25">
      <c r="E18" s="97" t="s">
        <v>248</v>
      </c>
      <c r="F18" s="97" t="s">
        <v>248</v>
      </c>
      <c r="G18" s="238"/>
    </row>
    <row r="19" spans="2:7" x14ac:dyDescent="0.25">
      <c r="B19" t="s">
        <v>1984</v>
      </c>
      <c r="E19" s="239">
        <f>F9+F10</f>
        <v>9400</v>
      </c>
      <c r="F19" s="239"/>
      <c r="G19" s="238"/>
    </row>
    <row r="20" spans="2:7" x14ac:dyDescent="0.25">
      <c r="B20" s="104" t="s">
        <v>2012</v>
      </c>
      <c r="E20" s="239"/>
      <c r="F20" s="239">
        <f>F9+F10</f>
        <v>9400</v>
      </c>
    </row>
    <row r="21" spans="2:7" x14ac:dyDescent="0.25">
      <c r="E21" s="161"/>
      <c r="F21" s="161"/>
      <c r="G21" s="238"/>
    </row>
    <row r="22" spans="2:7" x14ac:dyDescent="0.25">
      <c r="E22" s="239"/>
      <c r="F22" s="239"/>
      <c r="G22" s="238"/>
    </row>
    <row r="23" spans="2:7" x14ac:dyDescent="0.25">
      <c r="B23" s="94" t="s">
        <v>1985</v>
      </c>
      <c r="E23" s="239"/>
      <c r="F23" s="239"/>
      <c r="G23" s="238"/>
    </row>
    <row r="24" spans="2:7" x14ac:dyDescent="0.25">
      <c r="B24" t="str" cm="1">
        <f t="array" ref="B24">_xlfn.IFS(F15&lt;0,"DR SPL - Staff costs",F15&gt;0,"CR SPL - Staff costs",F15=0," ")</f>
        <v xml:space="preserve"> </v>
      </c>
      <c r="E24" s="239">
        <f>IF($F$15&lt;0,-$F$15,0)</f>
        <v>0</v>
      </c>
      <c r="F24" s="239">
        <f>IF($F$15&gt;0,$F$15,0)</f>
        <v>0</v>
      </c>
      <c r="G24" s="238"/>
    </row>
    <row r="25" spans="2:7" x14ac:dyDescent="0.25">
      <c r="B25" t="s">
        <v>1986</v>
      </c>
      <c r="E25" s="239">
        <f>F14+F12</f>
        <v>0</v>
      </c>
      <c r="F25" s="239"/>
      <c r="G25" s="238"/>
    </row>
    <row r="26" spans="2:7" x14ac:dyDescent="0.25">
      <c r="B26" t="s">
        <v>2013</v>
      </c>
      <c r="E26" s="239"/>
      <c r="F26" s="239">
        <f>F13+F12</f>
        <v>0</v>
      </c>
      <c r="G26" s="238"/>
    </row>
    <row r="27" spans="2:7" x14ac:dyDescent="0.25">
      <c r="B27" t="s">
        <v>1987</v>
      </c>
      <c r="E27" s="239"/>
      <c r="F27" s="239"/>
      <c r="G27" s="238"/>
    </row>
    <row r="28" spans="2:7" x14ac:dyDescent="0.25">
      <c r="E28" s="239"/>
      <c r="F28" s="239"/>
      <c r="G28" s="238"/>
    </row>
    <row r="29" spans="2:7" x14ac:dyDescent="0.25">
      <c r="B29" s="94" t="s">
        <v>1988</v>
      </c>
      <c r="E29" s="239"/>
      <c r="F29" s="239"/>
      <c r="G29" s="238"/>
    </row>
    <row r="30" spans="2:7" x14ac:dyDescent="0.25">
      <c r="B30" s="103" t="s">
        <v>1989</v>
      </c>
      <c r="E30" s="239"/>
      <c r="F30" s="239"/>
      <c r="G30" s="238"/>
    </row>
    <row r="31" spans="2:7" x14ac:dyDescent="0.25">
      <c r="B31" t="s">
        <v>1990</v>
      </c>
      <c r="E31" s="239">
        <f>F8+F11</f>
        <v>10780</v>
      </c>
      <c r="F31" s="239"/>
      <c r="G31" s="238"/>
    </row>
    <row r="32" spans="2:7" x14ac:dyDescent="0.25">
      <c r="B32" t="s">
        <v>1991</v>
      </c>
      <c r="E32" s="239"/>
      <c r="F32" s="239">
        <f>F8+F11</f>
        <v>10780</v>
      </c>
    </row>
    <row r="34" spans="2:7" x14ac:dyDescent="0.25">
      <c r="B34" s="94" t="s">
        <v>1992</v>
      </c>
    </row>
    <row r="35" spans="2:7" x14ac:dyDescent="0.25">
      <c r="B35" s="103" t="s">
        <v>1993</v>
      </c>
    </row>
    <row r="36" spans="2:7" x14ac:dyDescent="0.25">
      <c r="B36" s="94"/>
      <c r="E36" t="s">
        <v>1994</v>
      </c>
      <c r="F36" t="s">
        <v>1995</v>
      </c>
      <c r="G36" s="97"/>
    </row>
    <row r="37" spans="2:7" x14ac:dyDescent="0.25">
      <c r="D37" t="s">
        <v>1996</v>
      </c>
      <c r="E37" s="97" t="s">
        <v>248</v>
      </c>
      <c r="F37" s="97" t="s">
        <v>248</v>
      </c>
      <c r="G37" s="238"/>
    </row>
    <row r="38" spans="2:7" x14ac:dyDescent="0.25">
      <c r="B38" t="s">
        <v>1658</v>
      </c>
      <c r="E38" s="239">
        <f>F3</f>
        <v>79200</v>
      </c>
      <c r="F38" s="239">
        <f>F4</f>
        <v>66400</v>
      </c>
    </row>
    <row r="39" spans="2:7" x14ac:dyDescent="0.25">
      <c r="B39" t="s">
        <v>1997</v>
      </c>
      <c r="C39" s="248">
        <v>44652</v>
      </c>
      <c r="D39" s="147">
        <v>1</v>
      </c>
      <c r="E39" s="161">
        <f>D39*F9</f>
        <v>5300</v>
      </c>
      <c r="F39" s="161">
        <v>0</v>
      </c>
      <c r="G39" s="102"/>
    </row>
    <row r="40" spans="2:7" x14ac:dyDescent="0.25">
      <c r="B40" t="s">
        <v>1998</v>
      </c>
      <c r="D40" s="147">
        <v>1</v>
      </c>
      <c r="E40" s="161">
        <f>F10*D40</f>
        <v>4100</v>
      </c>
      <c r="F40" s="161">
        <f>D40*F11</f>
        <v>4300</v>
      </c>
      <c r="G40" s="102"/>
    </row>
    <row r="41" spans="2:7" x14ac:dyDescent="0.25">
      <c r="B41" t="s">
        <v>1979</v>
      </c>
      <c r="D41" s="147">
        <v>0</v>
      </c>
      <c r="E41" s="161">
        <f>-($D$41*$F$12)</f>
        <v>0</v>
      </c>
      <c r="F41" s="161">
        <f>-($D$41*$F$12)</f>
        <v>0</v>
      </c>
      <c r="G41" s="102"/>
    </row>
    <row r="42" spans="2:7" x14ac:dyDescent="0.25">
      <c r="B42" t="s">
        <v>1979</v>
      </c>
      <c r="D42" s="147">
        <v>0</v>
      </c>
      <c r="E42" s="161">
        <f>($D$42*$E$19)</f>
        <v>0</v>
      </c>
      <c r="F42" s="161"/>
      <c r="G42" s="102"/>
    </row>
    <row r="43" spans="2:7" x14ac:dyDescent="0.25">
      <c r="B43" t="s">
        <v>1999</v>
      </c>
      <c r="D43" s="147"/>
      <c r="E43" s="161">
        <f>D43*-F13</f>
        <v>0</v>
      </c>
      <c r="F43" s="161">
        <f>D43*-F14</f>
        <v>0</v>
      </c>
      <c r="G43" s="102"/>
    </row>
    <row r="44" spans="2:7" x14ac:dyDescent="0.25">
      <c r="B44" t="s">
        <v>2000</v>
      </c>
      <c r="E44" s="249">
        <f>SUM(E38:E43)</f>
        <v>88600</v>
      </c>
      <c r="F44" s="249">
        <f>SUM(F38:F43)</f>
        <v>70700</v>
      </c>
      <c r="G44" s="102"/>
    </row>
    <row r="45" spans="2:7" ht="15.75" thickBot="1" x14ac:dyDescent="0.3">
      <c r="B45" t="s">
        <v>2001</v>
      </c>
      <c r="E45" s="250">
        <f>E44*F7</f>
        <v>4430</v>
      </c>
      <c r="F45" s="250">
        <f>F44*F7</f>
        <v>3535</v>
      </c>
    </row>
    <row r="46" spans="2:7" ht="15.75" thickTop="1" x14ac:dyDescent="0.25">
      <c r="E46" s="251" t="str">
        <f>E44&amp;" * "&amp;$F$7*100&amp;"%"</f>
        <v>88600 * 5%</v>
      </c>
      <c r="F46" s="251" t="str">
        <f>F44&amp;" * "&amp;$F$7*100&amp;"%"</f>
        <v>70700 * 5%</v>
      </c>
    </row>
    <row r="47" spans="2:7" ht="15.75" thickBot="1" x14ac:dyDescent="0.3">
      <c r="B47" t="s">
        <v>2002</v>
      </c>
      <c r="E47" s="251"/>
      <c r="F47" s="252">
        <f>E45-F45</f>
        <v>895</v>
      </c>
    </row>
    <row r="48" spans="2:7" ht="15.75" thickTop="1" x14ac:dyDescent="0.25"/>
    <row r="49" spans="2:7" x14ac:dyDescent="0.25">
      <c r="B49" t="str">
        <f>IF(E45&gt;0,"DR Pension account (assets)","CR Pension account (assets)")</f>
        <v>DR Pension account (assets)</v>
      </c>
      <c r="E49" s="161">
        <f>IF($E$45&gt;0,$E$45," ")</f>
        <v>4430</v>
      </c>
      <c r="F49" s="161" t="str">
        <f>IF($E$45&lt;0,-$E$45," ")</f>
        <v xml:space="preserve"> </v>
      </c>
      <c r="G49" s="102"/>
    </row>
    <row r="50" spans="2:7" x14ac:dyDescent="0.25">
      <c r="B50" t="str">
        <f>IF(F45&gt;0,"CR Pension account (obligation)","DR Pension account (obligation)")</f>
        <v>CR Pension account (obligation)</v>
      </c>
      <c r="E50" s="161" t="str">
        <f>IF($F$45&lt;0,-$F$45," ")</f>
        <v xml:space="preserve"> </v>
      </c>
      <c r="F50" s="161">
        <f>IF($F$45&gt;0,$F$45," ")</f>
        <v>3535</v>
      </c>
      <c r="G50" s="102"/>
    </row>
    <row r="51" spans="2:7" ht="33.6" customHeight="1" x14ac:dyDescent="0.25">
      <c r="B51" t="str">
        <f>IF(E45-F45&lt;0,"DR SPL - Finance costs","CR SPL - Finance income")</f>
        <v>CR SPL - Finance income</v>
      </c>
      <c r="E51" s="161">
        <f>IF($E$45-$F$45&lt;0,-($E$45-$F$45),0)</f>
        <v>0</v>
      </c>
      <c r="F51" s="161">
        <f>IF($E$45-$F$45&gt;0,($E$45-$F$45),0)</f>
        <v>895</v>
      </c>
      <c r="G51" s="103"/>
    </row>
    <row r="54" spans="2:7" x14ac:dyDescent="0.25">
      <c r="B54" s="94" t="s">
        <v>2003</v>
      </c>
    </row>
    <row r="55" spans="2:7" x14ac:dyDescent="0.25">
      <c r="E55" t="s">
        <v>2004</v>
      </c>
      <c r="F55" t="s">
        <v>2005</v>
      </c>
      <c r="G55" s="97"/>
    </row>
    <row r="56" spans="2:7" x14ac:dyDescent="0.25">
      <c r="E56" s="97" t="s">
        <v>248</v>
      </c>
      <c r="F56" s="97" t="s">
        <v>248</v>
      </c>
      <c r="G56" s="238"/>
    </row>
    <row r="57" spans="2:7" x14ac:dyDescent="0.25">
      <c r="B57" t="s">
        <v>1658</v>
      </c>
      <c r="E57" s="239">
        <f>F3</f>
        <v>79200</v>
      </c>
      <c r="F57" s="239">
        <f>F4</f>
        <v>66400</v>
      </c>
    </row>
    <row r="58" spans="2:7" x14ac:dyDescent="0.25">
      <c r="B58" t="s">
        <v>2006</v>
      </c>
      <c r="E58" s="161">
        <f>F9+F10</f>
        <v>9400</v>
      </c>
      <c r="F58" s="161"/>
      <c r="G58" s="102"/>
    </row>
    <row r="59" spans="2:7" x14ac:dyDescent="0.25">
      <c r="B59" t="s">
        <v>1979</v>
      </c>
      <c r="E59" s="161">
        <f>-F12</f>
        <v>0</v>
      </c>
      <c r="F59" s="161">
        <f>-F12</f>
        <v>0</v>
      </c>
      <c r="G59" s="102"/>
    </row>
    <row r="60" spans="2:7" x14ac:dyDescent="0.25">
      <c r="B60" t="s">
        <v>1999</v>
      </c>
      <c r="E60" s="161">
        <f>-F13</f>
        <v>0</v>
      </c>
      <c r="F60" s="161">
        <f>-F14</f>
        <v>0</v>
      </c>
      <c r="G60" s="102"/>
    </row>
    <row r="61" spans="2:7" x14ac:dyDescent="0.25">
      <c r="B61" t="s">
        <v>2007</v>
      </c>
      <c r="E61" s="161"/>
      <c r="F61" s="161">
        <f>F8</f>
        <v>6480</v>
      </c>
      <c r="G61" s="102"/>
    </row>
    <row r="62" spans="2:7" x14ac:dyDescent="0.25">
      <c r="B62" t="s">
        <v>2008</v>
      </c>
      <c r="E62" s="161"/>
      <c r="F62" s="161">
        <f>F11</f>
        <v>4300</v>
      </c>
      <c r="G62" s="102"/>
    </row>
    <row r="63" spans="2:7" x14ac:dyDescent="0.25">
      <c r="B63" t="s">
        <v>2009</v>
      </c>
      <c r="E63" s="161">
        <f>E45</f>
        <v>4430</v>
      </c>
      <c r="F63" s="161">
        <f>F45</f>
        <v>3535</v>
      </c>
      <c r="G63" s="102"/>
    </row>
    <row r="64" spans="2:7" x14ac:dyDescent="0.25">
      <c r="E64" s="253">
        <f>SUM(E57:E63)</f>
        <v>93030</v>
      </c>
      <c r="F64" s="253">
        <f>SUM(F57:F63)</f>
        <v>80715</v>
      </c>
      <c r="G64" s="238"/>
    </row>
    <row r="65" spans="2:7" x14ac:dyDescent="0.25">
      <c r="B65" t="s">
        <v>1660</v>
      </c>
      <c r="E65" s="239">
        <f>E3</f>
        <v>94300</v>
      </c>
      <c r="F65" s="239">
        <f>E4</f>
        <v>78900</v>
      </c>
      <c r="G65" s="102"/>
    </row>
    <row r="66" spans="2:7" ht="15.75" thickBot="1" x14ac:dyDescent="0.3">
      <c r="B66" t="s">
        <v>2010</v>
      </c>
      <c r="E66" s="250">
        <f>E65-E64</f>
        <v>1270</v>
      </c>
      <c r="F66" s="250">
        <f>F65-F64</f>
        <v>-1815</v>
      </c>
    </row>
    <row r="67" spans="2:7" ht="15.75" thickTop="1" x14ac:dyDescent="0.25"/>
    <row r="68" spans="2:7" x14ac:dyDescent="0.25">
      <c r="B68" t="s">
        <v>2011</v>
      </c>
      <c r="C68" t="str">
        <f>E66&amp;" - "&amp;F66&amp;" = £"&amp;(E66-F66)</f>
        <v>1270 - -1815 = £3085</v>
      </c>
      <c r="G68" s="97"/>
    </row>
    <row r="69" spans="2:7" x14ac:dyDescent="0.25">
      <c r="E69" s="97" t="s">
        <v>248</v>
      </c>
      <c r="F69" s="97" t="s">
        <v>248</v>
      </c>
      <c r="G69" s="102"/>
    </row>
    <row r="70" spans="2:7" x14ac:dyDescent="0.25">
      <c r="B70" t="str">
        <f>IF(E66&gt;0,"DR Pension account (assets)","CR Pension account (assets)")</f>
        <v>DR Pension account (assets)</v>
      </c>
      <c r="E70" s="161">
        <f>IF($E$66&gt;0,$E$66," ")</f>
        <v>1270</v>
      </c>
      <c r="F70" s="161" t="str">
        <f>IF($E$66&lt;0,-$E$66," ")</f>
        <v xml:space="preserve"> </v>
      </c>
      <c r="G70" s="102"/>
    </row>
    <row r="71" spans="2:7" x14ac:dyDescent="0.25">
      <c r="B71" t="str">
        <f>IF(F66&gt;0,"CR Pension account (obligation)","DR Pension account (obligation)")</f>
        <v>DR Pension account (obligation)</v>
      </c>
      <c r="E71" s="161">
        <f>IF($F$66&lt;0,-$F$66," ")</f>
        <v>1815</v>
      </c>
      <c r="F71" s="161" t="str">
        <f>IF($F$66&gt;0,$F$66," ")</f>
        <v xml:space="preserve"> </v>
      </c>
      <c r="G71" s="102"/>
    </row>
    <row r="72" spans="2:7" x14ac:dyDescent="0.25">
      <c r="B72" t="str">
        <f>IF((E66-F66)&gt;0,"CR Retained earnings","DR Retained earnings")</f>
        <v>CR Retained earnings</v>
      </c>
      <c r="E72" s="161">
        <f>IF(($E$66-$F$66)&lt;0,-($E$66-$F$66),0)</f>
        <v>0</v>
      </c>
      <c r="F72" s="161">
        <f>IF(($E$66-$F$66)&gt;0,$E$66-$F$66,0)</f>
        <v>3085</v>
      </c>
    </row>
  </sheetData>
  <hyperlinks>
    <hyperlink ref="A1" location="Main!A1" display="Main" xr:uid="{F30D6688-CFDF-4C28-A1D1-CF05A164AA26}"/>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83C4F-A009-417A-B1EB-8E5CA5BAF4D9}">
  <sheetPr codeName="Sheet13"/>
  <dimension ref="A1:J199"/>
  <sheetViews>
    <sheetView zoomScaleNormal="100" workbookViewId="0"/>
  </sheetViews>
  <sheetFormatPr defaultRowHeight="12" x14ac:dyDescent="0.2"/>
  <cols>
    <col min="1" max="16384" width="9.140625" style="1"/>
  </cols>
  <sheetData>
    <row r="1" spans="1:5" ht="15" x14ac:dyDescent="0.25">
      <c r="A1" s="2" t="s">
        <v>0</v>
      </c>
    </row>
    <row r="2" spans="1:5" x14ac:dyDescent="0.2">
      <c r="A2" s="1">
        <f>SUM(A3:A199)</f>
        <v>12</v>
      </c>
      <c r="B2" s="1">
        <v>15</v>
      </c>
      <c r="C2" s="4">
        <f>+A2/B2</f>
        <v>0.8</v>
      </c>
    </row>
    <row r="3" spans="1:5" x14ac:dyDescent="0.2">
      <c r="B3" s="1" t="s">
        <v>291</v>
      </c>
      <c r="C3" s="16" t="s">
        <v>413</v>
      </c>
    </row>
    <row r="5" spans="1:5" x14ac:dyDescent="0.2">
      <c r="B5" s="1" t="s">
        <v>9</v>
      </c>
    </row>
    <row r="6" spans="1:5" x14ac:dyDescent="0.2">
      <c r="B6" s="1" t="s">
        <v>5</v>
      </c>
      <c r="C6" s="3">
        <v>44926</v>
      </c>
    </row>
    <row r="7" spans="1:5" x14ac:dyDescent="0.2">
      <c r="B7" s="1" t="s">
        <v>292</v>
      </c>
    </row>
    <row r="8" spans="1:5" x14ac:dyDescent="0.2">
      <c r="B8" s="1" t="s">
        <v>293</v>
      </c>
    </row>
    <row r="11" spans="1:5" x14ac:dyDescent="0.2">
      <c r="B11" s="31" t="s">
        <v>321</v>
      </c>
    </row>
    <row r="12" spans="1:5" x14ac:dyDescent="0.2">
      <c r="B12" s="1" t="s">
        <v>213</v>
      </c>
      <c r="C12" s="3">
        <v>38353</v>
      </c>
      <c r="D12" s="6">
        <v>5500</v>
      </c>
    </row>
    <row r="13" spans="1:5" x14ac:dyDescent="0.2">
      <c r="B13" s="1" t="s">
        <v>294</v>
      </c>
      <c r="C13" s="3">
        <v>38353</v>
      </c>
      <c r="D13" s="6">
        <f>12*50</f>
        <v>600</v>
      </c>
      <c r="E13" s="1" t="s">
        <v>52</v>
      </c>
    </row>
    <row r="14" spans="1:5" x14ac:dyDescent="0.2">
      <c r="B14" s="1" t="s">
        <v>295</v>
      </c>
      <c r="C14" s="3">
        <v>38353</v>
      </c>
      <c r="D14" s="6">
        <v>0</v>
      </c>
    </row>
    <row r="15" spans="1:5" x14ac:dyDescent="0.2">
      <c r="D15" s="6"/>
    </row>
    <row r="16" spans="1:5" x14ac:dyDescent="0.2">
      <c r="B16" s="1" t="s">
        <v>296</v>
      </c>
      <c r="D16" s="6"/>
    </row>
    <row r="17" spans="1:6" x14ac:dyDescent="0.2">
      <c r="D17" s="6"/>
    </row>
    <row r="18" spans="1:6" x14ac:dyDescent="0.2">
      <c r="B18" s="1" t="s">
        <v>32</v>
      </c>
      <c r="C18" s="3">
        <v>44681</v>
      </c>
      <c r="D18" s="6">
        <v>8300</v>
      </c>
    </row>
    <row r="19" spans="1:6" x14ac:dyDescent="0.2">
      <c r="B19" s="1" t="s">
        <v>32</v>
      </c>
      <c r="C19" s="3">
        <v>44926</v>
      </c>
      <c r="D19" s="6">
        <v>8350</v>
      </c>
    </row>
    <row r="21" spans="1:6" x14ac:dyDescent="0.2">
      <c r="B21" s="1" t="s">
        <v>297</v>
      </c>
    </row>
    <row r="22" spans="1:6" x14ac:dyDescent="0.2">
      <c r="B22" s="1" t="s">
        <v>298</v>
      </c>
      <c r="E22" s="1">
        <f>+D12*12/D13</f>
        <v>110</v>
      </c>
    </row>
    <row r="23" spans="1:6" x14ac:dyDescent="0.2">
      <c r="C23" s="1" t="s">
        <v>299</v>
      </c>
      <c r="F23" s="1">
        <f>+E22</f>
        <v>110</v>
      </c>
    </row>
    <row r="25" spans="1:6" x14ac:dyDescent="0.2">
      <c r="B25" s="1" t="s">
        <v>300</v>
      </c>
      <c r="C25" s="6">
        <f>YEARFRAC(C12,C18)*12</f>
        <v>207.96666666666667</v>
      </c>
    </row>
    <row r="26" spans="1:6" x14ac:dyDescent="0.2">
      <c r="B26" s="1" t="s">
        <v>301</v>
      </c>
      <c r="C26" s="6">
        <f>YEARFRAC(C18,C19)*12</f>
        <v>8</v>
      </c>
    </row>
    <row r="28" spans="1:6" x14ac:dyDescent="0.2">
      <c r="B28" s="1" t="s">
        <v>213</v>
      </c>
      <c r="D28" s="6">
        <f>+D12</f>
        <v>5500</v>
      </c>
    </row>
    <row r="29" spans="1:6" x14ac:dyDescent="0.2">
      <c r="B29" s="1" t="s">
        <v>35</v>
      </c>
      <c r="D29" s="6">
        <f>+D12*C25/D13</f>
        <v>1906.3611111111113</v>
      </c>
    </row>
    <row r="30" spans="1:6" x14ac:dyDescent="0.2">
      <c r="B30" s="1" t="s">
        <v>302</v>
      </c>
      <c r="C30" s="3">
        <f>+C18</f>
        <v>44681</v>
      </c>
      <c r="D30" s="6">
        <f>+D28-D29</f>
        <v>3593.6388888888887</v>
      </c>
    </row>
    <row r="31" spans="1:6" x14ac:dyDescent="0.2">
      <c r="B31" s="1" t="s">
        <v>32</v>
      </c>
      <c r="C31" s="3">
        <v>44681</v>
      </c>
      <c r="D31" s="6">
        <v>8300</v>
      </c>
    </row>
    <row r="32" spans="1:6" x14ac:dyDescent="0.2">
      <c r="A32" s="1">
        <v>0.5</v>
      </c>
      <c r="B32" s="1" t="s">
        <v>303</v>
      </c>
      <c r="D32" s="6">
        <f>+D31-D30</f>
        <v>4706.3611111111113</v>
      </c>
    </row>
    <row r="34" spans="1:8" x14ac:dyDescent="0.2">
      <c r="B34" s="1" t="s">
        <v>305</v>
      </c>
      <c r="E34" s="26">
        <f>+D31</f>
        <v>8300</v>
      </c>
    </row>
    <row r="35" spans="1:8" x14ac:dyDescent="0.2">
      <c r="B35" s="1" t="s">
        <v>307</v>
      </c>
      <c r="E35" s="26">
        <f>+D29</f>
        <v>1906.3611111111113</v>
      </c>
    </row>
    <row r="36" spans="1:8" x14ac:dyDescent="0.2">
      <c r="C36" s="1" t="s">
        <v>304</v>
      </c>
      <c r="F36" s="26">
        <f>+E34-F37+E35</f>
        <v>4706.3611111111113</v>
      </c>
    </row>
    <row r="37" spans="1:8" x14ac:dyDescent="0.2">
      <c r="C37" s="1" t="s">
        <v>306</v>
      </c>
      <c r="F37" s="26">
        <f>+D12</f>
        <v>5500</v>
      </c>
    </row>
    <row r="38" spans="1:8" x14ac:dyDescent="0.2">
      <c r="A38" s="1">
        <v>1</v>
      </c>
      <c r="B38" s="1" t="s">
        <v>308</v>
      </c>
    </row>
    <row r="40" spans="1:8" x14ac:dyDescent="0.2">
      <c r="B40" s="1" t="s">
        <v>309</v>
      </c>
    </row>
    <row r="41" spans="1:8" x14ac:dyDescent="0.2">
      <c r="B41" s="1" t="s">
        <v>310</v>
      </c>
      <c r="E41" s="26">
        <f>+D12*4/D13</f>
        <v>36.666666666666664</v>
      </c>
      <c r="G41" s="13" t="s">
        <v>315</v>
      </c>
    </row>
    <row r="42" spans="1:8" x14ac:dyDescent="0.2">
      <c r="B42" s="1" t="s">
        <v>314</v>
      </c>
      <c r="C42" s="6"/>
      <c r="E42" s="16">
        <f>+F23</f>
        <v>110</v>
      </c>
      <c r="F42" s="6"/>
    </row>
    <row r="43" spans="1:8" x14ac:dyDescent="0.2">
      <c r="C43" s="6" t="s">
        <v>311</v>
      </c>
      <c r="F43" s="26">
        <f>+E41</f>
        <v>36.666666666666664</v>
      </c>
    </row>
    <row r="44" spans="1:8" x14ac:dyDescent="0.2">
      <c r="C44" s="6" t="s">
        <v>313</v>
      </c>
      <c r="F44" s="26">
        <f>+E22</f>
        <v>110</v>
      </c>
      <c r="H44" s="6"/>
    </row>
    <row r="45" spans="1:8" x14ac:dyDescent="0.2">
      <c r="A45" s="1">
        <v>0.5</v>
      </c>
      <c r="B45" s="1" t="s">
        <v>312</v>
      </c>
    </row>
    <row r="47" spans="1:8" x14ac:dyDescent="0.2">
      <c r="B47" s="1" t="s">
        <v>316</v>
      </c>
    </row>
    <row r="48" spans="1:8" x14ac:dyDescent="0.2">
      <c r="B48" s="1" t="s">
        <v>32</v>
      </c>
      <c r="C48" s="3">
        <v>44681</v>
      </c>
      <c r="E48" s="6">
        <f>+D31</f>
        <v>8300</v>
      </c>
    </row>
    <row r="49" spans="1:10" x14ac:dyDescent="0.2">
      <c r="B49" s="1" t="s">
        <v>32</v>
      </c>
      <c r="C49" s="3">
        <v>44926</v>
      </c>
      <c r="E49" s="6">
        <v>8350</v>
      </c>
    </row>
    <row r="50" spans="1:10" x14ac:dyDescent="0.2">
      <c r="A50" s="1">
        <v>0.5</v>
      </c>
      <c r="B50" s="1" t="s">
        <v>317</v>
      </c>
      <c r="E50" s="6">
        <f>+E49-E48</f>
        <v>50</v>
      </c>
    </row>
    <row r="51" spans="1:10" x14ac:dyDescent="0.2">
      <c r="B51" s="1" t="s">
        <v>318</v>
      </c>
    </row>
    <row r="53" spans="1:10" x14ac:dyDescent="0.2">
      <c r="B53" s="1" t="s">
        <v>305</v>
      </c>
      <c r="E53" s="26">
        <f>+E50</f>
        <v>50</v>
      </c>
    </row>
    <row r="54" spans="1:10" x14ac:dyDescent="0.2">
      <c r="C54" s="1" t="s">
        <v>319</v>
      </c>
      <c r="F54" s="26">
        <f>+E53</f>
        <v>50</v>
      </c>
    </row>
    <row r="55" spans="1:10" x14ac:dyDescent="0.2">
      <c r="A55" s="1">
        <v>0.5</v>
      </c>
      <c r="B55" s="1" t="s">
        <v>320</v>
      </c>
      <c r="I55" s="6"/>
    </row>
    <row r="56" spans="1:10" x14ac:dyDescent="0.2">
      <c r="I56" s="6"/>
    </row>
    <row r="57" spans="1:10" x14ac:dyDescent="0.2">
      <c r="B57" s="1" t="s">
        <v>323</v>
      </c>
      <c r="J57" s="6"/>
    </row>
    <row r="59" spans="1:10" x14ac:dyDescent="0.2">
      <c r="J59" s="3"/>
    </row>
    <row r="60" spans="1:10" x14ac:dyDescent="0.2">
      <c r="B60" s="1" t="s">
        <v>322</v>
      </c>
    </row>
    <row r="61" spans="1:10" x14ac:dyDescent="0.2">
      <c r="B61" s="3">
        <v>44835</v>
      </c>
      <c r="J61" s="3"/>
    </row>
    <row r="62" spans="1:10" x14ac:dyDescent="0.2">
      <c r="B62" s="1" t="s">
        <v>325</v>
      </c>
      <c r="C62" s="1">
        <v>343</v>
      </c>
    </row>
    <row r="63" spans="1:10" x14ac:dyDescent="0.2">
      <c r="B63" s="1" t="s">
        <v>326</v>
      </c>
      <c r="C63" s="1">
        <v>17</v>
      </c>
      <c r="D63" s="1" t="s">
        <v>330</v>
      </c>
    </row>
    <row r="64" spans="1:10" x14ac:dyDescent="0.2">
      <c r="B64" s="1" t="s">
        <v>327</v>
      </c>
      <c r="C64" s="1">
        <v>15</v>
      </c>
    </row>
    <row r="65" spans="2:5" x14ac:dyDescent="0.2">
      <c r="B65" s="1" t="s">
        <v>324</v>
      </c>
      <c r="C65" s="1">
        <f>SUM(C62:C64)</f>
        <v>375</v>
      </c>
    </row>
    <row r="66" spans="2:5" x14ac:dyDescent="0.2">
      <c r="B66" s="1" t="s">
        <v>328</v>
      </c>
    </row>
    <row r="67" spans="2:5" x14ac:dyDescent="0.2">
      <c r="C67" s="1">
        <f>-C62</f>
        <v>-343</v>
      </c>
      <c r="D67" s="1" t="s">
        <v>1119</v>
      </c>
    </row>
    <row r="68" spans="2:5" x14ac:dyDescent="0.2">
      <c r="C68" s="1">
        <f>-C64</f>
        <v>-15</v>
      </c>
      <c r="D68" s="1" t="s">
        <v>329</v>
      </c>
    </row>
    <row r="69" spans="2:5" x14ac:dyDescent="0.2">
      <c r="B69" s="1" t="s">
        <v>331</v>
      </c>
      <c r="C69" s="1">
        <f>SUM(C65:C68)</f>
        <v>17</v>
      </c>
    </row>
    <row r="71" spans="2:5" x14ac:dyDescent="0.2">
      <c r="B71" s="1" t="s">
        <v>332</v>
      </c>
    </row>
    <row r="72" spans="2:5" x14ac:dyDescent="0.2">
      <c r="B72" s="1" t="s">
        <v>34</v>
      </c>
      <c r="C72" s="1">
        <f>+C62</f>
        <v>343</v>
      </c>
    </row>
    <row r="73" spans="2:5" x14ac:dyDescent="0.2">
      <c r="B73" s="1" t="s">
        <v>294</v>
      </c>
      <c r="C73" s="1">
        <f>15*12</f>
        <v>180</v>
      </c>
      <c r="D73" s="1" t="s">
        <v>52</v>
      </c>
    </row>
    <row r="74" spans="2:5" x14ac:dyDescent="0.2">
      <c r="B74" s="1" t="s">
        <v>295</v>
      </c>
      <c r="C74" s="1">
        <v>5</v>
      </c>
    </row>
    <row r="76" spans="2:5" x14ac:dyDescent="0.2">
      <c r="B76" s="1" t="s">
        <v>333</v>
      </c>
    </row>
    <row r="77" spans="2:5" x14ac:dyDescent="0.2">
      <c r="B77" s="1" t="s">
        <v>334</v>
      </c>
      <c r="C77" s="3">
        <v>44835</v>
      </c>
      <c r="D77" s="1">
        <v>1</v>
      </c>
      <c r="E77" s="1" t="s">
        <v>336</v>
      </c>
    </row>
    <row r="78" spans="2:5" x14ac:dyDescent="0.2">
      <c r="B78" s="1" t="s">
        <v>213</v>
      </c>
      <c r="D78" s="1">
        <v>250</v>
      </c>
      <c r="E78" s="1" t="s">
        <v>335</v>
      </c>
    </row>
    <row r="79" spans="2:5" x14ac:dyDescent="0.2">
      <c r="B79" s="1" t="s">
        <v>35</v>
      </c>
      <c r="D79" s="1">
        <v>230</v>
      </c>
      <c r="E79" s="1" t="s">
        <v>127</v>
      </c>
    </row>
    <row r="80" spans="2:5" x14ac:dyDescent="0.2">
      <c r="B80" s="1" t="s">
        <v>302</v>
      </c>
      <c r="D80" s="1">
        <f>+D78-D79</f>
        <v>20</v>
      </c>
    </row>
    <row r="81" spans="1:6" x14ac:dyDescent="0.2">
      <c r="A81" s="1">
        <v>0.5</v>
      </c>
      <c r="B81" s="1" t="s">
        <v>352</v>
      </c>
      <c r="D81" s="1">
        <f>+D80-D77</f>
        <v>19</v>
      </c>
      <c r="E81" s="1" t="s">
        <v>353</v>
      </c>
    </row>
    <row r="83" spans="1:6" x14ac:dyDescent="0.2">
      <c r="B83" s="1" t="s">
        <v>337</v>
      </c>
    </row>
    <row r="84" spans="1:6" x14ac:dyDescent="0.2">
      <c r="C84" s="3">
        <v>44562</v>
      </c>
    </row>
    <row r="85" spans="1:6" x14ac:dyDescent="0.2">
      <c r="C85" s="3">
        <v>44834</v>
      </c>
    </row>
    <row r="86" spans="1:6" x14ac:dyDescent="0.2">
      <c r="C86" s="1">
        <v>9</v>
      </c>
    </row>
    <row r="87" spans="1:6" x14ac:dyDescent="0.2">
      <c r="C87" s="6">
        <f>+(C72-C74)*C86/C73</f>
        <v>16.899999999999999</v>
      </c>
      <c r="D87" s="13" t="s">
        <v>338</v>
      </c>
    </row>
    <row r="89" spans="1:6" x14ac:dyDescent="0.2">
      <c r="B89" s="31" t="s">
        <v>339</v>
      </c>
      <c r="C89" s="31"/>
      <c r="D89" s="31"/>
      <c r="E89" s="32">
        <f>+C87</f>
        <v>16.899999999999999</v>
      </c>
      <c r="F89" s="31"/>
    </row>
    <row r="90" spans="1:6" x14ac:dyDescent="0.2">
      <c r="B90" s="31"/>
      <c r="C90" s="31" t="s">
        <v>341</v>
      </c>
      <c r="D90" s="31"/>
      <c r="E90" s="31"/>
      <c r="F90" s="32">
        <f>+E89</f>
        <v>16.899999999999999</v>
      </c>
    </row>
    <row r="91" spans="1:6" x14ac:dyDescent="0.2">
      <c r="B91" s="31"/>
      <c r="C91" s="31"/>
      <c r="D91" s="31"/>
      <c r="E91" s="31"/>
      <c r="F91" s="31"/>
    </row>
    <row r="92" spans="1:6" x14ac:dyDescent="0.2">
      <c r="B92" s="31" t="s">
        <v>342</v>
      </c>
      <c r="C92" s="31"/>
      <c r="D92" s="31"/>
      <c r="E92" s="31"/>
      <c r="F92" s="31"/>
    </row>
    <row r="93" spans="1:6" x14ac:dyDescent="0.2">
      <c r="B93" s="31" t="s">
        <v>343</v>
      </c>
      <c r="C93" s="31"/>
      <c r="D93" s="31"/>
      <c r="E93" s="31">
        <f>+C65</f>
        <v>375</v>
      </c>
      <c r="F93" s="31"/>
    </row>
    <row r="94" spans="1:6" x14ac:dyDescent="0.2">
      <c r="B94" s="31"/>
      <c r="C94" s="31" t="s">
        <v>344</v>
      </c>
      <c r="D94" s="31"/>
      <c r="E94" s="31"/>
      <c r="F94" s="31">
        <f>+E93</f>
        <v>375</v>
      </c>
    </row>
    <row r="95" spans="1:6" x14ac:dyDescent="0.2">
      <c r="B95" s="31"/>
      <c r="C95" s="31"/>
      <c r="D95" s="31"/>
      <c r="E95" s="31"/>
      <c r="F95" s="31"/>
    </row>
    <row r="96" spans="1:6" x14ac:dyDescent="0.2">
      <c r="B96" s="31" t="s">
        <v>345</v>
      </c>
      <c r="C96" s="31"/>
      <c r="D96" s="31"/>
      <c r="E96" s="31"/>
      <c r="F96" s="31"/>
    </row>
    <row r="97" spans="1:6" x14ac:dyDescent="0.2">
      <c r="B97" s="31" t="s">
        <v>336</v>
      </c>
      <c r="C97" s="31"/>
      <c r="D97" s="31"/>
      <c r="E97" s="31">
        <f>+D77</f>
        <v>1</v>
      </c>
      <c r="F97" s="31"/>
    </row>
    <row r="98" spans="1:6" x14ac:dyDescent="0.2">
      <c r="B98" s="31"/>
      <c r="C98" s="31" t="s">
        <v>346</v>
      </c>
      <c r="D98" s="31"/>
      <c r="E98" s="31"/>
      <c r="F98" s="31">
        <f>+E97</f>
        <v>1</v>
      </c>
    </row>
    <row r="100" spans="1:6" x14ac:dyDescent="0.2">
      <c r="B100" s="1" t="s">
        <v>347</v>
      </c>
    </row>
    <row r="101" spans="1:6" x14ac:dyDescent="0.2">
      <c r="B101" s="1" t="s">
        <v>348</v>
      </c>
    </row>
    <row r="102" spans="1:6" x14ac:dyDescent="0.2">
      <c r="B102" s="1" t="s">
        <v>349</v>
      </c>
    </row>
    <row r="104" spans="1:6" x14ac:dyDescent="0.2">
      <c r="B104" s="1" t="s">
        <v>350</v>
      </c>
    </row>
    <row r="105" spans="1:6" x14ac:dyDescent="0.2">
      <c r="B105" s="1" t="s">
        <v>354</v>
      </c>
      <c r="E105" s="16">
        <f>+D77</f>
        <v>1</v>
      </c>
    </row>
    <row r="106" spans="1:6" x14ac:dyDescent="0.2">
      <c r="B106" s="1" t="s">
        <v>127</v>
      </c>
      <c r="E106" s="16">
        <f>+D79</f>
        <v>230</v>
      </c>
    </row>
    <row r="107" spans="1:6" x14ac:dyDescent="0.2">
      <c r="B107" s="1" t="s">
        <v>351</v>
      </c>
      <c r="E107" s="16">
        <f>+D81</f>
        <v>19</v>
      </c>
    </row>
    <row r="108" spans="1:6" x14ac:dyDescent="0.2">
      <c r="C108" s="1" t="s">
        <v>340</v>
      </c>
      <c r="F108" s="16">
        <f>+D78</f>
        <v>250</v>
      </c>
    </row>
    <row r="109" spans="1:6" x14ac:dyDescent="0.2">
      <c r="A109" s="1">
        <v>0</v>
      </c>
      <c r="B109" s="1" t="s">
        <v>355</v>
      </c>
    </row>
    <row r="110" spans="1:6" x14ac:dyDescent="0.2">
      <c r="A110" s="1">
        <v>2</v>
      </c>
    </row>
    <row r="111" spans="1:6" x14ac:dyDescent="0.2">
      <c r="B111" s="1" t="s">
        <v>356</v>
      </c>
    </row>
    <row r="112" spans="1:6" x14ac:dyDescent="0.2">
      <c r="B112" s="1" t="s">
        <v>357</v>
      </c>
      <c r="E112" s="16">
        <f>+C62+C63</f>
        <v>360</v>
      </c>
    </row>
    <row r="113" spans="1:6" x14ac:dyDescent="0.2">
      <c r="B113" s="1" t="s">
        <v>358</v>
      </c>
      <c r="E113" s="16">
        <f>+C64</f>
        <v>15</v>
      </c>
    </row>
    <row r="114" spans="1:6" x14ac:dyDescent="0.2">
      <c r="A114" s="1">
        <v>1</v>
      </c>
      <c r="C114" s="1" t="s">
        <v>359</v>
      </c>
      <c r="F114" s="16">
        <f>SUM(E112:E113)</f>
        <v>375</v>
      </c>
    </row>
    <row r="115" spans="1:6" x14ac:dyDescent="0.2">
      <c r="B115" s="1" t="s">
        <v>414</v>
      </c>
      <c r="F115" s="16"/>
    </row>
    <row r="117" spans="1:6" x14ac:dyDescent="0.2">
      <c r="B117" s="1" t="s">
        <v>360</v>
      </c>
    </row>
    <row r="118" spans="1:6" x14ac:dyDescent="0.2">
      <c r="B118" s="1" t="s">
        <v>325</v>
      </c>
    </row>
    <row r="119" spans="1:6" x14ac:dyDescent="0.2">
      <c r="B119" s="1" t="s">
        <v>361</v>
      </c>
      <c r="E119" s="26">
        <f>+(E112-C74)*3/C73</f>
        <v>5.916666666666667</v>
      </c>
    </row>
    <row r="120" spans="1:6" x14ac:dyDescent="0.2">
      <c r="C120" s="1" t="s">
        <v>362</v>
      </c>
      <c r="F120" s="26">
        <f>+E119</f>
        <v>5.916666666666667</v>
      </c>
    </row>
    <row r="121" spans="1:6" x14ac:dyDescent="0.2">
      <c r="A121" s="1">
        <v>1</v>
      </c>
      <c r="B121" s="1" t="s">
        <v>409</v>
      </c>
    </row>
    <row r="123" spans="1:6" x14ac:dyDescent="0.2">
      <c r="B123" s="1" t="s">
        <v>363</v>
      </c>
    </row>
    <row r="126" spans="1:6" x14ac:dyDescent="0.2">
      <c r="B126" s="31" t="s">
        <v>364</v>
      </c>
    </row>
    <row r="127" spans="1:6" x14ac:dyDescent="0.2">
      <c r="B127" s="1" t="s">
        <v>365</v>
      </c>
      <c r="C127" s="3">
        <v>44562</v>
      </c>
    </row>
    <row r="128" spans="1:6" x14ac:dyDescent="0.2">
      <c r="B128" s="1" t="s">
        <v>366</v>
      </c>
      <c r="C128" s="1">
        <v>5000</v>
      </c>
      <c r="D128" s="1" t="s">
        <v>367</v>
      </c>
    </row>
    <row r="129" spans="1:6" x14ac:dyDescent="0.2">
      <c r="B129" s="1" t="s">
        <v>54</v>
      </c>
      <c r="C129" s="1">
        <f>5*12</f>
        <v>60</v>
      </c>
      <c r="D129" s="1" t="s">
        <v>52</v>
      </c>
    </row>
    <row r="130" spans="1:6" x14ac:dyDescent="0.2">
      <c r="B130" s="1" t="s">
        <v>368</v>
      </c>
      <c r="C130" s="3">
        <v>44562</v>
      </c>
    </row>
    <row r="131" spans="1:6" x14ac:dyDescent="0.2">
      <c r="B131" s="1" t="s">
        <v>369</v>
      </c>
      <c r="C131" s="1">
        <v>1000</v>
      </c>
    </row>
    <row r="132" spans="1:6" x14ac:dyDescent="0.2">
      <c r="B132" s="1" t="s">
        <v>370</v>
      </c>
      <c r="C132" s="4">
        <v>0.12</v>
      </c>
      <c r="D132" s="1" t="s">
        <v>371</v>
      </c>
    </row>
    <row r="133" spans="1:6" x14ac:dyDescent="0.2">
      <c r="B133" s="1" t="s">
        <v>372</v>
      </c>
      <c r="C133" s="1">
        <v>3.0369999999999999</v>
      </c>
    </row>
    <row r="135" spans="1:6" x14ac:dyDescent="0.2">
      <c r="B135" s="31" t="s">
        <v>297</v>
      </c>
      <c r="C135" s="31"/>
      <c r="D135" s="31"/>
      <c r="E135" s="31"/>
      <c r="F135" s="31"/>
    </row>
    <row r="136" spans="1:6" x14ac:dyDescent="0.2">
      <c r="B136" s="31" t="s">
        <v>373</v>
      </c>
      <c r="C136" s="31"/>
      <c r="D136" s="31"/>
      <c r="E136" s="31">
        <f>+C128</f>
        <v>5000</v>
      </c>
      <c r="F136" s="31"/>
    </row>
    <row r="137" spans="1:6" x14ac:dyDescent="0.2">
      <c r="B137" s="31"/>
      <c r="C137" s="31" t="s">
        <v>374</v>
      </c>
      <c r="D137" s="31"/>
      <c r="E137" s="31"/>
      <c r="F137" s="31">
        <f>+E136</f>
        <v>5000</v>
      </c>
    </row>
    <row r="139" spans="1:6" x14ac:dyDescent="0.2">
      <c r="A139" s="1">
        <v>0.5</v>
      </c>
      <c r="B139" s="1" t="s">
        <v>377</v>
      </c>
      <c r="C139" s="1">
        <f>+C128*C133</f>
        <v>15185</v>
      </c>
      <c r="D139" s="1" t="s">
        <v>415</v>
      </c>
    </row>
    <row r="140" spans="1:6" x14ac:dyDescent="0.2">
      <c r="A140" s="1">
        <v>0</v>
      </c>
      <c r="B140" s="1" t="s">
        <v>92</v>
      </c>
      <c r="C140" s="1">
        <f>+C139+C128+C131</f>
        <v>21185</v>
      </c>
      <c r="D140" s="1" t="s">
        <v>416</v>
      </c>
    </row>
    <row r="142" spans="1:6" x14ac:dyDescent="0.2">
      <c r="B142" s="1" t="s">
        <v>378</v>
      </c>
      <c r="E142" s="6">
        <f>+C140</f>
        <v>21185</v>
      </c>
      <c r="F142" s="6"/>
    </row>
    <row r="143" spans="1:6" x14ac:dyDescent="0.2">
      <c r="C143" s="1" t="s">
        <v>379</v>
      </c>
      <c r="E143" s="6"/>
      <c r="F143" s="6">
        <f>+C139</f>
        <v>15185</v>
      </c>
    </row>
    <row r="144" spans="1:6" x14ac:dyDescent="0.2">
      <c r="C144" s="1" t="s">
        <v>380</v>
      </c>
      <c r="E144" s="6"/>
      <c r="F144" s="6">
        <f>+E142-F143</f>
        <v>6000</v>
      </c>
    </row>
    <row r="145" spans="1:6" x14ac:dyDescent="0.2">
      <c r="A145" s="1">
        <v>2</v>
      </c>
      <c r="B145" s="1" t="s">
        <v>381</v>
      </c>
    </row>
    <row r="147" spans="1:6" x14ac:dyDescent="0.2">
      <c r="B147" s="1" t="s">
        <v>382</v>
      </c>
    </row>
    <row r="148" spans="1:6" x14ac:dyDescent="0.2">
      <c r="B148" s="1" t="s">
        <v>92</v>
      </c>
      <c r="C148" s="6">
        <f>+C140</f>
        <v>21185</v>
      </c>
    </row>
    <row r="149" spans="1:6" x14ac:dyDescent="0.2">
      <c r="B149" s="1" t="s">
        <v>383</v>
      </c>
      <c r="C149" s="6">
        <f>+C129</f>
        <v>60</v>
      </c>
    </row>
    <row r="150" spans="1:6" x14ac:dyDescent="0.2">
      <c r="A150" s="1">
        <v>0.5</v>
      </c>
      <c r="B150" s="1" t="s">
        <v>384</v>
      </c>
      <c r="C150" s="6">
        <f>+C148*12/C149</f>
        <v>4237</v>
      </c>
      <c r="D150" s="1" t="s">
        <v>387</v>
      </c>
    </row>
    <row r="152" spans="1:6" x14ac:dyDescent="0.2">
      <c r="B152" s="1" t="s">
        <v>310</v>
      </c>
      <c r="E152" s="6">
        <f>+C150</f>
        <v>4237</v>
      </c>
    </row>
    <row r="153" spans="1:6" x14ac:dyDescent="0.2">
      <c r="C153" s="1" t="s">
        <v>385</v>
      </c>
      <c r="F153" s="6">
        <f>+E152</f>
        <v>4237</v>
      </c>
    </row>
    <row r="154" spans="1:6" x14ac:dyDescent="0.2">
      <c r="B154" s="1" t="s">
        <v>386</v>
      </c>
    </row>
    <row r="156" spans="1:6" x14ac:dyDescent="0.2">
      <c r="A156" s="1">
        <v>0</v>
      </c>
      <c r="B156" s="1" t="s">
        <v>410</v>
      </c>
      <c r="E156" s="6">
        <f>+E161</f>
        <v>1822.2</v>
      </c>
    </row>
    <row r="157" spans="1:6" x14ac:dyDescent="0.2">
      <c r="C157" s="1" t="s">
        <v>411</v>
      </c>
      <c r="F157" s="6">
        <f>+E156</f>
        <v>1822.2</v>
      </c>
    </row>
    <row r="158" spans="1:6" x14ac:dyDescent="0.2">
      <c r="B158" s="1" t="s">
        <v>412</v>
      </c>
      <c r="F158" s="6"/>
    </row>
    <row r="160" spans="1:6" x14ac:dyDescent="0.2">
      <c r="B160" s="3"/>
      <c r="C160" s="1" t="s">
        <v>389</v>
      </c>
      <c r="D160" s="1" t="s">
        <v>375</v>
      </c>
      <c r="E160" s="1" t="s">
        <v>390</v>
      </c>
      <c r="F160" s="1" t="s">
        <v>388</v>
      </c>
    </row>
    <row r="161" spans="2:6" x14ac:dyDescent="0.2">
      <c r="B161" s="3">
        <v>44926</v>
      </c>
      <c r="C161" s="6">
        <f>+C128*C133</f>
        <v>15185</v>
      </c>
      <c r="D161" s="6">
        <v>0</v>
      </c>
      <c r="E161" s="6">
        <f>SUM(C161:D161)*$C$132</f>
        <v>1822.2</v>
      </c>
      <c r="F161" s="6">
        <f>SUM(C161:E161)</f>
        <v>17007.2</v>
      </c>
    </row>
    <row r="162" spans="2:6" x14ac:dyDescent="0.2">
      <c r="B162" s="3">
        <v>45291</v>
      </c>
      <c r="C162" s="6">
        <f>+F161</f>
        <v>17007.2</v>
      </c>
      <c r="D162" s="6">
        <f t="shared" ref="D162:D165" si="0">-$C$128</f>
        <v>-5000</v>
      </c>
      <c r="E162" s="6">
        <f t="shared" ref="E162:E164" si="1">SUM(C162:D162)*$C$132</f>
        <v>1440.864</v>
      </c>
      <c r="F162" s="6">
        <f t="shared" ref="F162:F164" si="2">SUM(C162:E162)</f>
        <v>13448.064</v>
      </c>
    </row>
    <row r="163" spans="2:6" x14ac:dyDescent="0.2">
      <c r="B163" s="3">
        <v>45657</v>
      </c>
      <c r="C163" s="6">
        <f t="shared" ref="C163:C164" si="3">+F162</f>
        <v>13448.064</v>
      </c>
      <c r="D163" s="6">
        <f t="shared" si="0"/>
        <v>-5000</v>
      </c>
      <c r="E163" s="6">
        <f t="shared" si="1"/>
        <v>1013.76768</v>
      </c>
      <c r="F163" s="6">
        <f t="shared" si="2"/>
        <v>9461.8316800000011</v>
      </c>
    </row>
    <row r="164" spans="2:6" x14ac:dyDescent="0.2">
      <c r="B164" s="3">
        <v>46022</v>
      </c>
      <c r="C164" s="6">
        <f t="shared" si="3"/>
        <v>9461.8316800000011</v>
      </c>
      <c r="D164" s="6">
        <f t="shared" si="0"/>
        <v>-5000</v>
      </c>
      <c r="E164" s="6">
        <f t="shared" si="1"/>
        <v>535.41980160000014</v>
      </c>
      <c r="F164" s="6">
        <f t="shared" si="2"/>
        <v>4997.2514816000012</v>
      </c>
    </row>
    <row r="165" spans="2:6" x14ac:dyDescent="0.2">
      <c r="B165" s="3">
        <v>46387</v>
      </c>
      <c r="C165" s="6">
        <f t="shared" ref="C165" si="4">+F164</f>
        <v>4997.2514816000012</v>
      </c>
      <c r="D165" s="6">
        <f t="shared" si="0"/>
        <v>-5000</v>
      </c>
      <c r="E165" s="6">
        <f t="shared" ref="E165" si="5">SUM(C165:D165)*$C$132</f>
        <v>-0.32982220799985951</v>
      </c>
      <c r="F165" s="6">
        <f t="shared" ref="F165" si="6">SUM(C165:E165)</f>
        <v>-3.078340607998689</v>
      </c>
    </row>
    <row r="168" spans="2:6" x14ac:dyDescent="0.2">
      <c r="B168" s="1" t="s">
        <v>391</v>
      </c>
      <c r="C168" s="6">
        <f>+F161-F162</f>
        <v>3559.1360000000004</v>
      </c>
    </row>
    <row r="169" spans="2:6" x14ac:dyDescent="0.2">
      <c r="B169" s="1" t="s">
        <v>392</v>
      </c>
      <c r="C169" s="6">
        <f>+F161-C168</f>
        <v>13448.064</v>
      </c>
    </row>
    <row r="172" spans="2:6" x14ac:dyDescent="0.2">
      <c r="B172" s="1" t="s">
        <v>393</v>
      </c>
    </row>
    <row r="173" spans="2:6" x14ac:dyDescent="0.2">
      <c r="B173" s="1" t="s">
        <v>394</v>
      </c>
      <c r="C173" s="4">
        <v>1</v>
      </c>
    </row>
    <row r="174" spans="2:6" x14ac:dyDescent="0.2">
      <c r="B174" s="1" t="s">
        <v>77</v>
      </c>
      <c r="C174" s="1">
        <v>1100</v>
      </c>
    </row>
    <row r="176" spans="2:6" x14ac:dyDescent="0.2">
      <c r="C176" s="1" t="s">
        <v>396</v>
      </c>
      <c r="D176" s="1" t="s">
        <v>397</v>
      </c>
      <c r="E176" s="1" t="s">
        <v>398</v>
      </c>
    </row>
    <row r="177" spans="1:7" x14ac:dyDescent="0.2">
      <c r="B177" s="1" t="s">
        <v>33</v>
      </c>
      <c r="C177" s="6">
        <v>2200</v>
      </c>
      <c r="D177" s="6">
        <v>3800</v>
      </c>
      <c r="E177" s="6">
        <v>1750</v>
      </c>
      <c r="F177" s="6">
        <f>SUM(C177:E177)</f>
        <v>7750</v>
      </c>
    </row>
    <row r="178" spans="1:7" x14ac:dyDescent="0.2">
      <c r="B178" s="1" t="s">
        <v>46</v>
      </c>
      <c r="C178" s="6">
        <v>1900</v>
      </c>
      <c r="D178" s="6">
        <v>2900</v>
      </c>
      <c r="E178" s="6">
        <v>1550</v>
      </c>
      <c r="F178" s="6"/>
    </row>
    <row r="179" spans="1:7" x14ac:dyDescent="0.2">
      <c r="B179" s="1" t="s">
        <v>83</v>
      </c>
      <c r="C179" s="6">
        <v>2300</v>
      </c>
      <c r="D179" s="6">
        <v>3200</v>
      </c>
      <c r="E179" s="6">
        <v>1500</v>
      </c>
      <c r="F179" s="6"/>
    </row>
    <row r="180" spans="1:7" x14ac:dyDescent="0.2">
      <c r="B180" s="6" t="s">
        <v>395</v>
      </c>
      <c r="C180" s="6">
        <f>+MAX(C178,C179)</f>
        <v>2300</v>
      </c>
      <c r="D180" s="6">
        <f t="shared" ref="D180:E180" si="7">+MAX(D178,D179)</f>
        <v>3200</v>
      </c>
      <c r="E180" s="6">
        <f t="shared" si="7"/>
        <v>1550</v>
      </c>
      <c r="F180" s="6">
        <v>7200</v>
      </c>
    </row>
    <row r="181" spans="1:7" x14ac:dyDescent="0.2">
      <c r="A181" s="1">
        <v>0.5</v>
      </c>
      <c r="B181" s="1" t="s">
        <v>399</v>
      </c>
      <c r="C181" s="6">
        <v>0</v>
      </c>
      <c r="D181" s="6">
        <f t="shared" ref="D181:E181" si="8">+D180-D177</f>
        <v>-600</v>
      </c>
      <c r="E181" s="6">
        <f t="shared" si="8"/>
        <v>-200</v>
      </c>
      <c r="F181" s="6">
        <f t="shared" ref="F181" si="9">SUM(C181:E181)</f>
        <v>-800</v>
      </c>
      <c r="G181" s="6">
        <f>SUM(D181:E181)-F181</f>
        <v>0</v>
      </c>
    </row>
    <row r="183" spans="1:7" x14ac:dyDescent="0.2">
      <c r="B183" s="1" t="s">
        <v>400</v>
      </c>
    </row>
    <row r="184" spans="1:7" x14ac:dyDescent="0.2">
      <c r="B184" s="1" t="s">
        <v>401</v>
      </c>
    </row>
    <row r="185" spans="1:7" x14ac:dyDescent="0.2">
      <c r="B185" s="1" t="s">
        <v>402</v>
      </c>
    </row>
    <row r="188" spans="1:7" x14ac:dyDescent="0.2">
      <c r="B188" s="1" t="s">
        <v>403</v>
      </c>
      <c r="F188" s="6">
        <f>+F177</f>
        <v>7750</v>
      </c>
    </row>
    <row r="189" spans="1:7" x14ac:dyDescent="0.2">
      <c r="B189" s="1" t="s">
        <v>404</v>
      </c>
      <c r="F189" s="6">
        <v>-800</v>
      </c>
    </row>
    <row r="190" spans="1:7" x14ac:dyDescent="0.2">
      <c r="B190" s="1" t="s">
        <v>405</v>
      </c>
      <c r="F190" s="1">
        <f>+C174</f>
        <v>1100</v>
      </c>
    </row>
    <row r="191" spans="1:7" x14ac:dyDescent="0.2">
      <c r="B191" s="1" t="s">
        <v>406</v>
      </c>
      <c r="F191" s="6">
        <f>SUM(F188:F190)</f>
        <v>8050</v>
      </c>
    </row>
    <row r="192" spans="1:7" x14ac:dyDescent="0.2">
      <c r="B192" s="1" t="s">
        <v>407</v>
      </c>
      <c r="F192" s="6">
        <f>+F180</f>
        <v>7200</v>
      </c>
    </row>
    <row r="193" spans="1:6" x14ac:dyDescent="0.2">
      <c r="A193" s="1">
        <v>1</v>
      </c>
      <c r="B193" s="1" t="s">
        <v>141</v>
      </c>
      <c r="F193" s="6">
        <f>+F192-F191</f>
        <v>-850</v>
      </c>
    </row>
    <row r="196" spans="1:6" x14ac:dyDescent="0.2">
      <c r="B196" s="1" t="s">
        <v>36</v>
      </c>
      <c r="E196" s="26">
        <f>SUM(F197:F198)</f>
        <v>1650</v>
      </c>
    </row>
    <row r="197" spans="1:6" x14ac:dyDescent="0.2">
      <c r="C197" s="1" t="s">
        <v>80</v>
      </c>
      <c r="F197" s="26">
        <f>-+F193</f>
        <v>850</v>
      </c>
    </row>
    <row r="198" spans="1:6" x14ac:dyDescent="0.2">
      <c r="C198" s="1" t="s">
        <v>1120</v>
      </c>
      <c r="F198" s="26">
        <f>-F189</f>
        <v>800</v>
      </c>
    </row>
    <row r="199" spans="1:6" x14ac:dyDescent="0.2">
      <c r="B199" s="1" t="s">
        <v>408</v>
      </c>
    </row>
  </sheetData>
  <hyperlinks>
    <hyperlink ref="A1" location="Main!A1" display="Main" xr:uid="{E565F225-3727-4399-A9B5-018C34F90023}"/>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40C4-9050-4234-BEFD-6C2720FBB882}">
  <sheetPr codeName="Sheet14"/>
  <dimension ref="A1:I127"/>
  <sheetViews>
    <sheetView zoomScaleNormal="100" workbookViewId="0"/>
  </sheetViews>
  <sheetFormatPr defaultRowHeight="12" x14ac:dyDescent="0.2"/>
  <cols>
    <col min="1" max="16384" width="9.140625" style="1"/>
  </cols>
  <sheetData>
    <row r="1" spans="1:6" ht="15" x14ac:dyDescent="0.25">
      <c r="A1" s="2" t="s">
        <v>0</v>
      </c>
    </row>
    <row r="2" spans="1:6" x14ac:dyDescent="0.2">
      <c r="A2" s="1">
        <f>SUM(A3:A248)</f>
        <v>7</v>
      </c>
      <c r="B2" s="1">
        <v>12</v>
      </c>
      <c r="C2" s="4">
        <f>+A2/B2</f>
        <v>0.58333333333333337</v>
      </c>
    </row>
    <row r="3" spans="1:6" x14ac:dyDescent="0.2">
      <c r="B3" s="1" t="s">
        <v>417</v>
      </c>
    </row>
    <row r="4" spans="1:6" x14ac:dyDescent="0.2">
      <c r="B4" s="1" t="s">
        <v>5</v>
      </c>
      <c r="C4" s="3">
        <v>44926</v>
      </c>
    </row>
    <row r="7" spans="1:6" x14ac:dyDescent="0.2">
      <c r="B7" s="1" t="s">
        <v>418</v>
      </c>
    </row>
    <row r="9" spans="1:6" x14ac:dyDescent="0.2">
      <c r="B9" s="1" t="s">
        <v>419</v>
      </c>
    </row>
    <row r="10" spans="1:6" x14ac:dyDescent="0.2">
      <c r="B10" s="1" t="s">
        <v>420</v>
      </c>
      <c r="C10" s="3">
        <v>44701</v>
      </c>
    </row>
    <row r="11" spans="1:6" x14ac:dyDescent="0.2">
      <c r="B11" s="1" t="s">
        <v>421</v>
      </c>
      <c r="C11" s="3">
        <v>44742</v>
      </c>
    </row>
    <row r="12" spans="1:6" x14ac:dyDescent="0.2">
      <c r="B12" s="1" t="s">
        <v>422</v>
      </c>
      <c r="C12" s="6">
        <v>600000</v>
      </c>
      <c r="D12" s="1" t="s">
        <v>423</v>
      </c>
    </row>
    <row r="13" spans="1:6" x14ac:dyDescent="0.2">
      <c r="B13" s="1" t="s">
        <v>424</v>
      </c>
      <c r="C13" s="6">
        <v>775000</v>
      </c>
      <c r="D13" s="3">
        <v>45657</v>
      </c>
      <c r="E13" s="6">
        <f>YEARFRAC(C11,D13)*12</f>
        <v>30</v>
      </c>
      <c r="F13" s="1" t="s">
        <v>432</v>
      </c>
    </row>
    <row r="14" spans="1:6" x14ac:dyDescent="0.2">
      <c r="A14" s="1">
        <v>0.5</v>
      </c>
      <c r="B14" s="1" t="s">
        <v>431</v>
      </c>
      <c r="C14" s="6">
        <f>+C13-C12</f>
        <v>175000</v>
      </c>
      <c r="D14" s="3"/>
    </row>
    <row r="15" spans="1:6" x14ac:dyDescent="0.2">
      <c r="B15" s="1" t="s">
        <v>376</v>
      </c>
      <c r="C15" s="33">
        <v>5.2600000000000001E-2</v>
      </c>
      <c r="D15" s="1" t="s">
        <v>425</v>
      </c>
    </row>
    <row r="16" spans="1:6" x14ac:dyDescent="0.2">
      <c r="B16" s="1" t="s">
        <v>301</v>
      </c>
      <c r="C16" s="6">
        <f>YEARFRAC(C11,C4)*12</f>
        <v>6</v>
      </c>
    </row>
    <row r="17" spans="1:6" x14ac:dyDescent="0.2">
      <c r="B17" s="1" t="s">
        <v>434</v>
      </c>
      <c r="C17" s="6">
        <f>+C16*C14/E13</f>
        <v>35000</v>
      </c>
      <c r="D17" s="1" t="s">
        <v>433</v>
      </c>
    </row>
    <row r="18" spans="1:6" x14ac:dyDescent="0.2">
      <c r="C18" s="6"/>
    </row>
    <row r="19" spans="1:6" x14ac:dyDescent="0.2">
      <c r="A19" s="1">
        <v>0</v>
      </c>
      <c r="B19" s="1" t="s">
        <v>486</v>
      </c>
      <c r="C19" s="6"/>
    </row>
    <row r="21" spans="1:6" x14ac:dyDescent="0.2">
      <c r="B21" s="1" t="s">
        <v>297</v>
      </c>
    </row>
    <row r="22" spans="1:6" x14ac:dyDescent="0.2">
      <c r="B22" s="1" t="s">
        <v>288</v>
      </c>
    </row>
    <row r="23" spans="1:6" x14ac:dyDescent="0.2">
      <c r="C23" s="1" t="s">
        <v>426</v>
      </c>
    </row>
    <row r="25" spans="1:6" x14ac:dyDescent="0.2">
      <c r="B25" s="1" t="s">
        <v>427</v>
      </c>
    </row>
    <row r="27" spans="1:6" x14ac:dyDescent="0.2">
      <c r="B27" s="1" t="s">
        <v>428</v>
      </c>
      <c r="E27" s="6">
        <f>SUM(F28:F29)</f>
        <v>631560</v>
      </c>
      <c r="F27" s="6"/>
    </row>
    <row r="28" spans="1:6" x14ac:dyDescent="0.2">
      <c r="A28" s="1">
        <v>1</v>
      </c>
      <c r="C28" s="1" t="s">
        <v>429</v>
      </c>
      <c r="E28" s="6"/>
      <c r="F28" s="6">
        <f>+C12</f>
        <v>600000</v>
      </c>
    </row>
    <row r="29" spans="1:6" x14ac:dyDescent="0.2">
      <c r="A29" s="1">
        <v>0</v>
      </c>
      <c r="C29" s="1" t="s">
        <v>430</v>
      </c>
      <c r="E29" s="6"/>
      <c r="F29" s="6">
        <f>+C12*C15</f>
        <v>31560</v>
      </c>
    </row>
    <row r="30" spans="1:6" x14ac:dyDescent="0.2">
      <c r="A30" s="1">
        <v>0.5</v>
      </c>
      <c r="B30" s="1" t="s">
        <v>435</v>
      </c>
    </row>
    <row r="34" spans="1:9" x14ac:dyDescent="0.2">
      <c r="B34" s="1" t="s">
        <v>436</v>
      </c>
    </row>
    <row r="35" spans="1:9" x14ac:dyDescent="0.2">
      <c r="B35" s="1" t="s">
        <v>437</v>
      </c>
      <c r="C35" s="3">
        <v>44621</v>
      </c>
    </row>
    <row r="36" spans="1:9" x14ac:dyDescent="0.2">
      <c r="B36" s="1" t="s">
        <v>438</v>
      </c>
      <c r="C36" s="1">
        <v>12</v>
      </c>
      <c r="D36" s="1" t="s">
        <v>439</v>
      </c>
    </row>
    <row r="37" spans="1:9" x14ac:dyDescent="0.2">
      <c r="B37" s="1" t="s">
        <v>440</v>
      </c>
      <c r="C37" s="6">
        <v>100000</v>
      </c>
      <c r="D37" s="1" t="s">
        <v>441</v>
      </c>
    </row>
    <row r="38" spans="1:9" x14ac:dyDescent="0.2">
      <c r="B38" s="1" t="s">
        <v>442</v>
      </c>
      <c r="C38" s="1">
        <v>11</v>
      </c>
      <c r="D38" s="1" t="s">
        <v>439</v>
      </c>
    </row>
    <row r="39" spans="1:9" x14ac:dyDescent="0.2">
      <c r="A39" s="1">
        <v>0.5</v>
      </c>
      <c r="B39" s="1" t="s">
        <v>443</v>
      </c>
    </row>
    <row r="40" spans="1:9" x14ac:dyDescent="0.2">
      <c r="B40" s="1" t="s">
        <v>444</v>
      </c>
    </row>
    <row r="42" spans="1:9" x14ac:dyDescent="0.2">
      <c r="A42" s="1">
        <v>0</v>
      </c>
      <c r="B42" s="1" t="s">
        <v>487</v>
      </c>
    </row>
    <row r="43" spans="1:9" x14ac:dyDescent="0.2">
      <c r="E43" s="10"/>
      <c r="F43" s="10"/>
      <c r="G43" s="9"/>
      <c r="H43" s="9"/>
      <c r="I43" s="9"/>
    </row>
    <row r="44" spans="1:9" x14ac:dyDescent="0.2">
      <c r="B44" s="1" t="s">
        <v>297</v>
      </c>
      <c r="E44" s="10"/>
      <c r="F44" s="10"/>
      <c r="G44" s="9"/>
      <c r="H44" s="9"/>
      <c r="I44" s="9"/>
    </row>
    <row r="45" spans="1:9" x14ac:dyDescent="0.2">
      <c r="B45" s="1" t="s">
        <v>445</v>
      </c>
      <c r="E45" s="10">
        <f>+C36*C37</f>
        <v>1200000</v>
      </c>
      <c r="F45" s="10"/>
      <c r="G45" s="9"/>
      <c r="H45" s="10">
        <f>+E45-F48</f>
        <v>60000</v>
      </c>
      <c r="I45" s="9"/>
    </row>
    <row r="46" spans="1:9" x14ac:dyDescent="0.2">
      <c r="C46" s="1" t="s">
        <v>446</v>
      </c>
      <c r="E46" s="10"/>
      <c r="F46" s="10">
        <f>+E45</f>
        <v>1200000</v>
      </c>
      <c r="G46" s="9"/>
      <c r="H46" s="9"/>
      <c r="I46" s="9"/>
    </row>
    <row r="47" spans="1:9" x14ac:dyDescent="0.2">
      <c r="B47" s="1" t="s">
        <v>336</v>
      </c>
      <c r="E47" s="10">
        <f>95000*C36</f>
        <v>1140000</v>
      </c>
      <c r="F47" s="10"/>
      <c r="G47" s="9"/>
      <c r="H47" s="9"/>
      <c r="I47" s="9"/>
    </row>
    <row r="48" spans="1:9" x14ac:dyDescent="0.2">
      <c r="C48" s="1" t="s">
        <v>447</v>
      </c>
      <c r="E48" s="10"/>
      <c r="F48" s="10">
        <f>+E47</f>
        <v>1140000</v>
      </c>
      <c r="G48" s="9"/>
      <c r="H48" s="9"/>
      <c r="I48" s="9"/>
    </row>
    <row r="49" spans="1:9" x14ac:dyDescent="0.2">
      <c r="E49" s="10"/>
      <c r="F49" s="10"/>
      <c r="G49" s="9"/>
      <c r="H49" s="9"/>
      <c r="I49" s="9"/>
    </row>
    <row r="50" spans="1:9" x14ac:dyDescent="0.2">
      <c r="A50" s="1">
        <v>0</v>
      </c>
      <c r="B50" s="1" t="s">
        <v>488</v>
      </c>
      <c r="E50" s="10"/>
      <c r="F50" s="10"/>
      <c r="G50" s="9"/>
      <c r="H50" s="9"/>
      <c r="I50" s="9"/>
    </row>
    <row r="51" spans="1:9" x14ac:dyDescent="0.2">
      <c r="E51" s="6"/>
      <c r="F51" s="6"/>
    </row>
    <row r="52" spans="1:9" x14ac:dyDescent="0.2">
      <c r="A52" s="1">
        <v>0.5</v>
      </c>
      <c r="B52" s="1" t="s">
        <v>448</v>
      </c>
      <c r="E52" s="6"/>
      <c r="F52" s="6"/>
    </row>
    <row r="53" spans="1:9" x14ac:dyDescent="0.2">
      <c r="E53" s="6"/>
      <c r="F53" s="6"/>
    </row>
    <row r="54" spans="1:9" x14ac:dyDescent="0.2">
      <c r="A54" s="1">
        <v>0.5</v>
      </c>
      <c r="B54" s="1" t="s">
        <v>450</v>
      </c>
      <c r="E54" s="6">
        <f>SUM(F55:F55)</f>
        <v>100000</v>
      </c>
      <c r="F54" s="6"/>
    </row>
    <row r="55" spans="1:9" x14ac:dyDescent="0.2">
      <c r="C55" s="1" t="s">
        <v>449</v>
      </c>
      <c r="E55" s="6"/>
      <c r="F55" s="6">
        <f>(C36-C38)*C37</f>
        <v>100000</v>
      </c>
    </row>
    <row r="56" spans="1:9" x14ac:dyDescent="0.2">
      <c r="B56" s="1" t="s">
        <v>489</v>
      </c>
      <c r="E56" s="6"/>
      <c r="F56" s="6"/>
    </row>
    <row r="57" spans="1:9" x14ac:dyDescent="0.2">
      <c r="E57" s="6"/>
      <c r="F57" s="6"/>
    </row>
    <row r="59" spans="1:9" x14ac:dyDescent="0.2">
      <c r="B59" s="1" t="s">
        <v>451</v>
      </c>
    </row>
    <row r="60" spans="1:9" x14ac:dyDescent="0.2">
      <c r="B60" s="1" t="s">
        <v>420</v>
      </c>
      <c r="C60" s="3">
        <v>44804</v>
      </c>
    </row>
    <row r="61" spans="1:9" x14ac:dyDescent="0.2">
      <c r="B61" s="1" t="s">
        <v>454</v>
      </c>
      <c r="C61" s="6">
        <v>38000</v>
      </c>
    </row>
    <row r="62" spans="1:9" x14ac:dyDescent="0.2">
      <c r="B62" s="1" t="s">
        <v>452</v>
      </c>
      <c r="C62" s="6">
        <v>48000</v>
      </c>
    </row>
    <row r="63" spans="1:9" x14ac:dyDescent="0.2">
      <c r="B63" s="1" t="s">
        <v>453</v>
      </c>
      <c r="C63" s="6">
        <v>40000</v>
      </c>
    </row>
    <row r="64" spans="1:9" x14ac:dyDescent="0.2">
      <c r="C64" s="6"/>
    </row>
    <row r="65" spans="1:6" x14ac:dyDescent="0.2">
      <c r="B65" s="1" t="s">
        <v>490</v>
      </c>
      <c r="C65" s="6"/>
    </row>
    <row r="67" spans="1:6" x14ac:dyDescent="0.2">
      <c r="B67" s="1" t="s">
        <v>455</v>
      </c>
    </row>
    <row r="69" spans="1:6" x14ac:dyDescent="0.2">
      <c r="B69" s="1" t="s">
        <v>458</v>
      </c>
    </row>
    <row r="70" spans="1:6" x14ac:dyDescent="0.2">
      <c r="A70" s="1">
        <v>0.5</v>
      </c>
      <c r="B70" s="1" t="s">
        <v>491</v>
      </c>
    </row>
    <row r="71" spans="1:6" x14ac:dyDescent="0.2">
      <c r="B71" s="1" t="s">
        <v>459</v>
      </c>
      <c r="C71" s="6">
        <f>+C63</f>
        <v>40000</v>
      </c>
    </row>
    <row r="72" spans="1:6" x14ac:dyDescent="0.2">
      <c r="B72" s="1" t="s">
        <v>460</v>
      </c>
    </row>
    <row r="74" spans="1:6" x14ac:dyDescent="0.2">
      <c r="B74" s="1" t="s">
        <v>461</v>
      </c>
      <c r="E74" s="6">
        <f>+C71</f>
        <v>40000</v>
      </c>
    </row>
    <row r="75" spans="1:6" x14ac:dyDescent="0.2">
      <c r="C75" s="1" t="s">
        <v>462</v>
      </c>
      <c r="F75" s="6">
        <f>+E74</f>
        <v>40000</v>
      </c>
    </row>
    <row r="76" spans="1:6" x14ac:dyDescent="0.2">
      <c r="A76" s="1">
        <v>0.5</v>
      </c>
      <c r="B76" s="1" t="s">
        <v>463</v>
      </c>
    </row>
    <row r="78" spans="1:6" x14ac:dyDescent="0.2">
      <c r="B78" s="1" t="s">
        <v>464</v>
      </c>
      <c r="E78" s="6">
        <f>+C61</f>
        <v>38000</v>
      </c>
    </row>
    <row r="79" spans="1:6" x14ac:dyDescent="0.2">
      <c r="C79" s="1" t="s">
        <v>465</v>
      </c>
      <c r="F79" s="6">
        <f>+E78</f>
        <v>38000</v>
      </c>
    </row>
    <row r="80" spans="1:6" x14ac:dyDescent="0.2">
      <c r="A80" s="1">
        <v>0.5</v>
      </c>
      <c r="B80" s="1" t="s">
        <v>466</v>
      </c>
    </row>
    <row r="83" spans="2:4" x14ac:dyDescent="0.2">
      <c r="B83" s="1" t="s">
        <v>467</v>
      </c>
    </row>
    <row r="84" spans="2:4" x14ac:dyDescent="0.2">
      <c r="B84" s="1" t="s">
        <v>468</v>
      </c>
      <c r="C84" s="3">
        <v>44895</v>
      </c>
    </row>
    <row r="85" spans="2:4" x14ac:dyDescent="0.2">
      <c r="B85" s="1" t="s">
        <v>469</v>
      </c>
    </row>
    <row r="86" spans="2:4" x14ac:dyDescent="0.2">
      <c r="B86" s="1" t="s">
        <v>470</v>
      </c>
    </row>
    <row r="87" spans="2:4" x14ac:dyDescent="0.2">
      <c r="B87" s="1" t="s">
        <v>471</v>
      </c>
    </row>
    <row r="88" spans="2:4" x14ac:dyDescent="0.2">
      <c r="C88" s="1" t="s">
        <v>457</v>
      </c>
    </row>
    <row r="90" spans="2:4" x14ac:dyDescent="0.2">
      <c r="B90" s="1" t="s">
        <v>492</v>
      </c>
    </row>
    <row r="93" spans="2:4" x14ac:dyDescent="0.2">
      <c r="B93" s="1" t="s">
        <v>472</v>
      </c>
    </row>
    <row r="94" spans="2:4" x14ac:dyDescent="0.2">
      <c r="B94" s="3">
        <v>44895</v>
      </c>
      <c r="C94" s="1">
        <v>1.19</v>
      </c>
      <c r="D94" s="1" t="s">
        <v>473</v>
      </c>
    </row>
    <row r="95" spans="2:4" x14ac:dyDescent="0.2">
      <c r="B95" s="3">
        <v>44926</v>
      </c>
      <c r="C95" s="1">
        <v>1.1100000000000001</v>
      </c>
      <c r="D95" s="1" t="s">
        <v>473</v>
      </c>
    </row>
    <row r="96" spans="2:4" x14ac:dyDescent="0.2">
      <c r="B96" s="3"/>
    </row>
    <row r="97" spans="1:8" x14ac:dyDescent="0.2">
      <c r="B97" s="3" t="s">
        <v>493</v>
      </c>
    </row>
    <row r="99" spans="1:8" x14ac:dyDescent="0.2">
      <c r="B99" s="1" t="s">
        <v>474</v>
      </c>
    </row>
    <row r="100" spans="1:8" x14ac:dyDescent="0.2">
      <c r="E100" s="34" t="s">
        <v>475</v>
      </c>
      <c r="F100" s="34"/>
      <c r="G100" s="34" t="s">
        <v>476</v>
      </c>
      <c r="H100" s="34"/>
    </row>
    <row r="101" spans="1:8" x14ac:dyDescent="0.2">
      <c r="B101" s="1" t="s">
        <v>445</v>
      </c>
      <c r="E101" s="6">
        <v>30000</v>
      </c>
      <c r="F101" s="6"/>
      <c r="G101" s="6">
        <f>+E101/C94</f>
        <v>25210.084033613446</v>
      </c>
      <c r="H101" s="6"/>
    </row>
    <row r="102" spans="1:8" x14ac:dyDescent="0.2">
      <c r="C102" s="1" t="s">
        <v>456</v>
      </c>
      <c r="E102" s="6"/>
      <c r="F102" s="6">
        <f>+E101</f>
        <v>30000</v>
      </c>
      <c r="G102" s="6"/>
      <c r="H102" s="6">
        <f>+G101</f>
        <v>25210.084033613446</v>
      </c>
    </row>
    <row r="103" spans="1:8" x14ac:dyDescent="0.2">
      <c r="E103" s="6"/>
      <c r="F103" s="6"/>
      <c r="G103" s="6"/>
      <c r="H103" s="6"/>
    </row>
    <row r="104" spans="1:8" x14ac:dyDescent="0.2">
      <c r="B104" s="1" t="s">
        <v>477</v>
      </c>
      <c r="E104" s="6"/>
      <c r="F104" s="6"/>
      <c r="G104" s="6"/>
      <c r="H104" s="6"/>
    </row>
    <row r="105" spans="1:8" x14ac:dyDescent="0.2">
      <c r="B105" s="1" t="s">
        <v>445</v>
      </c>
      <c r="E105" s="6">
        <v>30000</v>
      </c>
      <c r="F105" s="6"/>
      <c r="G105" s="6">
        <f>+E105/C95</f>
        <v>27027.027027027023</v>
      </c>
      <c r="H105" s="6"/>
    </row>
    <row r="106" spans="1:8" x14ac:dyDescent="0.2">
      <c r="C106" s="1" t="s">
        <v>456</v>
      </c>
      <c r="E106" s="6"/>
      <c r="F106" s="6">
        <f>+E105</f>
        <v>30000</v>
      </c>
      <c r="G106" s="6"/>
      <c r="H106" s="6">
        <f>+G105</f>
        <v>27027.027027027023</v>
      </c>
    </row>
    <row r="108" spans="1:8" x14ac:dyDescent="0.2">
      <c r="A108" s="1">
        <v>0.5</v>
      </c>
      <c r="B108" s="1" t="s">
        <v>445</v>
      </c>
      <c r="E108" s="6">
        <v>30000</v>
      </c>
      <c r="F108" s="6"/>
      <c r="G108" s="6">
        <f>+G105-G101</f>
        <v>1816.9429934135769</v>
      </c>
      <c r="H108" s="6"/>
    </row>
    <row r="109" spans="1:8" x14ac:dyDescent="0.2">
      <c r="C109" s="1" t="s">
        <v>478</v>
      </c>
      <c r="E109" s="6"/>
      <c r="F109" s="6">
        <f>+E108</f>
        <v>30000</v>
      </c>
      <c r="G109" s="6"/>
      <c r="H109" s="6">
        <f>+G108</f>
        <v>1816.9429934135769</v>
      </c>
    </row>
    <row r="111" spans="1:8" x14ac:dyDescent="0.2">
      <c r="A111" s="1">
        <v>0.5</v>
      </c>
      <c r="B111" s="1" t="s">
        <v>479</v>
      </c>
      <c r="E111" s="10">
        <f>+G108</f>
        <v>1816.9429934135769</v>
      </c>
    </row>
    <row r="112" spans="1:8" x14ac:dyDescent="0.2">
      <c r="C112" s="1" t="s">
        <v>478</v>
      </c>
      <c r="F112" s="6">
        <f>+H109</f>
        <v>1816.9429934135769</v>
      </c>
    </row>
    <row r="113" spans="1:6" x14ac:dyDescent="0.2">
      <c r="A113" s="1">
        <v>0.5</v>
      </c>
      <c r="B113" s="1" t="s">
        <v>480</v>
      </c>
    </row>
    <row r="117" spans="1:6" x14ac:dyDescent="0.2">
      <c r="B117" s="1" t="s">
        <v>481</v>
      </c>
    </row>
    <row r="118" spans="1:6" x14ac:dyDescent="0.2">
      <c r="B118" s="1" t="s">
        <v>482</v>
      </c>
      <c r="C118" s="3">
        <v>44804</v>
      </c>
    </row>
    <row r="119" spans="1:6" x14ac:dyDescent="0.2">
      <c r="B119" s="1" t="s">
        <v>483</v>
      </c>
      <c r="C119" s="1">
        <v>28000</v>
      </c>
      <c r="D119" s="3">
        <v>45169</v>
      </c>
    </row>
    <row r="120" spans="1:6" x14ac:dyDescent="0.2">
      <c r="D120" s="3"/>
    </row>
    <row r="121" spans="1:6" x14ac:dyDescent="0.2">
      <c r="A121" s="1">
        <v>0</v>
      </c>
      <c r="B121" s="1" t="s">
        <v>494</v>
      </c>
      <c r="D121" s="3"/>
    </row>
    <row r="122" spans="1:6" x14ac:dyDescent="0.2">
      <c r="A122" s="1">
        <v>0</v>
      </c>
      <c r="B122" s="1" t="s">
        <v>495</v>
      </c>
      <c r="D122" s="3"/>
    </row>
    <row r="123" spans="1:6" x14ac:dyDescent="0.2">
      <c r="A123" s="1">
        <v>0</v>
      </c>
      <c r="B123" s="1" t="s">
        <v>496</v>
      </c>
      <c r="D123" s="3"/>
    </row>
    <row r="125" spans="1:6" x14ac:dyDescent="0.2">
      <c r="A125" s="1">
        <v>0.5</v>
      </c>
      <c r="B125" s="1" t="s">
        <v>484</v>
      </c>
      <c r="E125" s="1">
        <f>+C119</f>
        <v>28000</v>
      </c>
    </row>
    <row r="126" spans="1:6" x14ac:dyDescent="0.2">
      <c r="C126" s="1" t="s">
        <v>429</v>
      </c>
      <c r="F126" s="1">
        <f>+E125</f>
        <v>28000</v>
      </c>
    </row>
    <row r="127" spans="1:6" x14ac:dyDescent="0.2">
      <c r="B127" s="1" t="s">
        <v>485</v>
      </c>
    </row>
  </sheetData>
  <hyperlinks>
    <hyperlink ref="A1" location="Main!A1" display="Main" xr:uid="{DBAB8505-3B07-4324-8563-7B379077DC74}"/>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72AC6-D8A2-41F9-95E8-CAC7D327B4E0}">
  <dimension ref="A1:G271"/>
  <sheetViews>
    <sheetView zoomScale="160" zoomScaleNormal="160" workbookViewId="0"/>
  </sheetViews>
  <sheetFormatPr defaultRowHeight="12" x14ac:dyDescent="0.2"/>
  <cols>
    <col min="1" max="16384" width="9.140625" style="1"/>
  </cols>
  <sheetData>
    <row r="1" spans="1:5" ht="15" x14ac:dyDescent="0.25">
      <c r="A1" s="2" t="s">
        <v>0</v>
      </c>
    </row>
    <row r="2" spans="1:5" x14ac:dyDescent="0.2">
      <c r="B2" s="1" t="s">
        <v>2925</v>
      </c>
    </row>
    <row r="3" spans="1:5" x14ac:dyDescent="0.2">
      <c r="B3" s="1" t="s">
        <v>5</v>
      </c>
      <c r="C3" s="3">
        <v>44926</v>
      </c>
    </row>
    <row r="6" spans="1:5" x14ac:dyDescent="0.2">
      <c r="B6" s="1" t="s">
        <v>9</v>
      </c>
    </row>
    <row r="7" spans="1:5" x14ac:dyDescent="0.2">
      <c r="B7" s="1" t="s">
        <v>2926</v>
      </c>
    </row>
    <row r="9" spans="1:5" x14ac:dyDescent="0.2">
      <c r="B9" s="1" t="s">
        <v>747</v>
      </c>
      <c r="C9" s="4">
        <v>0.08</v>
      </c>
    </row>
    <row r="13" spans="1:5" x14ac:dyDescent="0.2">
      <c r="C13" s="1" t="s">
        <v>2927</v>
      </c>
      <c r="D13" s="1" t="s">
        <v>63</v>
      </c>
      <c r="E13" s="1" t="s">
        <v>2928</v>
      </c>
    </row>
    <row r="14" spans="1:5" x14ac:dyDescent="0.2">
      <c r="B14" s="3">
        <v>44227</v>
      </c>
      <c r="E14" s="89">
        <v>5041357</v>
      </c>
    </row>
    <row r="15" spans="1:5" x14ac:dyDescent="0.2">
      <c r="B15" s="3">
        <f>+EOMONTH(B14,12)</f>
        <v>44592</v>
      </c>
      <c r="C15" s="89">
        <f>+E14</f>
        <v>5041357</v>
      </c>
      <c r="D15" s="89">
        <f>+C15*0.08</f>
        <v>403308.56</v>
      </c>
      <c r="E15" s="89">
        <f>SUM(C15:D15)</f>
        <v>5444665.5599999996</v>
      </c>
    </row>
    <row r="16" spans="1:5" x14ac:dyDescent="0.2">
      <c r="B16" s="3">
        <f>+EOMONTH(B15,12)</f>
        <v>44957</v>
      </c>
      <c r="C16" s="89">
        <f>+E15</f>
        <v>5444665.5599999996</v>
      </c>
      <c r="D16" s="89">
        <f>+C16*0.08</f>
        <v>435573.24479999999</v>
      </c>
      <c r="E16" s="89">
        <f>SUM(C16:D16)</f>
        <v>5880238.8048</v>
      </c>
    </row>
    <row r="17" spans="2:5" x14ac:dyDescent="0.2">
      <c r="B17" s="3">
        <f>+EOMONTH(B16,12)</f>
        <v>45322</v>
      </c>
      <c r="C17" s="89">
        <f t="shared" ref="C17:C20" si="0">+E16</f>
        <v>5880238.8048</v>
      </c>
      <c r="D17" s="89">
        <f>+C17*0.08</f>
        <v>470419.10438400001</v>
      </c>
      <c r="E17" s="89">
        <f t="shared" ref="E17:E20" si="1">SUM(C17:D17)</f>
        <v>6350657.9091840005</v>
      </c>
    </row>
    <row r="18" spans="2:5" x14ac:dyDescent="0.2">
      <c r="B18" s="3">
        <f t="shared" ref="B18:B20" si="2">+EOMONTH(B17,12)</f>
        <v>45688</v>
      </c>
      <c r="C18" s="89">
        <f t="shared" si="0"/>
        <v>6350657.9091840005</v>
      </c>
      <c r="D18" s="89">
        <f t="shared" ref="D18:D20" si="3">+C18*0.08</f>
        <v>508052.63273472007</v>
      </c>
      <c r="E18" s="89">
        <f t="shared" si="1"/>
        <v>6858710.5419187201</v>
      </c>
    </row>
    <row r="19" spans="2:5" x14ac:dyDescent="0.2">
      <c r="B19" s="3">
        <f t="shared" si="2"/>
        <v>46053</v>
      </c>
      <c r="C19" s="89">
        <f t="shared" si="0"/>
        <v>6858710.5419187201</v>
      </c>
      <c r="D19" s="89">
        <f t="shared" si="3"/>
        <v>548696.84335349756</v>
      </c>
      <c r="E19" s="89">
        <f t="shared" si="1"/>
        <v>7407407.3852722179</v>
      </c>
    </row>
    <row r="20" spans="2:5" x14ac:dyDescent="0.2">
      <c r="B20" s="3">
        <f t="shared" si="2"/>
        <v>46418</v>
      </c>
      <c r="C20" s="89">
        <f t="shared" si="0"/>
        <v>7407407.3852722179</v>
      </c>
      <c r="D20" s="89">
        <f t="shared" si="3"/>
        <v>592592.59082177747</v>
      </c>
      <c r="E20" s="89">
        <f t="shared" si="1"/>
        <v>7999999.9760939954</v>
      </c>
    </row>
    <row r="21" spans="2:5" x14ac:dyDescent="0.2">
      <c r="B21" s="3"/>
    </row>
    <row r="22" spans="2:5" x14ac:dyDescent="0.2">
      <c r="C22" s="1" t="s">
        <v>2927</v>
      </c>
      <c r="D22" s="1" t="s">
        <v>63</v>
      </c>
      <c r="E22" s="1" t="s">
        <v>2928</v>
      </c>
    </row>
    <row r="23" spans="2:5" ht="12.75" thickBot="1" x14ac:dyDescent="0.25">
      <c r="C23" s="1" t="s">
        <v>2927</v>
      </c>
      <c r="D23" s="1" t="s">
        <v>63</v>
      </c>
      <c r="E23" s="1" t="s">
        <v>2928</v>
      </c>
    </row>
    <row r="24" spans="2:5" ht="12.75" thickBot="1" x14ac:dyDescent="0.25">
      <c r="B24" s="3">
        <f>+B15</f>
        <v>44592</v>
      </c>
      <c r="C24" s="89">
        <f>+C15</f>
        <v>5041357</v>
      </c>
      <c r="D24" s="417">
        <f>+D15</f>
        <v>403308.56</v>
      </c>
      <c r="E24" s="89">
        <v>5444665.5599999996</v>
      </c>
    </row>
    <row r="25" spans="2:5" x14ac:dyDescent="0.2">
      <c r="B25" s="3">
        <f>+EOMONTH(B24,12)</f>
        <v>44957</v>
      </c>
      <c r="C25" s="89">
        <v>6805831.9703375315</v>
      </c>
      <c r="D25" s="89">
        <f>+C25*0.08</f>
        <v>544466.55762700248</v>
      </c>
      <c r="E25" s="89">
        <f>SUM(C25:D25)</f>
        <v>7350298.5279645342</v>
      </c>
    </row>
    <row r="26" spans="2:5" x14ac:dyDescent="0.2">
      <c r="B26" s="3">
        <f>+EOMONTH(B25,12)</f>
        <v>45322</v>
      </c>
      <c r="C26" s="89">
        <f t="shared" ref="C26:C29" si="4">+E25</f>
        <v>7350298.5279645342</v>
      </c>
      <c r="D26" s="89">
        <f>+C26*0.08</f>
        <v>588023.88223716279</v>
      </c>
      <c r="E26" s="89">
        <f t="shared" ref="E26:E29" si="5">SUM(C26:D26)</f>
        <v>7938322.4102016967</v>
      </c>
    </row>
    <row r="27" spans="2:5" x14ac:dyDescent="0.2">
      <c r="B27" s="3">
        <f t="shared" ref="B27:B29" si="6">+EOMONTH(B26,12)</f>
        <v>45688</v>
      </c>
      <c r="C27" s="89">
        <f t="shared" si="4"/>
        <v>7938322.4102016967</v>
      </c>
      <c r="D27" s="89">
        <f t="shared" ref="D27:D29" si="7">+C27*0.08</f>
        <v>635065.7928161358</v>
      </c>
      <c r="E27" s="89">
        <f t="shared" si="5"/>
        <v>8573388.2030178327</v>
      </c>
    </row>
    <row r="28" spans="2:5" x14ac:dyDescent="0.2">
      <c r="B28" s="3">
        <f t="shared" si="6"/>
        <v>46053</v>
      </c>
      <c r="C28" s="89">
        <f t="shared" si="4"/>
        <v>8573388.2030178327</v>
      </c>
      <c r="D28" s="89">
        <f t="shared" si="7"/>
        <v>685871.05624142662</v>
      </c>
      <c r="E28" s="89">
        <f t="shared" si="5"/>
        <v>9259259.2592592593</v>
      </c>
    </row>
    <row r="29" spans="2:5" x14ac:dyDescent="0.2">
      <c r="B29" s="3">
        <f t="shared" si="6"/>
        <v>46418</v>
      </c>
      <c r="C29" s="89">
        <f t="shared" si="4"/>
        <v>9259259.2592592593</v>
      </c>
      <c r="D29" s="89">
        <f t="shared" si="7"/>
        <v>740740.74074074079</v>
      </c>
      <c r="E29" s="89">
        <f t="shared" si="5"/>
        <v>10000000</v>
      </c>
    </row>
    <row r="30" spans="2:5" x14ac:dyDescent="0.2">
      <c r="B30" s="3"/>
      <c r="C30" s="89"/>
      <c r="D30" s="89"/>
      <c r="E30" s="89"/>
    </row>
    <row r="31" spans="2:5" x14ac:dyDescent="0.2">
      <c r="B31" s="3"/>
      <c r="C31" s="89"/>
      <c r="D31" s="89"/>
      <c r="E31" s="89"/>
    </row>
    <row r="32" spans="2:5" x14ac:dyDescent="0.2">
      <c r="E32" s="89">
        <f>+C25</f>
        <v>6805831.9703375315</v>
      </c>
    </row>
    <row r="33" spans="2:5" x14ac:dyDescent="0.2">
      <c r="E33" s="89">
        <f>+E24</f>
        <v>5444665.5599999996</v>
      </c>
    </row>
    <row r="34" spans="2:5" x14ac:dyDescent="0.2">
      <c r="B34" s="1" t="s">
        <v>2929</v>
      </c>
      <c r="E34" s="89">
        <f>+E32-E33</f>
        <v>1361166.4103375319</v>
      </c>
    </row>
    <row r="35" spans="2:5" x14ac:dyDescent="0.2">
      <c r="E35" s="89"/>
    </row>
    <row r="36" spans="2:5" x14ac:dyDescent="0.2">
      <c r="B36" s="1" t="s">
        <v>2932</v>
      </c>
      <c r="E36" s="89">
        <f>+E14</f>
        <v>5041357</v>
      </c>
    </row>
    <row r="37" spans="2:5" x14ac:dyDescent="0.2">
      <c r="B37" s="1" t="s">
        <v>63</v>
      </c>
      <c r="E37" s="89">
        <f>+E36*0.08</f>
        <v>403308.56</v>
      </c>
    </row>
    <row r="38" spans="2:5" x14ac:dyDescent="0.2">
      <c r="E38" s="89">
        <f>SUM(E36:E37)</f>
        <v>5444665.5599999996</v>
      </c>
    </row>
    <row r="39" spans="2:5" x14ac:dyDescent="0.2">
      <c r="B39" s="1" t="s">
        <v>2933</v>
      </c>
      <c r="E39" s="89">
        <f>10000000/(1.08)^5</f>
        <v>6805831.9703375297</v>
      </c>
    </row>
    <row r="40" spans="2:5" x14ac:dyDescent="0.2">
      <c r="E40" s="89">
        <f>+E39-E38</f>
        <v>1361166.4103375301</v>
      </c>
    </row>
    <row r="42" spans="2:5" x14ac:dyDescent="0.2">
      <c r="B42" s="1" t="s">
        <v>748</v>
      </c>
      <c r="D42" s="89">
        <f>+D24</f>
        <v>403308.56</v>
      </c>
    </row>
    <row r="43" spans="2:5" x14ac:dyDescent="0.2">
      <c r="B43" s="1" t="s">
        <v>221</v>
      </c>
      <c r="D43" s="89">
        <f>+E34</f>
        <v>1361166.4103375319</v>
      </c>
    </row>
    <row r="44" spans="2:5" x14ac:dyDescent="0.2">
      <c r="C44" s="1" t="s">
        <v>2930</v>
      </c>
      <c r="E44" s="89">
        <f>+C25-C24</f>
        <v>1764474.9703375315</v>
      </c>
    </row>
    <row r="45" spans="2:5" x14ac:dyDescent="0.2">
      <c r="B45" s="1" t="s">
        <v>2931</v>
      </c>
    </row>
    <row r="48" spans="2:5" x14ac:dyDescent="0.2">
      <c r="B48" s="1" t="s">
        <v>2934</v>
      </c>
    </row>
    <row r="49" spans="2:6" x14ac:dyDescent="0.2">
      <c r="B49" s="1" t="s">
        <v>2936</v>
      </c>
      <c r="C49" s="1">
        <f>+C50+C52</f>
        <v>78</v>
      </c>
      <c r="D49" s="1" t="str">
        <f ca="1">_xlfn.FORMULATEXT(C49)</f>
        <v>=+C50+C52</v>
      </c>
    </row>
    <row r="50" spans="2:6" x14ac:dyDescent="0.2">
      <c r="B50" s="1" t="s">
        <v>213</v>
      </c>
      <c r="C50" s="1">
        <v>60</v>
      </c>
    </row>
    <row r="51" spans="2:6" x14ac:dyDescent="0.2">
      <c r="B51" s="3">
        <v>44837</v>
      </c>
    </row>
    <row r="52" spans="2:6" x14ac:dyDescent="0.2">
      <c r="B52" s="1" t="s">
        <v>2935</v>
      </c>
      <c r="C52" s="1">
        <v>18</v>
      </c>
    </row>
    <row r="54" spans="2:6" x14ac:dyDescent="0.2">
      <c r="B54" s="1" t="s">
        <v>2940</v>
      </c>
    </row>
    <row r="56" spans="2:6" x14ac:dyDescent="0.2">
      <c r="B56" s="1" t="s">
        <v>2937</v>
      </c>
      <c r="E56" s="1">
        <v>60</v>
      </c>
    </row>
    <row r="57" spans="2:6" x14ac:dyDescent="0.2">
      <c r="C57" s="1" t="s">
        <v>2938</v>
      </c>
      <c r="F57" s="1">
        <v>60</v>
      </c>
    </row>
    <row r="58" spans="2:6" x14ac:dyDescent="0.2">
      <c r="B58" s="1" t="s">
        <v>2939</v>
      </c>
    </row>
    <row r="60" spans="2:6" x14ac:dyDescent="0.2">
      <c r="B60" s="1" t="s">
        <v>2941</v>
      </c>
    </row>
    <row r="61" spans="2:6" x14ac:dyDescent="0.2">
      <c r="B61" s="1" t="s">
        <v>2942</v>
      </c>
    </row>
    <row r="63" spans="2:6" x14ac:dyDescent="0.2">
      <c r="B63" s="1" t="s">
        <v>2943</v>
      </c>
    </row>
    <row r="64" spans="2:6" x14ac:dyDescent="0.2">
      <c r="B64" s="1" t="s">
        <v>2944</v>
      </c>
    </row>
    <row r="68" spans="2:6" x14ac:dyDescent="0.2">
      <c r="B68" s="1" t="s">
        <v>2945</v>
      </c>
    </row>
    <row r="69" spans="2:6" x14ac:dyDescent="0.2">
      <c r="B69" s="1" t="s">
        <v>2946</v>
      </c>
    </row>
    <row r="70" spans="2:6" x14ac:dyDescent="0.2">
      <c r="B70" s="1" t="s">
        <v>2947</v>
      </c>
    </row>
    <row r="72" spans="2:6" x14ac:dyDescent="0.2">
      <c r="B72" s="1" t="s">
        <v>1494</v>
      </c>
      <c r="D72" s="1">
        <v>45</v>
      </c>
    </row>
    <row r="73" spans="2:6" x14ac:dyDescent="0.2">
      <c r="B73" s="1" t="s">
        <v>2182</v>
      </c>
      <c r="D73" s="1">
        <v>38</v>
      </c>
    </row>
    <row r="74" spans="2:6" x14ac:dyDescent="0.2">
      <c r="B74" s="1" t="s">
        <v>2948</v>
      </c>
      <c r="D74" s="1">
        <f>+D72-D73</f>
        <v>7</v>
      </c>
    </row>
    <row r="76" spans="2:6" x14ac:dyDescent="0.2">
      <c r="B76" s="1" t="s">
        <v>2180</v>
      </c>
      <c r="E76" s="1">
        <f>+D74</f>
        <v>7</v>
      </c>
    </row>
    <row r="77" spans="2:6" x14ac:dyDescent="0.2">
      <c r="C77" s="1" t="s">
        <v>1033</v>
      </c>
      <c r="F77" s="1">
        <f>+E76</f>
        <v>7</v>
      </c>
    </row>
    <row r="78" spans="2:6" x14ac:dyDescent="0.2">
      <c r="B78" s="1" t="s">
        <v>2951</v>
      </c>
    </row>
    <row r="80" spans="2:6" x14ac:dyDescent="0.2">
      <c r="B80" s="1" t="s">
        <v>2180</v>
      </c>
      <c r="E80" s="1">
        <f>+D73</f>
        <v>38</v>
      </c>
    </row>
    <row r="81" spans="2:6" x14ac:dyDescent="0.2">
      <c r="C81" s="1" t="s">
        <v>2949</v>
      </c>
      <c r="F81" s="1">
        <f>+E80</f>
        <v>38</v>
      </c>
    </row>
    <row r="82" spans="2:6" x14ac:dyDescent="0.2">
      <c r="B82" s="1" t="s">
        <v>2950</v>
      </c>
    </row>
    <row r="85" spans="2:6" x14ac:dyDescent="0.2">
      <c r="B85" s="1" t="s">
        <v>943</v>
      </c>
    </row>
    <row r="86" spans="2:6" x14ac:dyDescent="0.2">
      <c r="B86" s="1" t="s">
        <v>2952</v>
      </c>
    </row>
    <row r="87" spans="2:6" x14ac:dyDescent="0.2">
      <c r="B87" s="1" t="s">
        <v>2953</v>
      </c>
    </row>
    <row r="88" spans="2:6" x14ac:dyDescent="0.2">
      <c r="B88" s="1" t="s">
        <v>2954</v>
      </c>
    </row>
    <row r="91" spans="2:6" x14ac:dyDescent="0.2">
      <c r="B91" s="1" t="s">
        <v>2955</v>
      </c>
    </row>
    <row r="93" spans="2:6" x14ac:dyDescent="0.2">
      <c r="B93" s="1" t="s">
        <v>2956</v>
      </c>
    </row>
    <row r="94" spans="2:6" x14ac:dyDescent="0.2">
      <c r="B94" s="1" t="s">
        <v>2957</v>
      </c>
    </row>
    <row r="95" spans="2:6" x14ac:dyDescent="0.2">
      <c r="B95" s="1" t="s">
        <v>2958</v>
      </c>
    </row>
    <row r="98" spans="2:4" x14ac:dyDescent="0.2">
      <c r="B98" s="1" t="s">
        <v>2959</v>
      </c>
    </row>
    <row r="99" spans="2:4" x14ac:dyDescent="0.2">
      <c r="B99" s="1" t="s">
        <v>2960</v>
      </c>
    </row>
    <row r="100" spans="2:4" x14ac:dyDescent="0.2">
      <c r="B100" s="1" t="s">
        <v>2961</v>
      </c>
    </row>
    <row r="103" spans="2:4" x14ac:dyDescent="0.2">
      <c r="B103" s="1" t="s">
        <v>49</v>
      </c>
    </row>
    <row r="104" spans="2:4" x14ac:dyDescent="0.2">
      <c r="B104" s="1" t="s">
        <v>2962</v>
      </c>
    </row>
    <row r="105" spans="2:4" x14ac:dyDescent="0.2">
      <c r="B105" s="3">
        <v>44834</v>
      </c>
    </row>
    <row r="107" spans="2:4" x14ac:dyDescent="0.2">
      <c r="B107" s="1" t="s">
        <v>2963</v>
      </c>
    </row>
    <row r="109" spans="2:4" x14ac:dyDescent="0.2">
      <c r="B109" s="1" t="s">
        <v>2964</v>
      </c>
      <c r="D109" s="89">
        <v>8900</v>
      </c>
    </row>
    <row r="110" spans="2:4" x14ac:dyDescent="0.2">
      <c r="B110" s="1" t="s">
        <v>1261</v>
      </c>
      <c r="C110" s="4">
        <v>0.4</v>
      </c>
      <c r="D110" s="89">
        <f>-C110*D118</f>
        <v>2208</v>
      </c>
    </row>
    <row r="111" spans="2:4" x14ac:dyDescent="0.2">
      <c r="B111" s="1" t="s">
        <v>1262</v>
      </c>
      <c r="C111" s="1">
        <v>200</v>
      </c>
    </row>
    <row r="112" spans="2:4" x14ac:dyDescent="0.2">
      <c r="B112" s="1" t="s">
        <v>1264</v>
      </c>
      <c r="C112" s="89">
        <v>1800</v>
      </c>
    </row>
    <row r="113" spans="2:6" x14ac:dyDescent="0.2">
      <c r="C113" s="89">
        <f>SUM(C111:C112)</f>
        <v>2000</v>
      </c>
    </row>
    <row r="114" spans="2:6" x14ac:dyDescent="0.2">
      <c r="B114" s="1" t="s">
        <v>2969</v>
      </c>
      <c r="C114" s="89"/>
    </row>
    <row r="115" spans="2:6" x14ac:dyDescent="0.2">
      <c r="B115" s="1" t="s">
        <v>2970</v>
      </c>
      <c r="C115" s="89">
        <v>600</v>
      </c>
    </row>
    <row r="116" spans="2:6" x14ac:dyDescent="0.2">
      <c r="B116" s="1" t="s">
        <v>2971</v>
      </c>
      <c r="C116" s="89">
        <v>-80</v>
      </c>
    </row>
    <row r="117" spans="2:6" x14ac:dyDescent="0.2">
      <c r="B117" s="1" t="s">
        <v>2972</v>
      </c>
      <c r="C117" s="89">
        <v>3000</v>
      </c>
    </row>
    <row r="118" spans="2:6" x14ac:dyDescent="0.2">
      <c r="C118" s="89">
        <f>SUM(C113:C117)</f>
        <v>5520</v>
      </c>
      <c r="D118" s="89">
        <f>-C118</f>
        <v>-5520</v>
      </c>
    </row>
    <row r="119" spans="2:6" x14ac:dyDescent="0.2">
      <c r="D119" s="89">
        <f>SUM(D109:D118)</f>
        <v>5588</v>
      </c>
    </row>
    <row r="120" spans="2:6" x14ac:dyDescent="0.2">
      <c r="B120" s="1" t="s">
        <v>1271</v>
      </c>
      <c r="E120" s="1">
        <f>+C111</f>
        <v>200</v>
      </c>
    </row>
    <row r="121" spans="2:6" x14ac:dyDescent="0.2">
      <c r="B121" s="1" t="s">
        <v>1108</v>
      </c>
      <c r="E121" s="1">
        <f>+C112</f>
        <v>1800</v>
      </c>
    </row>
    <row r="122" spans="2:6" x14ac:dyDescent="0.2">
      <c r="B122" s="1" t="s">
        <v>2513</v>
      </c>
      <c r="E122" s="89">
        <f>+D119</f>
        <v>5588</v>
      </c>
    </row>
    <row r="123" spans="2:6" x14ac:dyDescent="0.2">
      <c r="C123" s="1" t="s">
        <v>2965</v>
      </c>
      <c r="F123" s="89">
        <f>+D109</f>
        <v>8900</v>
      </c>
    </row>
    <row r="124" spans="2:6" x14ac:dyDescent="0.2">
      <c r="C124" s="1" t="s">
        <v>1276</v>
      </c>
      <c r="F124" s="89">
        <f>+D110</f>
        <v>2208</v>
      </c>
    </row>
    <row r="125" spans="2:6" x14ac:dyDescent="0.2">
      <c r="B125" s="1" t="s">
        <v>2966</v>
      </c>
    </row>
    <row r="128" spans="2:6" x14ac:dyDescent="0.2">
      <c r="B128" s="1" t="s">
        <v>2967</v>
      </c>
    </row>
    <row r="129" spans="2:6" x14ac:dyDescent="0.2">
      <c r="B129" s="1" t="s">
        <v>12</v>
      </c>
    </row>
    <row r="130" spans="2:6" x14ac:dyDescent="0.2">
      <c r="B130" s="1" t="s">
        <v>2968</v>
      </c>
      <c r="C130" s="1">
        <v>600</v>
      </c>
    </row>
    <row r="132" spans="2:6" x14ac:dyDescent="0.2">
      <c r="B132" s="1" t="s">
        <v>2973</v>
      </c>
    </row>
    <row r="133" spans="2:6" x14ac:dyDescent="0.2">
      <c r="B133" s="1" t="s">
        <v>2974</v>
      </c>
    </row>
    <row r="136" spans="2:6" x14ac:dyDescent="0.2">
      <c r="B136" s="1" t="s">
        <v>2336</v>
      </c>
      <c r="C136" s="1">
        <v>600</v>
      </c>
    </row>
    <row r="137" spans="2:6" x14ac:dyDescent="0.2">
      <c r="B137" s="1" t="s">
        <v>2975</v>
      </c>
      <c r="C137" s="1">
        <f>30*12</f>
        <v>360</v>
      </c>
      <c r="D137" s="1" t="s">
        <v>52</v>
      </c>
    </row>
    <row r="138" spans="2:6" x14ac:dyDescent="0.2">
      <c r="B138" s="1">
        <f>YEARFRAC(B105,C3)*12</f>
        <v>3</v>
      </c>
      <c r="C138" s="1">
        <f>+B138*C136/C137</f>
        <v>5</v>
      </c>
    </row>
    <row r="140" spans="2:6" x14ac:dyDescent="0.2">
      <c r="B140" s="1" t="s">
        <v>298</v>
      </c>
      <c r="E140" s="1">
        <f>+C138</f>
        <v>5</v>
      </c>
    </row>
    <row r="141" spans="2:6" x14ac:dyDescent="0.2">
      <c r="C141" s="1" t="s">
        <v>2976</v>
      </c>
      <c r="F141" s="1">
        <f>+E140</f>
        <v>5</v>
      </c>
    </row>
    <row r="142" spans="2:6" x14ac:dyDescent="0.2">
      <c r="B142" s="1" t="s">
        <v>2977</v>
      </c>
    </row>
    <row r="144" spans="2:6" x14ac:dyDescent="0.2">
      <c r="B144" s="1" t="s">
        <v>2998</v>
      </c>
    </row>
    <row r="145" spans="2:6" x14ac:dyDescent="0.2">
      <c r="B145" s="1" t="s">
        <v>1428</v>
      </c>
      <c r="E145" s="1">
        <f>0.4*E140</f>
        <v>2</v>
      </c>
    </row>
    <row r="146" spans="2:6" x14ac:dyDescent="0.2">
      <c r="C146" s="1" t="s">
        <v>2999</v>
      </c>
      <c r="F146" s="1">
        <f>+E145</f>
        <v>2</v>
      </c>
    </row>
    <row r="147" spans="2:6" x14ac:dyDescent="0.2">
      <c r="B147" s="1" t="s">
        <v>3000</v>
      </c>
    </row>
    <row r="149" spans="2:6" x14ac:dyDescent="0.2">
      <c r="B149" s="1" t="s">
        <v>3001</v>
      </c>
      <c r="E149" s="1">
        <v>80</v>
      </c>
    </row>
    <row r="150" spans="2:6" x14ac:dyDescent="0.2">
      <c r="C150" s="1" t="s">
        <v>1527</v>
      </c>
      <c r="F150" s="1">
        <v>80</v>
      </c>
    </row>
    <row r="151" spans="2:6" x14ac:dyDescent="0.2">
      <c r="B151" s="1" t="s">
        <v>3002</v>
      </c>
    </row>
    <row r="153" spans="2:6" x14ac:dyDescent="0.2">
      <c r="B153" s="1" t="s">
        <v>2493</v>
      </c>
      <c r="E153" s="1">
        <f>+E149*0.4</f>
        <v>32</v>
      </c>
    </row>
    <row r="155" spans="2:6" x14ac:dyDescent="0.2">
      <c r="B155" s="1" t="s">
        <v>2711</v>
      </c>
      <c r="E155" s="1">
        <f>+E153</f>
        <v>32</v>
      </c>
    </row>
    <row r="156" spans="2:6" x14ac:dyDescent="0.2">
      <c r="C156" s="1" t="s">
        <v>1276</v>
      </c>
      <c r="F156" s="1">
        <f>+E155</f>
        <v>32</v>
      </c>
    </row>
    <row r="157" spans="2:6" x14ac:dyDescent="0.2">
      <c r="B157" s="1" t="s">
        <v>3003</v>
      </c>
    </row>
    <row r="159" spans="2:6" x14ac:dyDescent="0.2">
      <c r="B159" s="1" t="s">
        <v>2516</v>
      </c>
    </row>
    <row r="160" spans="2:6" x14ac:dyDescent="0.2">
      <c r="B160" s="1" t="s">
        <v>2978</v>
      </c>
    </row>
    <row r="162" spans="2:6" x14ac:dyDescent="0.2">
      <c r="B162" s="1" t="s">
        <v>2979</v>
      </c>
    </row>
    <row r="163" spans="2:6" x14ac:dyDescent="0.2">
      <c r="B163" s="1" t="s">
        <v>2494</v>
      </c>
    </row>
    <row r="165" spans="2:6" x14ac:dyDescent="0.2">
      <c r="B165" s="1" t="s">
        <v>2980</v>
      </c>
    </row>
    <row r="166" spans="2:6" x14ac:dyDescent="0.2">
      <c r="B166" s="1" t="s">
        <v>2981</v>
      </c>
      <c r="D166" s="1">
        <v>280</v>
      </c>
    </row>
    <row r="167" spans="2:6" x14ac:dyDescent="0.2">
      <c r="B167" s="1" t="s">
        <v>2982</v>
      </c>
      <c r="C167" s="1" t="s">
        <v>2983</v>
      </c>
      <c r="D167" s="1">
        <f>+D166*3/12</f>
        <v>70</v>
      </c>
    </row>
    <row r="168" spans="2:6" x14ac:dyDescent="0.2">
      <c r="B168" s="1" t="s">
        <v>2984</v>
      </c>
      <c r="D168" s="1">
        <f>SUM(D167:D167)</f>
        <v>70</v>
      </c>
    </row>
    <row r="169" spans="2:6" x14ac:dyDescent="0.2">
      <c r="B169" s="1" t="s">
        <v>2493</v>
      </c>
      <c r="C169" s="4">
        <v>0.4</v>
      </c>
      <c r="D169" s="1">
        <f>+D168*C169</f>
        <v>28</v>
      </c>
    </row>
    <row r="171" spans="2:6" x14ac:dyDescent="0.2">
      <c r="B171" s="1" t="s">
        <v>2711</v>
      </c>
      <c r="E171" s="1">
        <f>+D169</f>
        <v>28</v>
      </c>
    </row>
    <row r="172" spans="2:6" x14ac:dyDescent="0.2">
      <c r="C172" s="1" t="s">
        <v>1276</v>
      </c>
      <c r="F172" s="1">
        <f>+E171</f>
        <v>28</v>
      </c>
    </row>
    <row r="173" spans="2:6" x14ac:dyDescent="0.2">
      <c r="B173" s="1" t="s">
        <v>2985</v>
      </c>
    </row>
    <row r="176" spans="2:6" x14ac:dyDescent="0.2">
      <c r="B176" s="1" t="s">
        <v>2713</v>
      </c>
    </row>
    <row r="178" spans="2:5" x14ac:dyDescent="0.2">
      <c r="B178" s="1" t="s">
        <v>2986</v>
      </c>
    </row>
    <row r="181" spans="2:5" x14ac:dyDescent="0.2">
      <c r="B181" s="1" t="s">
        <v>2987</v>
      </c>
    </row>
    <row r="183" spans="2:5" x14ac:dyDescent="0.2">
      <c r="B183" s="1" t="s">
        <v>34</v>
      </c>
      <c r="C183" s="3">
        <v>43831</v>
      </c>
      <c r="D183" s="1">
        <v>535</v>
      </c>
    </row>
    <row r="184" spans="2:5" x14ac:dyDescent="0.2">
      <c r="B184" s="1" t="s">
        <v>294</v>
      </c>
      <c r="D184" s="1">
        <f>10*12</f>
        <v>120</v>
      </c>
      <c r="E184" s="1" t="s">
        <v>52</v>
      </c>
    </row>
    <row r="185" spans="2:5" x14ac:dyDescent="0.2">
      <c r="B185" s="1" t="s">
        <v>2988</v>
      </c>
      <c r="C185" s="3">
        <v>44896</v>
      </c>
      <c r="D185" s="1">
        <v>35</v>
      </c>
    </row>
    <row r="186" spans="2:5" x14ac:dyDescent="0.2">
      <c r="B186" s="1" t="s">
        <v>35</v>
      </c>
      <c r="D186" s="89">
        <f>+D185*D183/D184</f>
        <v>156.04166666666666</v>
      </c>
    </row>
    <row r="187" spans="2:5" x14ac:dyDescent="0.2">
      <c r="B187" s="1" t="s">
        <v>302</v>
      </c>
      <c r="D187" s="89">
        <f>+D183-D186</f>
        <v>378.95833333333337</v>
      </c>
    </row>
    <row r="188" spans="2:5" x14ac:dyDescent="0.2">
      <c r="B188" s="1" t="s">
        <v>2989</v>
      </c>
      <c r="D188" s="1">
        <v>410</v>
      </c>
    </row>
    <row r="189" spans="2:5" x14ac:dyDescent="0.2">
      <c r="B189" s="1" t="s">
        <v>2990</v>
      </c>
      <c r="D189" s="89">
        <f>+D188-D187</f>
        <v>31.041666666666629</v>
      </c>
    </row>
    <row r="190" spans="2:5" x14ac:dyDescent="0.2">
      <c r="B190" s="1" t="s">
        <v>3005</v>
      </c>
      <c r="D190" s="89">
        <f>0.4*D189</f>
        <v>12.416666666666652</v>
      </c>
    </row>
    <row r="192" spans="2:5" x14ac:dyDescent="0.2">
      <c r="B192" s="1" t="s">
        <v>2991</v>
      </c>
      <c r="E192" s="89">
        <f>+D189</f>
        <v>31.041666666666629</v>
      </c>
    </row>
    <row r="193" spans="2:6" x14ac:dyDescent="0.2">
      <c r="B193" s="1" t="s">
        <v>3004</v>
      </c>
      <c r="E193" s="89">
        <f>-+D188+D183</f>
        <v>125</v>
      </c>
    </row>
    <row r="194" spans="2:6" x14ac:dyDescent="0.2">
      <c r="C194" s="1" t="s">
        <v>3006</v>
      </c>
      <c r="F194" s="89">
        <f>+E193+E192</f>
        <v>156.04166666666663</v>
      </c>
    </row>
    <row r="195" spans="2:6" x14ac:dyDescent="0.2">
      <c r="B195" s="1" t="s">
        <v>3007</v>
      </c>
    </row>
    <row r="197" spans="2:6" x14ac:dyDescent="0.2">
      <c r="B197" s="1" t="s">
        <v>3008</v>
      </c>
      <c r="E197" s="89">
        <f>+D190</f>
        <v>12.416666666666652</v>
      </c>
    </row>
    <row r="198" spans="2:6" x14ac:dyDescent="0.2">
      <c r="C198" s="1" t="s">
        <v>2999</v>
      </c>
      <c r="F198" s="89">
        <f>+E197</f>
        <v>12.416666666666652</v>
      </c>
    </row>
    <row r="199" spans="2:6" x14ac:dyDescent="0.2">
      <c r="B199" s="1" t="s">
        <v>3009</v>
      </c>
    </row>
    <row r="201" spans="2:6" x14ac:dyDescent="0.2">
      <c r="B201" s="1" t="s">
        <v>2992</v>
      </c>
    </row>
    <row r="202" spans="2:6" x14ac:dyDescent="0.2">
      <c r="B202" s="1" t="s">
        <v>213</v>
      </c>
      <c r="C202" s="1">
        <v>340</v>
      </c>
    </row>
    <row r="203" spans="2:6" x14ac:dyDescent="0.2">
      <c r="B203" s="1" t="s">
        <v>2993</v>
      </c>
      <c r="C203" s="4">
        <v>0.15</v>
      </c>
    </row>
    <row r="204" spans="2:6" x14ac:dyDescent="0.2">
      <c r="B204" s="1" t="s">
        <v>2994</v>
      </c>
      <c r="C204" s="1">
        <f>+C202*100/85</f>
        <v>400</v>
      </c>
    </row>
    <row r="205" spans="2:6" x14ac:dyDescent="0.2">
      <c r="B205" s="1" t="s">
        <v>2995</v>
      </c>
      <c r="C205" s="4">
        <v>1</v>
      </c>
    </row>
    <row r="206" spans="2:6" x14ac:dyDescent="0.2">
      <c r="C206" s="4"/>
    </row>
    <row r="207" spans="2:6" x14ac:dyDescent="0.2">
      <c r="B207" s="1" t="s">
        <v>743</v>
      </c>
      <c r="C207" s="4"/>
      <c r="D207" s="1">
        <f>+D184-D185</f>
        <v>85</v>
      </c>
    </row>
    <row r="208" spans="2:6" x14ac:dyDescent="0.2">
      <c r="B208" s="1" t="s">
        <v>3010</v>
      </c>
      <c r="C208" s="4"/>
      <c r="D208" s="89">
        <f>+D188*1/D207</f>
        <v>4.8235294117647056</v>
      </c>
    </row>
    <row r="209" spans="2:6" x14ac:dyDescent="0.2">
      <c r="B209" s="1" t="s">
        <v>3011</v>
      </c>
      <c r="C209" s="4"/>
      <c r="D209" s="89">
        <f>+D183*1/D184</f>
        <v>4.458333333333333</v>
      </c>
    </row>
    <row r="210" spans="2:6" x14ac:dyDescent="0.2">
      <c r="D210" s="418">
        <f>+D208-D209</f>
        <v>0.36519607843137258</v>
      </c>
    </row>
    <row r="211" spans="2:6" x14ac:dyDescent="0.2">
      <c r="D211" s="89"/>
    </row>
    <row r="212" spans="2:6" x14ac:dyDescent="0.2">
      <c r="B212" s="1" t="s">
        <v>3012</v>
      </c>
      <c r="D212" s="89"/>
      <c r="E212" s="418">
        <f>+D210</f>
        <v>0.36519607843137258</v>
      </c>
    </row>
    <row r="213" spans="2:6" x14ac:dyDescent="0.2">
      <c r="C213" s="1" t="s">
        <v>98</v>
      </c>
      <c r="D213" s="89"/>
      <c r="F213" s="418">
        <f>+E212</f>
        <v>0.36519607843137258</v>
      </c>
    </row>
    <row r="214" spans="2:6" x14ac:dyDescent="0.2">
      <c r="B214" s="1" t="s">
        <v>3013</v>
      </c>
      <c r="D214" s="89"/>
      <c r="F214" s="418"/>
    </row>
    <row r="215" spans="2:6" x14ac:dyDescent="0.2">
      <c r="D215" s="89"/>
      <c r="F215" s="418"/>
    </row>
    <row r="217" spans="2:6" x14ac:dyDescent="0.2">
      <c r="B217" s="1" t="s">
        <v>2606</v>
      </c>
      <c r="E217" s="1">
        <f>+C204</f>
        <v>400</v>
      </c>
    </row>
    <row r="218" spans="2:6" x14ac:dyDescent="0.2">
      <c r="B218" s="1" t="s">
        <v>2607</v>
      </c>
      <c r="F218" s="1">
        <f>+C204</f>
        <v>400</v>
      </c>
    </row>
    <row r="219" spans="2:6" x14ac:dyDescent="0.2">
      <c r="B219" s="1" t="s">
        <v>2590</v>
      </c>
      <c r="E219" s="1">
        <v>60</v>
      </c>
    </row>
    <row r="220" spans="2:6" x14ac:dyDescent="0.2">
      <c r="B220" s="1" t="s">
        <v>2608</v>
      </c>
      <c r="F220" s="1">
        <v>60</v>
      </c>
    </row>
    <row r="223" spans="2:6" x14ac:dyDescent="0.2">
      <c r="B223" s="1" t="s">
        <v>2511</v>
      </c>
      <c r="E223" s="1">
        <f>+E219*0.4</f>
        <v>24</v>
      </c>
    </row>
    <row r="224" spans="2:6" x14ac:dyDescent="0.2">
      <c r="C224" s="1" t="s">
        <v>2611</v>
      </c>
      <c r="F224" s="1">
        <f>+E223</f>
        <v>24</v>
      </c>
    </row>
    <row r="227" spans="2:6" x14ac:dyDescent="0.2">
      <c r="B227" s="1" t="s">
        <v>3017</v>
      </c>
    </row>
    <row r="228" spans="2:6" x14ac:dyDescent="0.2">
      <c r="B228" s="1" t="s">
        <v>3018</v>
      </c>
      <c r="D228" s="1">
        <v>50</v>
      </c>
    </row>
    <row r="230" spans="2:6" x14ac:dyDescent="0.2">
      <c r="B230" s="1" t="s">
        <v>3019</v>
      </c>
    </row>
    <row r="232" spans="2:6" x14ac:dyDescent="0.2">
      <c r="B232" s="1" t="s">
        <v>2786</v>
      </c>
      <c r="E232" s="1">
        <v>50</v>
      </c>
    </row>
    <row r="233" spans="2:6" x14ac:dyDescent="0.2">
      <c r="B233" s="1" t="s">
        <v>3020</v>
      </c>
      <c r="E233" s="1">
        <v>350</v>
      </c>
    </row>
    <row r="234" spans="2:6" x14ac:dyDescent="0.2">
      <c r="C234" s="1" t="s">
        <v>447</v>
      </c>
      <c r="F234" s="1">
        <v>400</v>
      </c>
    </row>
    <row r="235" spans="2:6" x14ac:dyDescent="0.2">
      <c r="B235" s="1" t="s">
        <v>3021</v>
      </c>
    </row>
    <row r="237" spans="2:6" x14ac:dyDescent="0.2">
      <c r="B237" s="1" t="s">
        <v>2996</v>
      </c>
    </row>
    <row r="238" spans="2:6" x14ac:dyDescent="0.2">
      <c r="B238" s="1">
        <v>150</v>
      </c>
      <c r="C238" s="3">
        <v>44926</v>
      </c>
    </row>
    <row r="239" spans="2:6" x14ac:dyDescent="0.2">
      <c r="C239" s="3"/>
    </row>
    <row r="240" spans="2:6" x14ac:dyDescent="0.2">
      <c r="B240" s="1" t="s">
        <v>2997</v>
      </c>
      <c r="E240" s="1">
        <f>150*0.4</f>
        <v>60</v>
      </c>
    </row>
    <row r="242" spans="2:7" x14ac:dyDescent="0.2">
      <c r="B242" s="1" t="s">
        <v>3014</v>
      </c>
      <c r="C242" s="3"/>
    </row>
    <row r="243" spans="2:7" x14ac:dyDescent="0.2">
      <c r="B243" s="1" t="s">
        <v>3015</v>
      </c>
      <c r="C243" s="3"/>
      <c r="E243" s="1">
        <v>90</v>
      </c>
    </row>
    <row r="244" spans="2:7" x14ac:dyDescent="0.2">
      <c r="B244" s="1" t="s">
        <v>2711</v>
      </c>
      <c r="E244" s="1">
        <f>+E240</f>
        <v>60</v>
      </c>
    </row>
    <row r="245" spans="2:7" x14ac:dyDescent="0.2">
      <c r="C245" s="3" t="s">
        <v>1105</v>
      </c>
      <c r="F245" s="1">
        <v>150</v>
      </c>
    </row>
    <row r="246" spans="2:7" x14ac:dyDescent="0.2">
      <c r="B246" s="1" t="s">
        <v>3016</v>
      </c>
      <c r="C246" s="3"/>
    </row>
    <row r="250" spans="2:7" x14ac:dyDescent="0.2">
      <c r="B250" s="1" t="s">
        <v>3022</v>
      </c>
      <c r="F250" s="1">
        <v>403</v>
      </c>
      <c r="G250" s="1" t="s">
        <v>3038</v>
      </c>
    </row>
    <row r="251" spans="2:7" x14ac:dyDescent="0.2">
      <c r="B251" s="1" t="s">
        <v>3023</v>
      </c>
      <c r="F251" s="6">
        <v>1362</v>
      </c>
      <c r="G251" s="1" t="s">
        <v>3038</v>
      </c>
    </row>
    <row r="252" spans="2:7" x14ac:dyDescent="0.2">
      <c r="B252" s="1" t="s">
        <v>3024</v>
      </c>
      <c r="F252" s="1">
        <v>60</v>
      </c>
      <c r="G252" s="1" t="s">
        <v>3039</v>
      </c>
    </row>
    <row r="253" spans="2:7" x14ac:dyDescent="0.2">
      <c r="B253" s="1" t="s">
        <v>3025</v>
      </c>
      <c r="F253" s="1">
        <v>45</v>
      </c>
      <c r="G253" s="1" t="s">
        <v>3039</v>
      </c>
    </row>
    <row r="254" spans="2:7" x14ac:dyDescent="0.2">
      <c r="B254" s="1" t="s">
        <v>3026</v>
      </c>
      <c r="F254" s="1">
        <v>5</v>
      </c>
      <c r="G254" s="1" t="s">
        <v>3038</v>
      </c>
    </row>
    <row r="255" spans="2:7" x14ac:dyDescent="0.2">
      <c r="B255" s="1" t="s">
        <v>3027</v>
      </c>
      <c r="F255" s="1">
        <v>2</v>
      </c>
      <c r="G255" s="1" t="s">
        <v>3039</v>
      </c>
    </row>
    <row r="256" spans="2:7" x14ac:dyDescent="0.2">
      <c r="B256" s="1" t="s">
        <v>3028</v>
      </c>
      <c r="F256" s="1">
        <v>80</v>
      </c>
      <c r="G256" s="1" t="s">
        <v>3039</v>
      </c>
    </row>
    <row r="257" spans="2:7" x14ac:dyDescent="0.2">
      <c r="B257" s="1" t="s">
        <v>3029</v>
      </c>
      <c r="F257" s="1">
        <v>32</v>
      </c>
      <c r="G257" s="1" t="s">
        <v>3038</v>
      </c>
    </row>
    <row r="258" spans="2:7" x14ac:dyDescent="0.2">
      <c r="B258" s="1" t="s">
        <v>3030</v>
      </c>
      <c r="F258" s="1">
        <v>28</v>
      </c>
      <c r="G258" s="1" t="s">
        <v>3038</v>
      </c>
    </row>
    <row r="259" spans="2:7" x14ac:dyDescent="0.2">
      <c r="B259" s="1" t="s">
        <v>3031</v>
      </c>
      <c r="F259" s="1">
        <v>31</v>
      </c>
      <c r="G259" s="1" t="s">
        <v>3038</v>
      </c>
    </row>
    <row r="260" spans="2:7" x14ac:dyDescent="0.2">
      <c r="B260" s="1" t="s">
        <v>3032</v>
      </c>
      <c r="F260" s="1">
        <v>12</v>
      </c>
      <c r="G260" s="1" t="s">
        <v>3039</v>
      </c>
    </row>
    <row r="261" spans="2:7" x14ac:dyDescent="0.2">
      <c r="B261" s="1" t="s">
        <v>3033</v>
      </c>
      <c r="F261" s="1">
        <v>1</v>
      </c>
      <c r="G261" s="1" t="s">
        <v>3039</v>
      </c>
    </row>
    <row r="262" spans="2:7" x14ac:dyDescent="0.2">
      <c r="B262" s="1" t="s">
        <v>3034</v>
      </c>
      <c r="F262" s="1">
        <v>400</v>
      </c>
      <c r="G262" s="1" t="s">
        <v>3038</v>
      </c>
    </row>
    <row r="263" spans="2:7" x14ac:dyDescent="0.2">
      <c r="B263" s="1" t="s">
        <v>3034</v>
      </c>
      <c r="F263" s="1">
        <v>400</v>
      </c>
      <c r="G263" s="1" t="s">
        <v>3039</v>
      </c>
    </row>
    <row r="264" spans="2:7" x14ac:dyDescent="0.2">
      <c r="B264" s="1" t="s">
        <v>3035</v>
      </c>
      <c r="F264" s="1">
        <v>60</v>
      </c>
      <c r="G264" s="1" t="s">
        <v>3038</v>
      </c>
    </row>
    <row r="265" spans="2:7" x14ac:dyDescent="0.2">
      <c r="B265" s="1" t="s">
        <v>3036</v>
      </c>
      <c r="F265" s="1">
        <v>24</v>
      </c>
      <c r="G265" s="1" t="s">
        <v>3039</v>
      </c>
    </row>
    <row r="266" spans="2:7" x14ac:dyDescent="0.2">
      <c r="B266" s="1" t="s">
        <v>3037</v>
      </c>
      <c r="F266" s="1">
        <v>90</v>
      </c>
      <c r="G266" s="1" t="s">
        <v>3038</v>
      </c>
    </row>
    <row r="267" spans="2:7" x14ac:dyDescent="0.2">
      <c r="F267" s="6">
        <v>1787</v>
      </c>
      <c r="G267" s="1" t="s">
        <v>3040</v>
      </c>
    </row>
    <row r="269" spans="2:7" x14ac:dyDescent="0.2">
      <c r="B269" s="1" t="s">
        <v>1108</v>
      </c>
      <c r="E269" s="6">
        <f>+F267</f>
        <v>1787</v>
      </c>
    </row>
    <row r="270" spans="2:7" x14ac:dyDescent="0.2">
      <c r="C270" s="1" t="s">
        <v>1946</v>
      </c>
      <c r="F270" s="6">
        <f>+E269</f>
        <v>1787</v>
      </c>
    </row>
    <row r="271" spans="2:7" x14ac:dyDescent="0.2">
      <c r="B271" s="1" t="s">
        <v>3041</v>
      </c>
    </row>
  </sheetData>
  <hyperlinks>
    <hyperlink ref="A1" location="Main!A1" display="Main" xr:uid="{EE3DFF37-1D03-4868-9C02-35B2ACC3D672}"/>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30168-ADE2-429C-BDB7-20CFAEB3FF19}">
  <sheetPr codeName="Sheet15"/>
  <dimension ref="A1:C38"/>
  <sheetViews>
    <sheetView zoomScaleNormal="100" workbookViewId="0"/>
  </sheetViews>
  <sheetFormatPr defaultRowHeight="12" x14ac:dyDescent="0.2"/>
  <cols>
    <col min="1" max="16384" width="9.140625" style="1"/>
  </cols>
  <sheetData>
    <row r="1" spans="1:3" ht="15" x14ac:dyDescent="0.25">
      <c r="A1" s="2" t="s">
        <v>0</v>
      </c>
    </row>
    <row r="2" spans="1:3" x14ac:dyDescent="0.2">
      <c r="B2" s="1" t="s">
        <v>648</v>
      </c>
    </row>
    <row r="3" spans="1:3" x14ac:dyDescent="0.2">
      <c r="B3" s="1" t="s">
        <v>649</v>
      </c>
    </row>
    <row r="4" spans="1:3" x14ac:dyDescent="0.2">
      <c r="B4" s="1" t="s">
        <v>650</v>
      </c>
    </row>
    <row r="6" spans="1:3" x14ac:dyDescent="0.2">
      <c r="B6" s="1" t="s">
        <v>662</v>
      </c>
    </row>
    <row r="7" spans="1:3" x14ac:dyDescent="0.2">
      <c r="B7" s="1" t="s">
        <v>663</v>
      </c>
    </row>
    <row r="8" spans="1:3" x14ac:dyDescent="0.2">
      <c r="B8" s="1" t="s">
        <v>664</v>
      </c>
    </row>
    <row r="9" spans="1:3" x14ac:dyDescent="0.2">
      <c r="B9" s="1" t="s">
        <v>665</v>
      </c>
    </row>
    <row r="11" spans="1:3" x14ac:dyDescent="0.2">
      <c r="B11" s="1" t="s">
        <v>666</v>
      </c>
    </row>
    <row r="13" spans="1:3" x14ac:dyDescent="0.2">
      <c r="B13" s="1" t="s">
        <v>667</v>
      </c>
    </row>
    <row r="14" spans="1:3" x14ac:dyDescent="0.2">
      <c r="B14" s="1" t="s">
        <v>668</v>
      </c>
      <c r="C14" s="1" t="s">
        <v>671</v>
      </c>
    </row>
    <row r="15" spans="1:3" x14ac:dyDescent="0.2">
      <c r="B15" s="1" t="s">
        <v>669</v>
      </c>
      <c r="C15" s="1" t="s">
        <v>672</v>
      </c>
    </row>
    <row r="16" spans="1:3" x14ac:dyDescent="0.2">
      <c r="B16" s="1" t="s">
        <v>670</v>
      </c>
      <c r="C16" s="1" t="s">
        <v>673</v>
      </c>
    </row>
    <row r="21" spans="2:3" x14ac:dyDescent="0.2">
      <c r="B21" s="1" t="s">
        <v>651</v>
      </c>
    </row>
    <row r="22" spans="2:3" x14ac:dyDescent="0.2">
      <c r="B22" s="1" t="s">
        <v>652</v>
      </c>
    </row>
    <row r="23" spans="2:3" x14ac:dyDescent="0.2">
      <c r="B23" s="1" t="s">
        <v>653</v>
      </c>
    </row>
    <row r="25" spans="2:3" x14ac:dyDescent="0.2">
      <c r="B25" s="1" t="s">
        <v>654</v>
      </c>
    </row>
    <row r="26" spans="2:3" x14ac:dyDescent="0.2">
      <c r="B26" s="1" t="s">
        <v>655</v>
      </c>
    </row>
    <row r="28" spans="2:3" x14ac:dyDescent="0.2">
      <c r="B28" s="1" t="s">
        <v>5</v>
      </c>
      <c r="C28" s="3">
        <v>44742</v>
      </c>
    </row>
    <row r="30" spans="2:3" x14ac:dyDescent="0.2">
      <c r="B30" s="1" t="s">
        <v>656</v>
      </c>
    </row>
    <row r="31" spans="2:3" x14ac:dyDescent="0.2">
      <c r="B31" s="1" t="s">
        <v>657</v>
      </c>
    </row>
    <row r="32" spans="2:3" x14ac:dyDescent="0.2">
      <c r="B32" s="1" t="s">
        <v>658</v>
      </c>
    </row>
    <row r="33" spans="2:2" x14ac:dyDescent="0.2">
      <c r="B33" s="1" t="s">
        <v>659</v>
      </c>
    </row>
    <row r="34" spans="2:2" x14ac:dyDescent="0.2">
      <c r="B34" s="1" t="s">
        <v>660</v>
      </c>
    </row>
    <row r="35" spans="2:2" x14ac:dyDescent="0.2">
      <c r="B35" s="1" t="s">
        <v>661</v>
      </c>
    </row>
    <row r="36" spans="2:2" x14ac:dyDescent="0.2">
      <c r="B36" s="1" t="s">
        <v>674</v>
      </c>
    </row>
    <row r="37" spans="2:2" x14ac:dyDescent="0.2">
      <c r="B37" s="1" t="s">
        <v>675</v>
      </c>
    </row>
    <row r="38" spans="2:2" x14ac:dyDescent="0.2">
      <c r="B38" s="1" t="s">
        <v>676</v>
      </c>
    </row>
  </sheetData>
  <hyperlinks>
    <hyperlink ref="A1" location="Main!A1" display="Main" xr:uid="{F3C42FB3-C00A-439B-B945-DE8D80A8497A}"/>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847C4-4046-40FC-885A-638FFA9AEBA9}">
  <dimension ref="A1:F157"/>
  <sheetViews>
    <sheetView zoomScale="160" zoomScaleNormal="160" workbookViewId="0"/>
  </sheetViews>
  <sheetFormatPr defaultRowHeight="12" x14ac:dyDescent="0.2"/>
  <cols>
    <col min="1" max="16384" width="9.140625" style="1"/>
  </cols>
  <sheetData>
    <row r="1" spans="1:5" ht="15" x14ac:dyDescent="0.25">
      <c r="A1" s="2" t="s">
        <v>0</v>
      </c>
    </row>
    <row r="2" spans="1:5" x14ac:dyDescent="0.2">
      <c r="B2" s="1" t="s">
        <v>2621</v>
      </c>
    </row>
    <row r="3" spans="1:5" x14ac:dyDescent="0.2">
      <c r="B3" s="1" t="s">
        <v>5</v>
      </c>
      <c r="C3" s="3">
        <v>44957</v>
      </c>
    </row>
    <row r="5" spans="1:5" x14ac:dyDescent="0.2">
      <c r="B5" s="1" t="s">
        <v>2622</v>
      </c>
      <c r="C5" s="1">
        <v>15954</v>
      </c>
    </row>
    <row r="8" spans="1:5" x14ac:dyDescent="0.2">
      <c r="C8" s="34" t="s">
        <v>2627</v>
      </c>
      <c r="D8" s="34"/>
      <c r="E8" s="1" t="s">
        <v>2626</v>
      </c>
    </row>
    <row r="9" spans="1:5" x14ac:dyDescent="0.2">
      <c r="C9" s="1" t="s">
        <v>2623</v>
      </c>
      <c r="D9" s="1" t="s">
        <v>2624</v>
      </c>
      <c r="E9" s="1" t="s">
        <v>2625</v>
      </c>
    </row>
    <row r="10" spans="1:5" x14ac:dyDescent="0.2">
      <c r="C10" s="4">
        <v>0.2</v>
      </c>
      <c r="D10" s="4">
        <v>0.1</v>
      </c>
      <c r="E10" s="4">
        <v>0.02</v>
      </c>
    </row>
    <row r="13" spans="1:5" x14ac:dyDescent="0.2">
      <c r="B13" s="1" t="s">
        <v>2623</v>
      </c>
    </row>
    <row r="16" spans="1:5" x14ac:dyDescent="0.2">
      <c r="B16" s="3">
        <v>43862</v>
      </c>
    </row>
    <row r="18" spans="2:6" x14ac:dyDescent="0.2">
      <c r="B18" s="1" t="s">
        <v>32</v>
      </c>
      <c r="D18" s="1">
        <v>16</v>
      </c>
    </row>
    <row r="19" spans="2:6" x14ac:dyDescent="0.2">
      <c r="B19" s="1" t="s">
        <v>302</v>
      </c>
      <c r="D19" s="1">
        <v>14</v>
      </c>
    </row>
    <row r="20" spans="2:6" x14ac:dyDescent="0.2">
      <c r="B20" s="1" t="s">
        <v>1431</v>
      </c>
      <c r="D20" s="1">
        <f>+D18-D19</f>
        <v>2</v>
      </c>
    </row>
    <row r="22" spans="2:6" x14ac:dyDescent="0.2">
      <c r="B22" s="1" t="s">
        <v>2655</v>
      </c>
      <c r="E22" s="1">
        <v>10</v>
      </c>
    </row>
    <row r="23" spans="2:6" x14ac:dyDescent="0.2">
      <c r="C23" s="1" t="s">
        <v>2656</v>
      </c>
      <c r="F23" s="1">
        <f>24-14</f>
        <v>10</v>
      </c>
    </row>
    <row r="24" spans="2:6" x14ac:dyDescent="0.2">
      <c r="C24" s="1" t="s">
        <v>2657</v>
      </c>
      <c r="F24" s="1">
        <f>+D20</f>
        <v>2</v>
      </c>
    </row>
    <row r="25" spans="2:6" x14ac:dyDescent="0.2">
      <c r="B25" s="1" t="s">
        <v>2658</v>
      </c>
    </row>
    <row r="27" spans="2:6" x14ac:dyDescent="0.2">
      <c r="B27" s="1" t="s">
        <v>127</v>
      </c>
      <c r="E27" s="89">
        <f>24/5*6/12</f>
        <v>2.4</v>
      </c>
      <c r="F27" s="89"/>
    </row>
    <row r="28" spans="2:6" x14ac:dyDescent="0.2">
      <c r="C28" s="1" t="s">
        <v>2659</v>
      </c>
      <c r="E28" s="89"/>
      <c r="F28" s="89">
        <f>+E27</f>
        <v>2.4</v>
      </c>
    </row>
    <row r="29" spans="2:6" x14ac:dyDescent="0.2">
      <c r="B29" s="1" t="s">
        <v>2660</v>
      </c>
    </row>
    <row r="34" spans="2:4" x14ac:dyDescent="0.2">
      <c r="B34" s="1" t="s">
        <v>2628</v>
      </c>
    </row>
    <row r="35" spans="2:4" x14ac:dyDescent="0.2">
      <c r="B35" s="3">
        <v>44957</v>
      </c>
    </row>
    <row r="38" spans="2:4" x14ac:dyDescent="0.2">
      <c r="B38" s="3">
        <v>44910</v>
      </c>
      <c r="C38" s="6">
        <v>25000</v>
      </c>
      <c r="D38" s="1" t="s">
        <v>2629</v>
      </c>
    </row>
    <row r="39" spans="2:4" x14ac:dyDescent="0.2">
      <c r="B39" s="3">
        <v>44910</v>
      </c>
      <c r="C39" s="6">
        <v>300</v>
      </c>
      <c r="D39" s="1" t="s">
        <v>2630</v>
      </c>
    </row>
    <row r="40" spans="2:4" x14ac:dyDescent="0.2">
      <c r="B40" s="3">
        <v>44915</v>
      </c>
      <c r="C40" s="6">
        <v>700</v>
      </c>
      <c r="D40" s="1" t="s">
        <v>2631</v>
      </c>
    </row>
    <row r="41" spans="2:4" x14ac:dyDescent="0.2">
      <c r="B41" s="3">
        <v>44927</v>
      </c>
      <c r="C41" s="6">
        <v>2000</v>
      </c>
      <c r="D41" s="1" t="s">
        <v>2632</v>
      </c>
    </row>
    <row r="42" spans="2:4" x14ac:dyDescent="0.2">
      <c r="B42" s="3">
        <v>44942</v>
      </c>
      <c r="C42" s="6">
        <v>2000</v>
      </c>
      <c r="D42" s="1" t="s">
        <v>2633</v>
      </c>
    </row>
    <row r="43" spans="2:4" x14ac:dyDescent="0.2">
      <c r="B43" s="3">
        <v>44957</v>
      </c>
      <c r="C43" s="6">
        <v>1000</v>
      </c>
      <c r="D43" s="1" t="s">
        <v>2634</v>
      </c>
    </row>
    <row r="44" spans="2:4" ht="12.75" thickBot="1" x14ac:dyDescent="0.25">
      <c r="C44" s="14">
        <f>SUM(C38:C43)</f>
        <v>31000</v>
      </c>
    </row>
    <row r="45" spans="2:4" ht="12.75" thickTop="1" x14ac:dyDescent="0.2"/>
    <row r="47" spans="2:4" x14ac:dyDescent="0.2">
      <c r="B47" s="1" t="s">
        <v>2635</v>
      </c>
    </row>
    <row r="48" spans="2:4" x14ac:dyDescent="0.2">
      <c r="B48" s="1" t="s">
        <v>2636</v>
      </c>
    </row>
    <row r="49" spans="2:6" x14ac:dyDescent="0.2">
      <c r="B49" s="1" t="s">
        <v>221</v>
      </c>
      <c r="E49" s="6">
        <f>+C43</f>
        <v>1000</v>
      </c>
    </row>
    <row r="50" spans="2:6" x14ac:dyDescent="0.2">
      <c r="C50" s="1" t="s">
        <v>2637</v>
      </c>
      <c r="F50" s="6">
        <f>+C43</f>
        <v>1000</v>
      </c>
    </row>
    <row r="53" spans="2:6" x14ac:dyDescent="0.2">
      <c r="B53" s="1" t="s">
        <v>2638</v>
      </c>
      <c r="E53" s="1">
        <v>1000</v>
      </c>
    </row>
    <row r="54" spans="2:6" x14ac:dyDescent="0.2">
      <c r="C54" s="1" t="s">
        <v>1895</v>
      </c>
      <c r="F54" s="1">
        <f>+E53</f>
        <v>1000</v>
      </c>
    </row>
    <row r="55" spans="2:6" x14ac:dyDescent="0.2">
      <c r="B55" s="1" t="s">
        <v>2639</v>
      </c>
    </row>
    <row r="58" spans="2:6" x14ac:dyDescent="0.2">
      <c r="D58" s="1" t="s">
        <v>2640</v>
      </c>
      <c r="E58" s="1" t="s">
        <v>2641</v>
      </c>
    </row>
    <row r="59" spans="2:6" x14ac:dyDescent="0.2">
      <c r="D59" s="11" t="s">
        <v>44</v>
      </c>
      <c r="E59" s="11" t="s">
        <v>44</v>
      </c>
    </row>
    <row r="60" spans="2:6" x14ac:dyDescent="0.2">
      <c r="B60" s="1" t="s">
        <v>34</v>
      </c>
      <c r="D60" s="89">
        <v>3000</v>
      </c>
      <c r="E60" s="89">
        <v>1800</v>
      </c>
    </row>
    <row r="61" spans="2:6" x14ac:dyDescent="0.2">
      <c r="B61" s="1" t="s">
        <v>2642</v>
      </c>
      <c r="C61" s="3">
        <v>43861</v>
      </c>
      <c r="D61" s="89">
        <v>4800</v>
      </c>
      <c r="E61" s="89">
        <v>2200</v>
      </c>
    </row>
    <row r="62" spans="2:6" x14ac:dyDescent="0.2">
      <c r="B62" s="1" t="s">
        <v>35</v>
      </c>
      <c r="C62" s="3">
        <v>44592</v>
      </c>
      <c r="D62" s="89">
        <v>240</v>
      </c>
      <c r="E62" s="89">
        <v>100</v>
      </c>
    </row>
    <row r="63" spans="2:6" x14ac:dyDescent="0.2">
      <c r="B63" s="1" t="s">
        <v>226</v>
      </c>
      <c r="C63" s="3">
        <v>44957</v>
      </c>
      <c r="D63" s="89">
        <v>120</v>
      </c>
      <c r="E63" s="89">
        <v>50</v>
      </c>
    </row>
    <row r="64" spans="2:6" x14ac:dyDescent="0.2">
      <c r="B64" s="1" t="s">
        <v>302</v>
      </c>
      <c r="C64" s="3">
        <v>44957</v>
      </c>
      <c r="D64" s="89">
        <f>+D61-D62-D63</f>
        <v>4440</v>
      </c>
      <c r="E64" s="89">
        <f>+E61-E62-E63</f>
        <v>2050</v>
      </c>
    </row>
    <row r="65" spans="2:6" x14ac:dyDescent="0.2">
      <c r="B65" s="1" t="s">
        <v>1265</v>
      </c>
      <c r="C65" s="3">
        <v>44592</v>
      </c>
      <c r="D65" s="89">
        <v>2280</v>
      </c>
      <c r="E65" s="89">
        <v>588</v>
      </c>
    </row>
    <row r="66" spans="2:6" x14ac:dyDescent="0.2">
      <c r="B66" s="1" t="s">
        <v>32</v>
      </c>
      <c r="C66" s="3">
        <v>44957</v>
      </c>
      <c r="D66" s="1">
        <v>3200</v>
      </c>
    </row>
    <row r="67" spans="2:6" x14ac:dyDescent="0.2">
      <c r="B67" s="1" t="s">
        <v>2643</v>
      </c>
      <c r="C67" s="3">
        <v>44890</v>
      </c>
      <c r="E67" s="1">
        <v>1900</v>
      </c>
      <c r="F67" s="1" t="s">
        <v>456</v>
      </c>
    </row>
    <row r="68" spans="2:6" x14ac:dyDescent="0.2">
      <c r="B68" s="1" t="s">
        <v>2644</v>
      </c>
      <c r="D68" s="89">
        <f>+D66-D64</f>
        <v>-1240</v>
      </c>
      <c r="E68" s="89">
        <f>+E67-E64</f>
        <v>-150</v>
      </c>
    </row>
    <row r="70" spans="2:6" x14ac:dyDescent="0.2">
      <c r="E70" s="89"/>
    </row>
    <row r="71" spans="2:6" x14ac:dyDescent="0.2">
      <c r="B71" s="1" t="s">
        <v>2640</v>
      </c>
      <c r="F71" s="89"/>
    </row>
    <row r="72" spans="2:6" x14ac:dyDescent="0.2">
      <c r="B72" s="1" t="s">
        <v>1394</v>
      </c>
      <c r="E72" s="89">
        <f>-D68</f>
        <v>1240</v>
      </c>
    </row>
    <row r="73" spans="2:6" x14ac:dyDescent="0.2">
      <c r="B73" s="1" t="s">
        <v>127</v>
      </c>
      <c r="E73" s="89">
        <f>+F74-E72</f>
        <v>360</v>
      </c>
    </row>
    <row r="74" spans="2:6" x14ac:dyDescent="0.2">
      <c r="C74" s="1" t="s">
        <v>2648</v>
      </c>
      <c r="F74" s="89">
        <f>+D61-D66</f>
        <v>1600</v>
      </c>
    </row>
    <row r="75" spans="2:6" x14ac:dyDescent="0.2">
      <c r="B75" s="1" t="s">
        <v>2645</v>
      </c>
    </row>
    <row r="78" spans="2:6" x14ac:dyDescent="0.2">
      <c r="B78" s="1" t="s">
        <v>2661</v>
      </c>
      <c r="D78" s="89">
        <f>+D63</f>
        <v>120</v>
      </c>
    </row>
    <row r="79" spans="2:6" x14ac:dyDescent="0.2">
      <c r="B79" s="1" t="s">
        <v>2662</v>
      </c>
      <c r="D79" s="1">
        <f>+D60/50</f>
        <v>60</v>
      </c>
    </row>
    <row r="80" spans="2:6" x14ac:dyDescent="0.2">
      <c r="D80" s="89">
        <f>+D78-D79</f>
        <v>60</v>
      </c>
    </row>
    <row r="82" spans="2:6" x14ac:dyDescent="0.2">
      <c r="B82" s="1" t="s">
        <v>1394</v>
      </c>
      <c r="E82" s="89">
        <f>+D80</f>
        <v>60</v>
      </c>
    </row>
    <row r="83" spans="2:6" x14ac:dyDescent="0.2">
      <c r="C83" s="1" t="s">
        <v>1105</v>
      </c>
      <c r="F83" s="89">
        <f>+E82</f>
        <v>60</v>
      </c>
    </row>
    <row r="84" spans="2:6" x14ac:dyDescent="0.2">
      <c r="B84" s="1" t="s">
        <v>2663</v>
      </c>
    </row>
    <row r="86" spans="2:6" x14ac:dyDescent="0.2">
      <c r="B86" s="1" t="s">
        <v>2641</v>
      </c>
    </row>
    <row r="87" spans="2:6" x14ac:dyDescent="0.2">
      <c r="B87" s="1" t="s">
        <v>2646</v>
      </c>
    </row>
    <row r="89" spans="2:6" x14ac:dyDescent="0.2">
      <c r="B89" s="1" t="s">
        <v>2664</v>
      </c>
    </row>
    <row r="90" spans="2:6" x14ac:dyDescent="0.2">
      <c r="B90" s="1">
        <f>3/12*E63</f>
        <v>12.5</v>
      </c>
    </row>
    <row r="91" spans="2:6" x14ac:dyDescent="0.2">
      <c r="B91" s="1" t="s">
        <v>959</v>
      </c>
      <c r="E91" s="1">
        <f>+B90</f>
        <v>12.5</v>
      </c>
    </row>
    <row r="92" spans="2:6" x14ac:dyDescent="0.2">
      <c r="C92" s="1" t="s">
        <v>2665</v>
      </c>
      <c r="F92" s="1">
        <f>+E91</f>
        <v>12.5</v>
      </c>
    </row>
    <row r="93" spans="2:6" x14ac:dyDescent="0.2">
      <c r="B93" s="1" t="s">
        <v>2666</v>
      </c>
    </row>
    <row r="95" spans="2:6" x14ac:dyDescent="0.2">
      <c r="B95" s="1" t="s">
        <v>2667</v>
      </c>
      <c r="E95" s="89">
        <f>+E63-E91</f>
        <v>37.5</v>
      </c>
    </row>
    <row r="96" spans="2:6" x14ac:dyDescent="0.2">
      <c r="B96" s="1" t="s">
        <v>2668</v>
      </c>
      <c r="E96" s="1">
        <f>+E60/600*9</f>
        <v>27</v>
      </c>
    </row>
    <row r="97" spans="2:6" x14ac:dyDescent="0.2">
      <c r="B97" s="1" t="s">
        <v>2669</v>
      </c>
      <c r="E97" s="89">
        <f>+E95-E96</f>
        <v>10.5</v>
      </c>
    </row>
    <row r="99" spans="2:6" x14ac:dyDescent="0.2">
      <c r="B99" s="1" t="s">
        <v>2670</v>
      </c>
      <c r="E99" s="89">
        <f>+E97</f>
        <v>10.5</v>
      </c>
    </row>
    <row r="100" spans="2:6" x14ac:dyDescent="0.2">
      <c r="C100" s="1" t="s">
        <v>2671</v>
      </c>
      <c r="F100" s="89">
        <f>+E99</f>
        <v>10.5</v>
      </c>
    </row>
    <row r="101" spans="2:6" x14ac:dyDescent="0.2">
      <c r="B101" s="1" t="s">
        <v>2672</v>
      </c>
    </row>
    <row r="103" spans="2:6" x14ac:dyDescent="0.2">
      <c r="B103" s="1" t="s">
        <v>302</v>
      </c>
      <c r="D103" s="89">
        <f>+E64</f>
        <v>2050</v>
      </c>
      <c r="E103" s="89"/>
      <c r="F103" s="89"/>
    </row>
    <row r="104" spans="2:6" x14ac:dyDescent="0.2">
      <c r="B104" s="1" t="s">
        <v>32</v>
      </c>
      <c r="D104" s="89">
        <f>+E67</f>
        <v>1900</v>
      </c>
      <c r="E104" s="89"/>
      <c r="F104" s="89"/>
    </row>
    <row r="105" spans="2:6" x14ac:dyDescent="0.2">
      <c r="D105" s="89"/>
      <c r="E105" s="89"/>
      <c r="F105" s="89"/>
    </row>
    <row r="106" spans="2:6" x14ac:dyDescent="0.2">
      <c r="B106" s="1" t="s">
        <v>47</v>
      </c>
      <c r="D106" s="89"/>
      <c r="E106" s="89">
        <f>+D104</f>
        <v>1900</v>
      </c>
      <c r="F106" s="89"/>
    </row>
    <row r="107" spans="2:6" x14ac:dyDescent="0.2">
      <c r="B107" s="1" t="s">
        <v>1394</v>
      </c>
      <c r="D107" s="89"/>
      <c r="E107" s="89">
        <f>+E65-F100</f>
        <v>577.5</v>
      </c>
      <c r="F107" s="89"/>
    </row>
    <row r="108" spans="2:6" x14ac:dyDescent="0.2">
      <c r="B108" s="1" t="s">
        <v>2673</v>
      </c>
      <c r="D108" s="89"/>
      <c r="E108" s="89">
        <f>-+E68-E91</f>
        <v>137.5</v>
      </c>
      <c r="F108" s="89"/>
    </row>
    <row r="109" spans="2:6" x14ac:dyDescent="0.2">
      <c r="B109" s="1" t="s">
        <v>2647</v>
      </c>
      <c r="D109" s="89"/>
      <c r="E109" s="89">
        <f>-+E68+F92</f>
        <v>162.5</v>
      </c>
      <c r="F109" s="89"/>
    </row>
    <row r="110" spans="2:6" x14ac:dyDescent="0.2">
      <c r="C110" s="1" t="s">
        <v>1105</v>
      </c>
      <c r="D110" s="89"/>
      <c r="E110" s="89"/>
      <c r="F110" s="89">
        <f>+E107</f>
        <v>577.5</v>
      </c>
    </row>
    <row r="111" spans="2:6" x14ac:dyDescent="0.2">
      <c r="C111" s="1" t="s">
        <v>2648</v>
      </c>
      <c r="D111" s="89"/>
      <c r="E111" s="89"/>
      <c r="F111" s="89">
        <f>+D103</f>
        <v>2050</v>
      </c>
    </row>
    <row r="112" spans="2:6" x14ac:dyDescent="0.2">
      <c r="B112" s="1" t="s">
        <v>2649</v>
      </c>
    </row>
    <row r="115" spans="2:6" x14ac:dyDescent="0.2">
      <c r="B115" s="1" t="s">
        <v>2650</v>
      </c>
    </row>
    <row r="116" spans="2:6" x14ac:dyDescent="0.2">
      <c r="B116" s="1" t="s">
        <v>1330</v>
      </c>
      <c r="C116" s="286">
        <v>0.5</v>
      </c>
    </row>
    <row r="118" spans="2:6" x14ac:dyDescent="0.2">
      <c r="B118" s="1" t="s">
        <v>2396</v>
      </c>
    </row>
    <row r="120" spans="2:6" x14ac:dyDescent="0.2">
      <c r="B120" s="1" t="s">
        <v>2397</v>
      </c>
    </row>
    <row r="121" spans="2:6" x14ac:dyDescent="0.2">
      <c r="B121" s="1" t="s">
        <v>2398</v>
      </c>
      <c r="C121" s="1">
        <v>10000</v>
      </c>
    </row>
    <row r="122" spans="2:6" x14ac:dyDescent="0.2">
      <c r="B122" s="1" t="s">
        <v>2399</v>
      </c>
      <c r="C122" s="1">
        <v>0.5</v>
      </c>
    </row>
    <row r="123" spans="2:6" x14ac:dyDescent="0.2">
      <c r="B123" s="1" t="s">
        <v>2400</v>
      </c>
      <c r="C123" s="1">
        <v>0.75</v>
      </c>
    </row>
    <row r="124" spans="2:6" x14ac:dyDescent="0.2">
      <c r="B124" s="1" t="s">
        <v>2401</v>
      </c>
      <c r="C124" s="1">
        <v>0</v>
      </c>
    </row>
    <row r="126" spans="2:6" x14ac:dyDescent="0.2">
      <c r="B126" s="1" t="s">
        <v>2651</v>
      </c>
      <c r="E126" s="89">
        <v>7500</v>
      </c>
      <c r="F126" s="89"/>
    </row>
    <row r="127" spans="2:6" x14ac:dyDescent="0.2">
      <c r="C127" s="1" t="s">
        <v>1855</v>
      </c>
      <c r="E127" s="89"/>
      <c r="F127" s="89">
        <v>5000</v>
      </c>
    </row>
    <row r="128" spans="2:6" x14ac:dyDescent="0.2">
      <c r="C128" s="1" t="s">
        <v>1854</v>
      </c>
      <c r="E128" s="89"/>
      <c r="F128" s="89">
        <v>2500</v>
      </c>
    </row>
    <row r="130" spans="2:6" x14ac:dyDescent="0.2">
      <c r="B130" s="1" t="s">
        <v>2652</v>
      </c>
    </row>
    <row r="132" spans="2:6" x14ac:dyDescent="0.2">
      <c r="B132" s="1" t="s">
        <v>1337</v>
      </c>
      <c r="D132" s="89">
        <f>+D133/0.5</f>
        <v>12000</v>
      </c>
      <c r="E132" s="89">
        <f t="shared" ref="E132:F132" si="0">+E133/0.5</f>
        <v>10000</v>
      </c>
      <c r="F132" s="89">
        <f t="shared" si="0"/>
        <v>22000</v>
      </c>
    </row>
    <row r="133" spans="2:6" x14ac:dyDescent="0.2">
      <c r="B133" s="1" t="s">
        <v>1262</v>
      </c>
      <c r="D133" s="89">
        <v>6000</v>
      </c>
      <c r="E133" s="89">
        <f>+F127</f>
        <v>5000</v>
      </c>
      <c r="F133" s="89">
        <f>SUM(D133:E133)</f>
        <v>11000</v>
      </c>
    </row>
    <row r="134" spans="2:6" x14ac:dyDescent="0.2">
      <c r="B134" s="1" t="s">
        <v>1263</v>
      </c>
      <c r="D134" s="89"/>
      <c r="E134" s="89">
        <f>+F128</f>
        <v>2500</v>
      </c>
    </row>
    <row r="135" spans="2:6" x14ac:dyDescent="0.2">
      <c r="B135" s="1" t="s">
        <v>1264</v>
      </c>
      <c r="D135" s="89">
        <v>22500</v>
      </c>
    </row>
    <row r="136" spans="2:6" x14ac:dyDescent="0.2">
      <c r="B136" s="1" t="s">
        <v>1265</v>
      </c>
      <c r="D136" s="89">
        <v>2868</v>
      </c>
    </row>
    <row r="137" spans="2:6" x14ac:dyDescent="0.2">
      <c r="B137" s="1" t="s">
        <v>1602</v>
      </c>
      <c r="D137" s="89">
        <f>SUM(D133:D136)</f>
        <v>31368</v>
      </c>
    </row>
    <row r="140" spans="2:6" x14ac:dyDescent="0.2">
      <c r="B140" s="1" t="s">
        <v>2653</v>
      </c>
      <c r="D140" s="1">
        <f>0.1*F132</f>
        <v>2200</v>
      </c>
    </row>
    <row r="141" spans="2:6" x14ac:dyDescent="0.2">
      <c r="B141" s="1" t="s">
        <v>2654</v>
      </c>
    </row>
    <row r="143" spans="2:6" x14ac:dyDescent="0.2">
      <c r="B143" s="1" t="s">
        <v>2366</v>
      </c>
      <c r="E143" s="1">
        <f>+D140</f>
        <v>2200</v>
      </c>
    </row>
    <row r="144" spans="2:6" x14ac:dyDescent="0.2">
      <c r="C144" s="1" t="s">
        <v>2674</v>
      </c>
      <c r="F144" s="1">
        <f>+E143</f>
        <v>2200</v>
      </c>
    </row>
    <row r="145" spans="2:2" x14ac:dyDescent="0.2">
      <c r="B145" s="1" t="s">
        <v>2675</v>
      </c>
    </row>
    <row r="147" spans="2:2" x14ac:dyDescent="0.2">
      <c r="B147" s="1" t="s">
        <v>2676</v>
      </c>
    </row>
    <row r="150" spans="2:2" x14ac:dyDescent="0.2">
      <c r="B150" s="1" t="s">
        <v>2677</v>
      </c>
    </row>
    <row r="151" spans="2:2" x14ac:dyDescent="0.2">
      <c r="B151" s="1" t="s">
        <v>2678</v>
      </c>
    </row>
    <row r="152" spans="2:2" x14ac:dyDescent="0.2">
      <c r="B152" s="1" t="s">
        <v>2679</v>
      </c>
    </row>
    <row r="153" spans="2:2" x14ac:dyDescent="0.2">
      <c r="B153" s="1" t="s">
        <v>2680</v>
      </c>
    </row>
    <row r="154" spans="2:2" x14ac:dyDescent="0.2">
      <c r="B154" s="1" t="s">
        <v>2681</v>
      </c>
    </row>
    <row r="155" spans="2:2" x14ac:dyDescent="0.2">
      <c r="B155" s="1" t="s">
        <v>2682</v>
      </c>
    </row>
    <row r="156" spans="2:2" x14ac:dyDescent="0.2">
      <c r="B156" s="1" t="s">
        <v>2683</v>
      </c>
    </row>
    <row r="157" spans="2:2" x14ac:dyDescent="0.2">
      <c r="B157" s="1" t="s">
        <v>2684</v>
      </c>
    </row>
  </sheetData>
  <hyperlinks>
    <hyperlink ref="A1" location="Main!A1" display="Main" xr:uid="{299BDC39-69FE-465F-9BD3-3202F4777593}"/>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27B7C-2426-4E2F-85D9-816756F7FF9C}">
  <sheetPr codeName="Sheet16"/>
  <dimension ref="A1:G104"/>
  <sheetViews>
    <sheetView topLeftCell="A22" zoomScale="145" zoomScaleNormal="145" workbookViewId="0">
      <selection activeCell="B40" sqref="B40"/>
    </sheetView>
  </sheetViews>
  <sheetFormatPr defaultRowHeight="12" x14ac:dyDescent="0.2"/>
  <cols>
    <col min="1" max="16384" width="9.140625" style="1"/>
  </cols>
  <sheetData>
    <row r="1" spans="1:3" ht="15" x14ac:dyDescent="0.25">
      <c r="A1" s="2" t="s">
        <v>0</v>
      </c>
    </row>
    <row r="2" spans="1:3" x14ac:dyDescent="0.2">
      <c r="B2" s="1" t="s">
        <v>684</v>
      </c>
    </row>
    <row r="3" spans="1:3" x14ac:dyDescent="0.2">
      <c r="B3" s="1" t="s">
        <v>685</v>
      </c>
    </row>
    <row r="5" spans="1:3" x14ac:dyDescent="0.2">
      <c r="B5" s="88" t="s">
        <v>1486</v>
      </c>
    </row>
    <row r="7" spans="1:3" x14ac:dyDescent="0.2">
      <c r="B7" s="1" t="s">
        <v>1482</v>
      </c>
    </row>
    <row r="8" spans="1:3" x14ac:dyDescent="0.2">
      <c r="B8" s="1" t="s">
        <v>1366</v>
      </c>
    </row>
    <row r="9" spans="1:3" x14ac:dyDescent="0.2">
      <c r="B9" s="1" t="s">
        <v>1483</v>
      </c>
    </row>
    <row r="10" spans="1:3" x14ac:dyDescent="0.2">
      <c r="B10" s="1" t="s">
        <v>1366</v>
      </c>
    </row>
    <row r="11" spans="1:3" x14ac:dyDescent="0.2">
      <c r="B11" s="88" t="s">
        <v>1481</v>
      </c>
    </row>
    <row r="12" spans="1:3" x14ac:dyDescent="0.2">
      <c r="B12" s="1" t="s">
        <v>1370</v>
      </c>
    </row>
    <row r="15" spans="1:3" x14ac:dyDescent="0.2">
      <c r="B15" s="1" t="s">
        <v>686</v>
      </c>
      <c r="C15" s="3">
        <v>44834</v>
      </c>
    </row>
    <row r="16" spans="1:3" x14ac:dyDescent="0.2">
      <c r="B16" s="1" t="s">
        <v>687</v>
      </c>
      <c r="C16" s="6">
        <v>240000</v>
      </c>
    </row>
    <row r="17" spans="2:7" x14ac:dyDescent="0.2">
      <c r="B17" s="1" t="s">
        <v>421</v>
      </c>
      <c r="C17" s="3">
        <v>44895</v>
      </c>
    </row>
    <row r="18" spans="2:7" x14ac:dyDescent="0.2">
      <c r="B18" s="1" t="s">
        <v>688</v>
      </c>
      <c r="C18" s="3">
        <v>45626</v>
      </c>
    </row>
    <row r="19" spans="2:7" x14ac:dyDescent="0.2">
      <c r="B19" s="1" t="s">
        <v>689</v>
      </c>
      <c r="C19" s="4">
        <v>0.04</v>
      </c>
    </row>
    <row r="20" spans="2:7" x14ac:dyDescent="0.2">
      <c r="B20" s="1" t="s">
        <v>690</v>
      </c>
      <c r="C20" s="6">
        <f>+C16/((1+C19)^2)</f>
        <v>221893.49112426033</v>
      </c>
      <c r="D20" s="6"/>
      <c r="E20" s="6"/>
      <c r="F20" s="6"/>
      <c r="G20" s="6"/>
    </row>
    <row r="21" spans="2:7" x14ac:dyDescent="0.2">
      <c r="C21" s="6"/>
      <c r="D21" s="6"/>
      <c r="E21" s="6"/>
      <c r="F21" s="6"/>
      <c r="G21" s="6"/>
    </row>
    <row r="22" spans="2:7" x14ac:dyDescent="0.2">
      <c r="B22" s="1" t="s">
        <v>691</v>
      </c>
      <c r="C22" s="6"/>
      <c r="D22" s="6"/>
      <c r="E22" s="6">
        <f>C16-C20</f>
        <v>18106.508875739673</v>
      </c>
      <c r="F22" s="6"/>
      <c r="G22" s="6"/>
    </row>
    <row r="23" spans="2:7" x14ac:dyDescent="0.2">
      <c r="C23" s="6" t="s">
        <v>430</v>
      </c>
      <c r="D23" s="6"/>
      <c r="E23" s="6"/>
      <c r="F23" s="6">
        <f>+E22</f>
        <v>18106.508875739673</v>
      </c>
      <c r="G23" s="6"/>
    </row>
    <row r="24" spans="2:7" x14ac:dyDescent="0.2">
      <c r="B24" s="1" t="s">
        <v>692</v>
      </c>
    </row>
    <row r="26" spans="2:7" x14ac:dyDescent="0.2">
      <c r="B26" s="1" t="s">
        <v>445</v>
      </c>
      <c r="E26" s="6">
        <f>+C19*C20*1/12</f>
        <v>739.64497041420111</v>
      </c>
      <c r="F26" s="6"/>
    </row>
    <row r="27" spans="2:7" x14ac:dyDescent="0.2">
      <c r="C27" s="1" t="s">
        <v>717</v>
      </c>
      <c r="E27" s="6"/>
      <c r="F27" s="6">
        <f>+E26</f>
        <v>739.64497041420111</v>
      </c>
    </row>
    <row r="28" spans="2:7" x14ac:dyDescent="0.2">
      <c r="B28" s="1" t="s">
        <v>718</v>
      </c>
    </row>
    <row r="30" spans="2:7" x14ac:dyDescent="0.2">
      <c r="B30" s="88" t="s">
        <v>1484</v>
      </c>
    </row>
    <row r="31" spans="2:7" x14ac:dyDescent="0.2">
      <c r="B31" s="1" t="s">
        <v>1487</v>
      </c>
    </row>
    <row r="32" spans="2:7" x14ac:dyDescent="0.2">
      <c r="B32" s="1" t="s">
        <v>1366</v>
      </c>
    </row>
    <row r="33" spans="2:4" x14ac:dyDescent="0.2">
      <c r="B33" s="1" t="s">
        <v>1488</v>
      </c>
    </row>
    <row r="34" spans="2:4" x14ac:dyDescent="0.2">
      <c r="B34" s="1" t="s">
        <v>1370</v>
      </c>
    </row>
    <row r="35" spans="2:4" x14ac:dyDescent="0.2">
      <c r="B35" s="1" t="s">
        <v>1489</v>
      </c>
    </row>
    <row r="36" spans="2:4" x14ac:dyDescent="0.2">
      <c r="B36" s="1" t="s">
        <v>1366</v>
      </c>
    </row>
    <row r="37" spans="2:4" x14ac:dyDescent="0.2">
      <c r="B37" s="1" t="s">
        <v>1490</v>
      </c>
    </row>
    <row r="38" spans="2:4" x14ac:dyDescent="0.2">
      <c r="B38" s="1" t="s">
        <v>1366</v>
      </c>
    </row>
    <row r="39" spans="2:4" x14ac:dyDescent="0.2">
      <c r="B39" s="1" t="s">
        <v>1485</v>
      </c>
    </row>
    <row r="40" spans="2:4" x14ac:dyDescent="0.2">
      <c r="B40" s="1" t="s">
        <v>1366</v>
      </c>
    </row>
    <row r="42" spans="2:4" x14ac:dyDescent="0.2">
      <c r="B42" s="1" t="s">
        <v>1484</v>
      </c>
    </row>
    <row r="43" spans="2:4" x14ac:dyDescent="0.2">
      <c r="B43" s="1" t="s">
        <v>437</v>
      </c>
      <c r="C43" s="3">
        <v>44896</v>
      </c>
    </row>
    <row r="44" spans="2:4" x14ac:dyDescent="0.2">
      <c r="B44" s="1" t="s">
        <v>693</v>
      </c>
      <c r="C44" s="1">
        <v>2200</v>
      </c>
      <c r="D44" s="1" t="s">
        <v>694</v>
      </c>
    </row>
    <row r="45" spans="2:4" x14ac:dyDescent="0.2">
      <c r="B45" s="1" t="s">
        <v>695</v>
      </c>
      <c r="C45" s="1">
        <v>55</v>
      </c>
      <c r="D45" s="1" t="s">
        <v>244</v>
      </c>
    </row>
    <row r="46" spans="2:4" x14ac:dyDescent="0.2">
      <c r="B46" s="1" t="s">
        <v>259</v>
      </c>
      <c r="C46" s="1">
        <v>5</v>
      </c>
    </row>
    <row r="47" spans="2:4" x14ac:dyDescent="0.2">
      <c r="B47" s="1" t="s">
        <v>696</v>
      </c>
      <c r="C47" s="1">
        <v>1800</v>
      </c>
      <c r="D47" s="1" t="s">
        <v>697</v>
      </c>
    </row>
    <row r="48" spans="2:4" x14ac:dyDescent="0.2">
      <c r="B48" s="1" t="s">
        <v>698</v>
      </c>
    </row>
    <row r="51" spans="2:6" x14ac:dyDescent="0.2">
      <c r="B51" s="1" t="s">
        <v>450</v>
      </c>
      <c r="E51" s="6">
        <f>+F52</f>
        <v>2000</v>
      </c>
      <c r="F51" s="6"/>
    </row>
    <row r="52" spans="2:6" x14ac:dyDescent="0.2">
      <c r="C52" s="1" t="s">
        <v>699</v>
      </c>
      <c r="E52" s="6"/>
      <c r="F52" s="6">
        <f>+C46*(C44-C47)</f>
        <v>2000</v>
      </c>
    </row>
    <row r="53" spans="2:6" x14ac:dyDescent="0.2">
      <c r="B53" s="1" t="s">
        <v>700</v>
      </c>
      <c r="E53" s="6"/>
      <c r="F53" s="6"/>
    </row>
    <row r="54" spans="2:6" x14ac:dyDescent="0.2">
      <c r="E54" s="6"/>
      <c r="F54" s="6"/>
    </row>
    <row r="55" spans="2:6" x14ac:dyDescent="0.2">
      <c r="B55" s="1" t="s">
        <v>701</v>
      </c>
      <c r="E55" s="6"/>
      <c r="F55" s="6"/>
    </row>
    <row r="56" spans="2:6" x14ac:dyDescent="0.2">
      <c r="B56" s="1" t="s">
        <v>703</v>
      </c>
      <c r="E56" s="6"/>
      <c r="F56" s="6"/>
    </row>
    <row r="57" spans="2:6" x14ac:dyDescent="0.2">
      <c r="E57" s="6"/>
      <c r="F57" s="6"/>
    </row>
    <row r="58" spans="2:6" x14ac:dyDescent="0.2">
      <c r="B58" s="1" t="s">
        <v>445</v>
      </c>
      <c r="E58" s="6">
        <f>5*C44</f>
        <v>11000</v>
      </c>
      <c r="F58" s="6"/>
    </row>
    <row r="59" spans="2:6" x14ac:dyDescent="0.2">
      <c r="C59" s="1" t="s">
        <v>429</v>
      </c>
      <c r="E59" s="6"/>
      <c r="F59" s="6">
        <f>+E58</f>
        <v>11000</v>
      </c>
    </row>
    <row r="60" spans="2:6" x14ac:dyDescent="0.2">
      <c r="B60" s="1" t="s">
        <v>702</v>
      </c>
      <c r="E60" s="6"/>
      <c r="F60" s="6"/>
    </row>
    <row r="62" spans="2:6" x14ac:dyDescent="0.2">
      <c r="B62" s="88" t="s">
        <v>704</v>
      </c>
    </row>
    <row r="63" spans="2:6" x14ac:dyDescent="0.2">
      <c r="B63" s="1" t="s">
        <v>1476</v>
      </c>
    </row>
    <row r="64" spans="2:6" x14ac:dyDescent="0.2">
      <c r="B64" s="1" t="s">
        <v>1366</v>
      </c>
    </row>
    <row r="65" spans="2:6" x14ac:dyDescent="0.2">
      <c r="B65" s="1" t="s">
        <v>1477</v>
      </c>
    </row>
    <row r="66" spans="2:6" x14ac:dyDescent="0.2">
      <c r="B66" s="1" t="s">
        <v>1370</v>
      </c>
    </row>
    <row r="67" spans="2:6" x14ac:dyDescent="0.2">
      <c r="B67" s="1" t="s">
        <v>1478</v>
      </c>
    </row>
    <row r="68" spans="2:6" x14ac:dyDescent="0.2">
      <c r="B68" s="1" t="s">
        <v>1366</v>
      </c>
    </row>
    <row r="69" spans="2:6" x14ac:dyDescent="0.2">
      <c r="B69" s="1" t="s">
        <v>1479</v>
      </c>
    </row>
    <row r="72" spans="2:6" x14ac:dyDescent="0.2">
      <c r="B72" s="1" t="s">
        <v>704</v>
      </c>
      <c r="C72" s="1" t="s">
        <v>706</v>
      </c>
      <c r="D72" s="1" t="s">
        <v>705</v>
      </c>
      <c r="E72" s="1" t="s">
        <v>707</v>
      </c>
    </row>
    <row r="73" spans="2:6" x14ac:dyDescent="0.2">
      <c r="B73" s="1" t="s">
        <v>708</v>
      </c>
      <c r="C73" s="89">
        <v>250</v>
      </c>
      <c r="D73" s="89">
        <v>50</v>
      </c>
      <c r="E73" s="89">
        <f>+C73+D73</f>
        <v>300</v>
      </c>
    </row>
    <row r="74" spans="2:6" x14ac:dyDescent="0.2">
      <c r="B74" s="1" t="s">
        <v>709</v>
      </c>
      <c r="C74" s="89">
        <v>600</v>
      </c>
      <c r="D74" s="89">
        <v>40</v>
      </c>
      <c r="E74" s="89">
        <f t="shared" ref="E74:E78" si="0">+C74+D74</f>
        <v>640</v>
      </c>
    </row>
    <row r="75" spans="2:6" x14ac:dyDescent="0.2">
      <c r="B75" s="1" t="s">
        <v>710</v>
      </c>
      <c r="C75" s="89">
        <v>30</v>
      </c>
      <c r="D75" s="89">
        <v>5</v>
      </c>
      <c r="E75" s="89">
        <f t="shared" si="0"/>
        <v>35</v>
      </c>
    </row>
    <row r="76" spans="2:6" x14ac:dyDescent="0.2">
      <c r="B76" s="1" t="s">
        <v>711</v>
      </c>
      <c r="C76" s="89">
        <v>25</v>
      </c>
      <c r="D76" s="89">
        <v>5</v>
      </c>
      <c r="E76" s="89">
        <f t="shared" si="0"/>
        <v>30</v>
      </c>
    </row>
    <row r="77" spans="2:6" x14ac:dyDescent="0.2">
      <c r="B77" s="1" t="s">
        <v>712</v>
      </c>
      <c r="C77" s="89">
        <v>100</v>
      </c>
      <c r="D77" s="89">
        <v>10</v>
      </c>
      <c r="E77" s="89">
        <f t="shared" si="0"/>
        <v>110</v>
      </c>
    </row>
    <row r="78" spans="2:6" x14ac:dyDescent="0.2">
      <c r="B78" s="1" t="s">
        <v>185</v>
      </c>
      <c r="C78" s="89">
        <v>20</v>
      </c>
      <c r="D78" s="89">
        <v>10</v>
      </c>
      <c r="E78" s="89">
        <f t="shared" si="0"/>
        <v>30</v>
      </c>
      <c r="F78" s="1" t="s">
        <v>720</v>
      </c>
    </row>
    <row r="79" spans="2:6" x14ac:dyDescent="0.2">
      <c r="C79" s="89">
        <f>SUM(C73:C78)</f>
        <v>1025</v>
      </c>
      <c r="D79" s="89">
        <f>SUM(D73:D78)</f>
        <v>120</v>
      </c>
      <c r="E79" s="89">
        <f>SUM(E73:E78)</f>
        <v>1145</v>
      </c>
    </row>
    <row r="80" spans="2:6" x14ac:dyDescent="0.2">
      <c r="B80" s="1" t="s">
        <v>719</v>
      </c>
      <c r="C80" s="89">
        <f>-C78</f>
        <v>-20</v>
      </c>
      <c r="D80" s="89">
        <f t="shared" ref="D80:E80" si="1">-D78</f>
        <v>-10</v>
      </c>
      <c r="E80" s="89">
        <f t="shared" si="1"/>
        <v>-30</v>
      </c>
    </row>
    <row r="81" spans="2:7" x14ac:dyDescent="0.2">
      <c r="C81" s="89">
        <f>SUM(C79:C80)</f>
        <v>1005</v>
      </c>
      <c r="D81" s="89">
        <f t="shared" ref="D81:E81" si="2">SUM(D79:D80)</f>
        <v>110</v>
      </c>
      <c r="E81" s="89">
        <f t="shared" si="2"/>
        <v>1115</v>
      </c>
      <c r="F81" s="4">
        <f>+C81/E81</f>
        <v>0.90134529147982068</v>
      </c>
      <c r="G81" s="1" t="s">
        <v>1480</v>
      </c>
    </row>
    <row r="84" spans="2:7" x14ac:dyDescent="0.2">
      <c r="B84" s="1" t="s">
        <v>687</v>
      </c>
      <c r="C84" s="6">
        <v>1350</v>
      </c>
    </row>
    <row r="85" spans="2:7" x14ac:dyDescent="0.2">
      <c r="B85" s="1" t="s">
        <v>440</v>
      </c>
      <c r="C85" s="6">
        <v>50</v>
      </c>
      <c r="D85" s="1" t="s">
        <v>713</v>
      </c>
    </row>
    <row r="86" spans="2:7" x14ac:dyDescent="0.2">
      <c r="B86" s="1" t="s">
        <v>714</v>
      </c>
      <c r="C86" s="6"/>
    </row>
    <row r="87" spans="2:7" x14ac:dyDescent="0.2">
      <c r="B87" s="1" t="s">
        <v>715</v>
      </c>
      <c r="C87" s="6">
        <f>+C84+C85</f>
        <v>1400</v>
      </c>
    </row>
    <row r="88" spans="2:7" x14ac:dyDescent="0.2">
      <c r="B88" s="1" t="s">
        <v>716</v>
      </c>
      <c r="C88" s="4">
        <f>+F81</f>
        <v>0.90134529147982068</v>
      </c>
    </row>
    <row r="89" spans="2:7" x14ac:dyDescent="0.2">
      <c r="C89" s="6">
        <f>+C87*C88</f>
        <v>1261.883408071749</v>
      </c>
    </row>
    <row r="90" spans="2:7" x14ac:dyDescent="0.2">
      <c r="B90" s="1" t="s">
        <v>721</v>
      </c>
    </row>
    <row r="91" spans="2:7" x14ac:dyDescent="0.2">
      <c r="B91" s="1" t="s">
        <v>484</v>
      </c>
      <c r="E91" s="89">
        <f>+C89</f>
        <v>1261.883408071749</v>
      </c>
      <c r="F91" s="89"/>
    </row>
    <row r="92" spans="2:7" x14ac:dyDescent="0.2">
      <c r="C92" s="1" t="s">
        <v>456</v>
      </c>
      <c r="E92" s="89"/>
      <c r="F92" s="89">
        <f>+C89</f>
        <v>1261.883408071749</v>
      </c>
    </row>
    <row r="93" spans="2:7" x14ac:dyDescent="0.2">
      <c r="B93" s="1" t="s">
        <v>722</v>
      </c>
      <c r="E93" s="89"/>
      <c r="F93" s="89"/>
    </row>
    <row r="94" spans="2:7" x14ac:dyDescent="0.2">
      <c r="E94" s="89"/>
      <c r="F94" s="89"/>
    </row>
    <row r="95" spans="2:7" x14ac:dyDescent="0.2">
      <c r="B95" s="1" t="s">
        <v>723</v>
      </c>
      <c r="E95" s="89"/>
      <c r="F95" s="89"/>
    </row>
    <row r="96" spans="2:7" x14ac:dyDescent="0.2">
      <c r="E96" s="89"/>
      <c r="F96" s="89"/>
    </row>
    <row r="97" spans="2:6" x14ac:dyDescent="0.2">
      <c r="B97" s="1" t="s">
        <v>724</v>
      </c>
      <c r="E97" s="89">
        <f>+C81</f>
        <v>1005</v>
      </c>
      <c r="F97" s="89"/>
    </row>
    <row r="98" spans="2:6" x14ac:dyDescent="0.2">
      <c r="C98" s="1" t="s">
        <v>725</v>
      </c>
      <c r="E98" s="89"/>
      <c r="F98" s="89">
        <f>+E97</f>
        <v>1005</v>
      </c>
    </row>
    <row r="99" spans="2:6" x14ac:dyDescent="0.2">
      <c r="B99" s="1" t="s">
        <v>726</v>
      </c>
      <c r="E99" s="89"/>
      <c r="F99" s="89"/>
    </row>
    <row r="100" spans="2:6" x14ac:dyDescent="0.2">
      <c r="E100" s="89"/>
      <c r="F100" s="89"/>
    </row>
    <row r="101" spans="2:6" x14ac:dyDescent="0.2">
      <c r="B101" s="1" t="s">
        <v>445</v>
      </c>
      <c r="E101" s="89">
        <v>1100</v>
      </c>
      <c r="F101" s="89"/>
    </row>
    <row r="102" spans="2:6" x14ac:dyDescent="0.2">
      <c r="B102" s="1" t="s">
        <v>727</v>
      </c>
      <c r="E102" s="89">
        <f>+E101</f>
        <v>1100</v>
      </c>
      <c r="F102" s="89"/>
    </row>
    <row r="103" spans="2:6" x14ac:dyDescent="0.2">
      <c r="C103" s="1" t="s">
        <v>728</v>
      </c>
      <c r="E103" s="89"/>
      <c r="F103" s="89">
        <f>SUM(E101:E102)</f>
        <v>2200</v>
      </c>
    </row>
    <row r="104" spans="2:6" x14ac:dyDescent="0.2">
      <c r="B104" s="1" t="s">
        <v>729</v>
      </c>
      <c r="E104" s="89"/>
      <c r="F104" s="89"/>
    </row>
  </sheetData>
  <hyperlinks>
    <hyperlink ref="A1" location="Main!A1" display="Main" xr:uid="{D7215644-17A9-4D40-AA84-6156D0BC1444}"/>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72C36-2218-4905-8F71-C13979CA100D}">
  <sheetPr codeName="Sheet17"/>
  <dimension ref="A1:F100"/>
  <sheetViews>
    <sheetView zoomScaleNormal="100" workbookViewId="0"/>
  </sheetViews>
  <sheetFormatPr defaultRowHeight="12" x14ac:dyDescent="0.2"/>
  <cols>
    <col min="1" max="16384" width="9.140625" style="1"/>
  </cols>
  <sheetData>
    <row r="1" spans="1:4" ht="15" x14ac:dyDescent="0.25">
      <c r="A1" s="2" t="s">
        <v>0</v>
      </c>
    </row>
    <row r="2" spans="1:4" x14ac:dyDescent="0.2">
      <c r="B2" s="1" t="s">
        <v>735</v>
      </c>
      <c r="C2" s="16" t="s">
        <v>804</v>
      </c>
    </row>
    <row r="3" spans="1:4" s="9" customFormat="1" x14ac:dyDescent="0.2">
      <c r="C3" s="16" t="s">
        <v>805</v>
      </c>
    </row>
    <row r="4" spans="1:4" s="9" customFormat="1" x14ac:dyDescent="0.2"/>
    <row r="5" spans="1:4" s="9" customFormat="1" x14ac:dyDescent="0.2"/>
    <row r="6" spans="1:4" x14ac:dyDescent="0.2">
      <c r="B6" s="1" t="s">
        <v>736</v>
      </c>
    </row>
    <row r="7" spans="1:4" x14ac:dyDescent="0.2">
      <c r="B7" s="1" t="s">
        <v>5</v>
      </c>
      <c r="C7" s="3">
        <v>44651</v>
      </c>
    </row>
    <row r="9" spans="1:4" x14ac:dyDescent="0.2">
      <c r="B9" s="1" t="s">
        <v>737</v>
      </c>
    </row>
    <row r="10" spans="1:4" x14ac:dyDescent="0.2">
      <c r="B10" s="1" t="s">
        <v>738</v>
      </c>
      <c r="C10" s="6">
        <v>6525</v>
      </c>
      <c r="D10" s="1" t="s">
        <v>739</v>
      </c>
    </row>
    <row r="11" spans="1:4" x14ac:dyDescent="0.2">
      <c r="B11" s="1" t="s">
        <v>741</v>
      </c>
      <c r="C11" s="1">
        <v>50</v>
      </c>
      <c r="D11" s="1" t="s">
        <v>740</v>
      </c>
    </row>
    <row r="12" spans="1:4" x14ac:dyDescent="0.2">
      <c r="B12" s="1" t="s">
        <v>742</v>
      </c>
    </row>
    <row r="13" spans="1:4" x14ac:dyDescent="0.2">
      <c r="B13" s="1" t="s">
        <v>743</v>
      </c>
      <c r="C13" s="1">
        <v>14</v>
      </c>
      <c r="D13" s="1" t="s">
        <v>740</v>
      </c>
    </row>
    <row r="14" spans="1:4" x14ac:dyDescent="0.2">
      <c r="B14" s="1" t="s">
        <v>744</v>
      </c>
      <c r="C14" s="6">
        <v>24000</v>
      </c>
    </row>
    <row r="15" spans="1:4" x14ac:dyDescent="0.2">
      <c r="B15" s="1" t="s">
        <v>745</v>
      </c>
      <c r="C15" s="6">
        <f>+C14-C10</f>
        <v>17475</v>
      </c>
    </row>
    <row r="16" spans="1:4" x14ac:dyDescent="0.2">
      <c r="B16" s="1" t="s">
        <v>747</v>
      </c>
      <c r="C16" s="4">
        <v>7.0000000000000007E-2</v>
      </c>
    </row>
    <row r="18" spans="2:6" x14ac:dyDescent="0.2">
      <c r="B18" s="1" t="s">
        <v>779</v>
      </c>
    </row>
    <row r="19" spans="2:6" x14ac:dyDescent="0.2">
      <c r="B19" s="1" t="s">
        <v>780</v>
      </c>
    </row>
    <row r="20" spans="2:6" x14ac:dyDescent="0.2">
      <c r="B20" s="1" t="s">
        <v>781</v>
      </c>
    </row>
    <row r="21" spans="2:6" x14ac:dyDescent="0.2">
      <c r="B21" s="1" t="s">
        <v>782</v>
      </c>
    </row>
    <row r="23" spans="2:6" x14ac:dyDescent="0.2">
      <c r="B23" s="1" t="s">
        <v>783</v>
      </c>
      <c r="C23" s="3">
        <v>44286</v>
      </c>
      <c r="F23" s="6">
        <f>+C10</f>
        <v>6525</v>
      </c>
    </row>
    <row r="24" spans="2:6" x14ac:dyDescent="0.2">
      <c r="B24" s="1" t="s">
        <v>784</v>
      </c>
      <c r="E24" s="4">
        <f>+C16</f>
        <v>7.0000000000000007E-2</v>
      </c>
      <c r="F24" s="6">
        <f>+F23*E24</f>
        <v>456.75000000000006</v>
      </c>
    </row>
    <row r="25" spans="2:6" x14ac:dyDescent="0.2">
      <c r="B25" s="1" t="s">
        <v>738</v>
      </c>
      <c r="C25" s="3">
        <v>44651</v>
      </c>
      <c r="D25" s="1" t="s">
        <v>785</v>
      </c>
      <c r="F25" s="6">
        <f>SUM(F23:F24)</f>
        <v>6981.75</v>
      </c>
    </row>
    <row r="26" spans="2:6" x14ac:dyDescent="0.2">
      <c r="B26" s="1" t="s">
        <v>738</v>
      </c>
      <c r="C26" s="3">
        <v>44651</v>
      </c>
      <c r="D26" s="1" t="s">
        <v>786</v>
      </c>
      <c r="F26" s="6">
        <f>+C14/(1+E24)^C13</f>
        <v>9307.6137844157984</v>
      </c>
    </row>
    <row r="27" spans="2:6" x14ac:dyDescent="0.2">
      <c r="B27" s="1" t="s">
        <v>787</v>
      </c>
      <c r="F27" s="6">
        <f>+F26-F25</f>
        <v>2325.8637844157984</v>
      </c>
    </row>
    <row r="30" spans="2:6" x14ac:dyDescent="0.2">
      <c r="B30" s="1" t="s">
        <v>748</v>
      </c>
      <c r="E30" s="6">
        <f>+F24</f>
        <v>456.75000000000006</v>
      </c>
    </row>
    <row r="31" spans="2:6" x14ac:dyDescent="0.2">
      <c r="B31" s="1" t="s">
        <v>788</v>
      </c>
      <c r="E31" s="6">
        <f>+F27</f>
        <v>2325.8637844157984</v>
      </c>
    </row>
    <row r="32" spans="2:6" x14ac:dyDescent="0.2">
      <c r="C32" s="1" t="s">
        <v>746</v>
      </c>
      <c r="F32" s="6">
        <f>+F27+F24</f>
        <v>2782.6137844157984</v>
      </c>
    </row>
    <row r="33" spans="2:5" x14ac:dyDescent="0.2">
      <c r="B33" s="1" t="s">
        <v>803</v>
      </c>
    </row>
    <row r="35" spans="2:5" x14ac:dyDescent="0.2">
      <c r="B35" s="1" t="s">
        <v>749</v>
      </c>
    </row>
    <row r="36" spans="2:5" x14ac:dyDescent="0.2">
      <c r="B36" s="1" t="s">
        <v>750</v>
      </c>
    </row>
    <row r="37" spans="2:5" x14ac:dyDescent="0.2">
      <c r="B37" s="1" t="s">
        <v>751</v>
      </c>
    </row>
    <row r="38" spans="2:5" x14ac:dyDescent="0.2">
      <c r="B38" s="1" t="s">
        <v>752</v>
      </c>
    </row>
    <row r="39" spans="2:5" x14ac:dyDescent="0.2">
      <c r="B39" s="1" t="s">
        <v>753</v>
      </c>
    </row>
    <row r="40" spans="2:5" x14ac:dyDescent="0.2">
      <c r="B40" s="1" t="s">
        <v>754</v>
      </c>
    </row>
    <row r="41" spans="2:5" x14ac:dyDescent="0.2">
      <c r="B41" s="1" t="s">
        <v>755</v>
      </c>
      <c r="E41" s="1">
        <v>348</v>
      </c>
    </row>
    <row r="42" spans="2:5" x14ac:dyDescent="0.2">
      <c r="B42" s="1" t="s">
        <v>756</v>
      </c>
      <c r="E42" s="1">
        <v>255</v>
      </c>
    </row>
    <row r="43" spans="2:5" x14ac:dyDescent="0.2">
      <c r="E43" s="1">
        <f>SUM(E41:E42)</f>
        <v>603</v>
      </c>
    </row>
    <row r="45" spans="2:5" x14ac:dyDescent="0.2">
      <c r="B45" s="1" t="s">
        <v>799</v>
      </c>
    </row>
    <row r="46" spans="2:5" x14ac:dyDescent="0.2">
      <c r="B46" s="1" t="s">
        <v>800</v>
      </c>
    </row>
    <row r="47" spans="2:5" x14ac:dyDescent="0.2">
      <c r="B47" s="1" t="s">
        <v>801</v>
      </c>
    </row>
    <row r="48" spans="2:5" x14ac:dyDescent="0.2">
      <c r="B48" s="1" t="s">
        <v>802</v>
      </c>
    </row>
    <row r="50" spans="2:6" x14ac:dyDescent="0.2">
      <c r="B50" s="1" t="s">
        <v>221</v>
      </c>
      <c r="E50" s="1">
        <f>+E43</f>
        <v>603</v>
      </c>
    </row>
    <row r="51" spans="2:6" x14ac:dyDescent="0.2">
      <c r="C51" s="1" t="s">
        <v>757</v>
      </c>
      <c r="F51" s="1">
        <f>+E43</f>
        <v>603</v>
      </c>
    </row>
    <row r="52" spans="2:6" x14ac:dyDescent="0.2">
      <c r="B52" s="1" t="s">
        <v>758</v>
      </c>
    </row>
    <row r="55" spans="2:6" x14ac:dyDescent="0.2">
      <c r="B55" s="1" t="s">
        <v>759</v>
      </c>
    </row>
    <row r="56" spans="2:6" x14ac:dyDescent="0.2">
      <c r="B56" s="1" t="s">
        <v>794</v>
      </c>
    </row>
    <row r="57" spans="2:6" x14ac:dyDescent="0.2">
      <c r="B57" s="1" t="s">
        <v>795</v>
      </c>
    </row>
    <row r="58" spans="2:6" x14ac:dyDescent="0.2">
      <c r="B58" s="1" t="s">
        <v>796</v>
      </c>
    </row>
    <row r="59" spans="2:6" x14ac:dyDescent="0.2">
      <c r="B59" s="1" t="s">
        <v>797</v>
      </c>
    </row>
    <row r="60" spans="2:6" x14ac:dyDescent="0.2">
      <c r="B60" s="1" t="s">
        <v>798</v>
      </c>
    </row>
    <row r="63" spans="2:6" x14ac:dyDescent="0.2">
      <c r="B63" s="1" t="s">
        <v>760</v>
      </c>
    </row>
    <row r="64" spans="2:6" x14ac:dyDescent="0.2">
      <c r="B64" s="1" t="s">
        <v>806</v>
      </c>
    </row>
    <row r="65" spans="2:3" x14ac:dyDescent="0.2">
      <c r="B65" s="1" t="s">
        <v>789</v>
      </c>
    </row>
    <row r="66" spans="2:3" x14ac:dyDescent="0.2">
      <c r="B66" s="1" t="s">
        <v>790</v>
      </c>
    </row>
    <row r="68" spans="2:3" x14ac:dyDescent="0.2">
      <c r="B68" s="1" t="s">
        <v>761</v>
      </c>
    </row>
    <row r="69" spans="2:3" x14ac:dyDescent="0.2">
      <c r="B69" s="1" t="s">
        <v>762</v>
      </c>
    </row>
    <row r="70" spans="2:3" x14ac:dyDescent="0.2">
      <c r="B70" s="1" t="s">
        <v>763</v>
      </c>
    </row>
    <row r="71" spans="2:3" x14ac:dyDescent="0.2">
      <c r="B71" s="1" t="s">
        <v>764</v>
      </c>
    </row>
    <row r="73" spans="2:3" x14ac:dyDescent="0.2">
      <c r="B73" s="1" t="s">
        <v>765</v>
      </c>
      <c r="C73" s="6">
        <v>38.4</v>
      </c>
    </row>
    <row r="74" spans="2:3" x14ac:dyDescent="0.2">
      <c r="C74" s="6"/>
    </row>
    <row r="75" spans="2:3" x14ac:dyDescent="0.2">
      <c r="B75" s="1" t="s">
        <v>766</v>
      </c>
      <c r="C75" s="6">
        <v>47.7</v>
      </c>
    </row>
    <row r="76" spans="2:3" x14ac:dyDescent="0.2">
      <c r="B76" s="1" t="s">
        <v>214</v>
      </c>
      <c r="C76" s="6">
        <v>10.8</v>
      </c>
    </row>
    <row r="77" spans="2:3" x14ac:dyDescent="0.2">
      <c r="B77" s="1" t="s">
        <v>767</v>
      </c>
      <c r="C77" s="6">
        <v>1.8</v>
      </c>
    </row>
    <row r="78" spans="2:3" x14ac:dyDescent="0.2">
      <c r="C78" s="6">
        <f>+C76-C77</f>
        <v>9</v>
      </c>
    </row>
    <row r="79" spans="2:3" x14ac:dyDescent="0.2">
      <c r="B79" s="1" t="s">
        <v>768</v>
      </c>
    </row>
    <row r="80" spans="2:3" x14ac:dyDescent="0.2">
      <c r="B80" s="1" t="s">
        <v>769</v>
      </c>
    </row>
    <row r="81" spans="2:6" x14ac:dyDescent="0.2">
      <c r="E81" s="6"/>
      <c r="F81" s="6"/>
    </row>
    <row r="82" spans="2:6" x14ac:dyDescent="0.2">
      <c r="B82" s="1" t="s">
        <v>771</v>
      </c>
      <c r="E82" s="6">
        <f>+C73</f>
        <v>38.4</v>
      </c>
      <c r="F82" s="6"/>
    </row>
    <row r="83" spans="2:6" x14ac:dyDescent="0.2">
      <c r="C83" s="1" t="s">
        <v>447</v>
      </c>
      <c r="E83" s="6"/>
      <c r="F83" s="6">
        <f>+E82</f>
        <v>38.4</v>
      </c>
    </row>
    <row r="84" spans="2:6" x14ac:dyDescent="0.2">
      <c r="B84" s="1" t="s">
        <v>772</v>
      </c>
    </row>
    <row r="86" spans="2:6" x14ac:dyDescent="0.2">
      <c r="B86" s="1" t="s">
        <v>770</v>
      </c>
    </row>
    <row r="87" spans="2:6" x14ac:dyDescent="0.2">
      <c r="B87" s="1" t="s">
        <v>773</v>
      </c>
    </row>
    <row r="89" spans="2:6" x14ac:dyDescent="0.2">
      <c r="B89" s="1" t="s">
        <v>774</v>
      </c>
      <c r="C89" s="6">
        <f>+C75</f>
        <v>47.7</v>
      </c>
    </row>
    <row r="90" spans="2:6" x14ac:dyDescent="0.2">
      <c r="B90" s="1" t="s">
        <v>775</v>
      </c>
      <c r="C90" s="6">
        <f>+C78</f>
        <v>9</v>
      </c>
    </row>
    <row r="91" spans="2:6" x14ac:dyDescent="0.2">
      <c r="B91" s="1" t="s">
        <v>776</v>
      </c>
      <c r="C91" s="6">
        <f>+C90-C89</f>
        <v>-38.700000000000003</v>
      </c>
    </row>
    <row r="93" spans="2:6" x14ac:dyDescent="0.2">
      <c r="B93" s="1" t="s">
        <v>777</v>
      </c>
      <c r="E93" s="6">
        <f>-C91</f>
        <v>38.700000000000003</v>
      </c>
    </row>
    <row r="94" spans="2:6" x14ac:dyDescent="0.2">
      <c r="C94" s="1" t="s">
        <v>457</v>
      </c>
      <c r="F94" s="6">
        <f>+E93</f>
        <v>38.700000000000003</v>
      </c>
    </row>
    <row r="95" spans="2:6" x14ac:dyDescent="0.2">
      <c r="B95" s="1" t="s">
        <v>778</v>
      </c>
    </row>
    <row r="98" spans="2:2" x14ac:dyDescent="0.2">
      <c r="B98" s="1" t="s">
        <v>793</v>
      </c>
    </row>
    <row r="99" spans="2:2" x14ac:dyDescent="0.2">
      <c r="B99" s="1" t="s">
        <v>791</v>
      </c>
    </row>
    <row r="100" spans="2:2" x14ac:dyDescent="0.2">
      <c r="B100" s="1" t="s">
        <v>792</v>
      </c>
    </row>
  </sheetData>
  <hyperlinks>
    <hyperlink ref="A1" location="Main!A1" display="Main" xr:uid="{279FE16E-9BF8-454D-91E8-0AAE89DC39F3}"/>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57D53-6300-466E-BCE6-45996FE6AB5C}">
  <sheetPr codeName="Sheet18"/>
  <dimension ref="A1:F68"/>
  <sheetViews>
    <sheetView zoomScaleNormal="100" workbookViewId="0"/>
  </sheetViews>
  <sheetFormatPr defaultRowHeight="12" x14ac:dyDescent="0.2"/>
  <cols>
    <col min="1" max="16384" width="9.140625" style="1"/>
  </cols>
  <sheetData>
    <row r="1" spans="1:5" ht="15" x14ac:dyDescent="0.25">
      <c r="A1" s="2" t="s">
        <v>0</v>
      </c>
    </row>
    <row r="2" spans="1:5" x14ac:dyDescent="0.2">
      <c r="B2" s="1" t="s">
        <v>731</v>
      </c>
    </row>
    <row r="3" spans="1:5" x14ac:dyDescent="0.2">
      <c r="B3" s="1" t="s">
        <v>2202</v>
      </c>
    </row>
    <row r="4" spans="1:5" x14ac:dyDescent="0.2">
      <c r="B4" s="1" t="s">
        <v>5</v>
      </c>
      <c r="C4" s="3">
        <v>44712</v>
      </c>
    </row>
    <row r="6" spans="1:5" x14ac:dyDescent="0.2">
      <c r="B6" s="3">
        <v>44347</v>
      </c>
      <c r="C6" s="1" t="s">
        <v>2203</v>
      </c>
      <c r="D6" s="1">
        <v>96</v>
      </c>
      <c r="E6" s="1" t="s">
        <v>2204</v>
      </c>
    </row>
    <row r="7" spans="1:5" x14ac:dyDescent="0.2">
      <c r="B7" s="3">
        <v>44347</v>
      </c>
      <c r="C7" s="1" t="s">
        <v>2205</v>
      </c>
      <c r="D7" s="1">
        <v>900</v>
      </c>
      <c r="E7" s="1" t="s">
        <v>353</v>
      </c>
    </row>
    <row r="8" spans="1:5" x14ac:dyDescent="0.2">
      <c r="B8" s="3">
        <v>44501</v>
      </c>
      <c r="C8" s="1" t="s">
        <v>2206</v>
      </c>
      <c r="D8" s="1">
        <v>600</v>
      </c>
      <c r="E8" s="1" t="s">
        <v>2224</v>
      </c>
    </row>
    <row r="9" spans="1:5" x14ac:dyDescent="0.2">
      <c r="B9" s="3">
        <v>44652</v>
      </c>
      <c r="C9" s="1" t="s">
        <v>2207</v>
      </c>
      <c r="D9" s="1">
        <v>40</v>
      </c>
      <c r="E9" s="1" t="s">
        <v>2225</v>
      </c>
    </row>
    <row r="10" spans="1:5" x14ac:dyDescent="0.2">
      <c r="B10" s="3"/>
    </row>
    <row r="11" spans="1:5" x14ac:dyDescent="0.2">
      <c r="B11" s="1" t="s">
        <v>2216</v>
      </c>
    </row>
    <row r="12" spans="1:5" x14ac:dyDescent="0.2">
      <c r="B12" s="1" t="s">
        <v>2217</v>
      </c>
    </row>
    <row r="13" spans="1:5" x14ac:dyDescent="0.2">
      <c r="B13" s="1" t="s">
        <v>2218</v>
      </c>
    </row>
    <row r="14" spans="1:5" x14ac:dyDescent="0.2">
      <c r="B14" s="1" t="s">
        <v>2219</v>
      </c>
    </row>
    <row r="15" spans="1:5" x14ac:dyDescent="0.2">
      <c r="B15" s="1" t="s">
        <v>2220</v>
      </c>
    </row>
    <row r="16" spans="1:5" x14ac:dyDescent="0.2">
      <c r="B16" s="1" t="s">
        <v>2221</v>
      </c>
    </row>
    <row r="17" spans="2:5" x14ac:dyDescent="0.2">
      <c r="B17" s="1" t="s">
        <v>2222</v>
      </c>
    </row>
    <row r="19" spans="2:5" x14ac:dyDescent="0.2">
      <c r="B19" s="1" t="s">
        <v>2226</v>
      </c>
    </row>
    <row r="20" spans="2:5" x14ac:dyDescent="0.2">
      <c r="C20" s="1" t="s">
        <v>2209</v>
      </c>
    </row>
    <row r="21" spans="2:5" x14ac:dyDescent="0.2">
      <c r="B21" s="1" t="s">
        <v>2208</v>
      </c>
      <c r="C21" s="3">
        <v>44712</v>
      </c>
      <c r="D21" s="1">
        <v>250</v>
      </c>
    </row>
    <row r="22" spans="2:5" x14ac:dyDescent="0.2">
      <c r="C22" s="3">
        <f>+B8</f>
        <v>44501</v>
      </c>
    </row>
    <row r="23" spans="2:5" x14ac:dyDescent="0.2">
      <c r="C23" s="1">
        <f>+YEARFRAC(C22,B9)*12</f>
        <v>5</v>
      </c>
      <c r="D23" s="89">
        <f>+C23*D21/12</f>
        <v>104.16666666666667</v>
      </c>
    </row>
    <row r="26" spans="2:5" x14ac:dyDescent="0.2">
      <c r="B26" s="1" t="s">
        <v>2223</v>
      </c>
    </row>
    <row r="28" spans="2:5" x14ac:dyDescent="0.2">
      <c r="B28" s="1" t="s">
        <v>34</v>
      </c>
      <c r="D28" s="1">
        <f>+D8</f>
        <v>600</v>
      </c>
    </row>
    <row r="29" spans="2:5" x14ac:dyDescent="0.2">
      <c r="B29" s="1" t="s">
        <v>2227</v>
      </c>
      <c r="D29" s="89">
        <f>+D23</f>
        <v>104.16666666666667</v>
      </c>
    </row>
    <row r="30" spans="2:5" x14ac:dyDescent="0.2">
      <c r="B30" s="1" t="s">
        <v>2228</v>
      </c>
      <c r="D30" s="89">
        <f>SUM(D28:D29)</f>
        <v>704.16666666666663</v>
      </c>
    </row>
    <row r="32" spans="2:5" x14ac:dyDescent="0.2">
      <c r="B32" s="1" t="s">
        <v>585</v>
      </c>
      <c r="E32" s="89">
        <f>+D30</f>
        <v>704.16666666666663</v>
      </c>
    </row>
    <row r="33" spans="2:6" x14ac:dyDescent="0.2">
      <c r="C33" s="1" t="s">
        <v>838</v>
      </c>
      <c r="F33" s="89">
        <f>+E32</f>
        <v>704.16666666666663</v>
      </c>
    </row>
    <row r="34" spans="2:6" x14ac:dyDescent="0.2">
      <c r="B34" s="1" t="s">
        <v>2229</v>
      </c>
    </row>
    <row r="36" spans="2:6" x14ac:dyDescent="0.2">
      <c r="B36" s="1" t="s">
        <v>2240</v>
      </c>
    </row>
    <row r="37" spans="2:6" x14ac:dyDescent="0.2">
      <c r="B37" s="1" t="s">
        <v>2241</v>
      </c>
      <c r="D37" s="1">
        <f>+YEARFRAC(B9,C4)*12</f>
        <v>2</v>
      </c>
      <c r="E37" s="89">
        <f>+E32*D37/60</f>
        <v>23.472222222222221</v>
      </c>
      <c r="F37" s="89"/>
    </row>
    <row r="38" spans="2:6" x14ac:dyDescent="0.2">
      <c r="C38" s="1" t="s">
        <v>2242</v>
      </c>
      <c r="E38" s="89"/>
      <c r="F38" s="89">
        <f>+E37</f>
        <v>23.472222222222221</v>
      </c>
    </row>
    <row r="39" spans="2:6" x14ac:dyDescent="0.2">
      <c r="B39" s="1" t="s">
        <v>2243</v>
      </c>
    </row>
    <row r="41" spans="2:6" x14ac:dyDescent="0.2">
      <c r="B41" s="1" t="s">
        <v>2210</v>
      </c>
      <c r="C41" s="3">
        <v>44562</v>
      </c>
      <c r="D41" s="1">
        <v>450</v>
      </c>
    </row>
    <row r="42" spans="2:6" x14ac:dyDescent="0.2">
      <c r="B42" s="1" t="s">
        <v>2230</v>
      </c>
    </row>
    <row r="44" spans="2:6" x14ac:dyDescent="0.2">
      <c r="B44" s="1" t="s">
        <v>2238</v>
      </c>
    </row>
    <row r="45" spans="2:6" x14ac:dyDescent="0.2">
      <c r="B45" s="1" t="s">
        <v>2232</v>
      </c>
    </row>
    <row r="46" spans="2:6" x14ac:dyDescent="0.2">
      <c r="B46" s="1" t="s">
        <v>2233</v>
      </c>
    </row>
    <row r="47" spans="2:6" x14ac:dyDescent="0.2">
      <c r="B47" s="1" t="s">
        <v>2234</v>
      </c>
    </row>
    <row r="48" spans="2:6" x14ac:dyDescent="0.2">
      <c r="B48" s="1" t="s">
        <v>2235</v>
      </c>
    </row>
    <row r="49" spans="2:6" x14ac:dyDescent="0.2">
      <c r="B49" s="1" t="s">
        <v>2236</v>
      </c>
    </row>
    <row r="50" spans="2:6" x14ac:dyDescent="0.2">
      <c r="B50" s="1" t="s">
        <v>2237</v>
      </c>
    </row>
    <row r="52" spans="2:6" x14ac:dyDescent="0.2">
      <c r="B52" s="1" t="s">
        <v>2231</v>
      </c>
      <c r="E52" s="89">
        <v>20</v>
      </c>
      <c r="F52" s="89"/>
    </row>
    <row r="53" spans="2:6" x14ac:dyDescent="0.2">
      <c r="C53" s="1" t="s">
        <v>838</v>
      </c>
      <c r="E53" s="89"/>
      <c r="F53" s="89">
        <f>+E52</f>
        <v>20</v>
      </c>
    </row>
    <row r="54" spans="2:6" x14ac:dyDescent="0.2">
      <c r="B54" s="1" t="s">
        <v>2239</v>
      </c>
      <c r="E54" s="89"/>
      <c r="F54" s="89"/>
    </row>
    <row r="55" spans="2:6" x14ac:dyDescent="0.2">
      <c r="E55" s="89"/>
      <c r="F55" s="89"/>
    </row>
    <row r="56" spans="2:6" x14ac:dyDescent="0.2">
      <c r="B56" s="1" t="s">
        <v>2240</v>
      </c>
    </row>
    <row r="57" spans="2:6" x14ac:dyDescent="0.2">
      <c r="B57" s="1" t="s">
        <v>2241</v>
      </c>
      <c r="D57" s="1">
        <v>5</v>
      </c>
      <c r="E57" s="89">
        <f>+E52*D57/96</f>
        <v>1.0416666666666667</v>
      </c>
      <c r="F57" s="89"/>
    </row>
    <row r="58" spans="2:6" x14ac:dyDescent="0.2">
      <c r="C58" s="1" t="s">
        <v>2242</v>
      </c>
      <c r="E58" s="89"/>
      <c r="F58" s="89">
        <f>+E57</f>
        <v>1.0416666666666667</v>
      </c>
    </row>
    <row r="59" spans="2:6" x14ac:dyDescent="0.2">
      <c r="B59" s="1" t="s">
        <v>2243</v>
      </c>
    </row>
    <row r="60" spans="2:6" x14ac:dyDescent="0.2">
      <c r="E60" s="89"/>
      <c r="F60" s="89"/>
    </row>
    <row r="61" spans="2:6" x14ac:dyDescent="0.2">
      <c r="E61" s="89"/>
      <c r="F61" s="89"/>
    </row>
    <row r="62" spans="2:6" x14ac:dyDescent="0.2">
      <c r="B62" s="1" t="s">
        <v>592</v>
      </c>
      <c r="E62" s="89"/>
      <c r="F62" s="89"/>
    </row>
    <row r="63" spans="2:6" x14ac:dyDescent="0.2">
      <c r="B63" s="1" t="s">
        <v>2211</v>
      </c>
      <c r="E63" s="89">
        <v>2000</v>
      </c>
      <c r="F63" s="89"/>
    </row>
    <row r="64" spans="2:6" x14ac:dyDescent="0.2">
      <c r="C64" s="1" t="s">
        <v>2212</v>
      </c>
      <c r="E64" s="89"/>
      <c r="F64" s="89">
        <f>+E63</f>
        <v>2000</v>
      </c>
    </row>
    <row r="65" spans="2:6" x14ac:dyDescent="0.2">
      <c r="E65" s="89"/>
      <c r="F65" s="89"/>
    </row>
    <row r="66" spans="2:6" x14ac:dyDescent="0.2">
      <c r="B66" s="1" t="s">
        <v>2213</v>
      </c>
      <c r="D66" s="89">
        <f>2*E63/120</f>
        <v>33.333333333333336</v>
      </c>
      <c r="E66" s="89">
        <f>+D66</f>
        <v>33.333333333333336</v>
      </c>
      <c r="F66" s="89"/>
    </row>
    <row r="67" spans="2:6" x14ac:dyDescent="0.2">
      <c r="C67" s="1" t="s">
        <v>2214</v>
      </c>
      <c r="E67" s="89"/>
      <c r="F67" s="89">
        <f>+E66</f>
        <v>33.333333333333336</v>
      </c>
    </row>
    <row r="68" spans="2:6" x14ac:dyDescent="0.2">
      <c r="B68" s="1" t="s">
        <v>2215</v>
      </c>
    </row>
  </sheetData>
  <hyperlinks>
    <hyperlink ref="A1" location="Main!A1" display="Main" xr:uid="{A03871FB-0816-4CC5-9E2A-45449BCAD45D}"/>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21511-BC45-4910-AB9C-82E25507A143}">
  <dimension ref="A1:N123"/>
  <sheetViews>
    <sheetView zoomScale="160" zoomScaleNormal="160" workbookViewId="0"/>
  </sheetViews>
  <sheetFormatPr defaultRowHeight="12" x14ac:dyDescent="0.2"/>
  <cols>
    <col min="1" max="1" width="9.140625" style="1"/>
    <col min="2" max="2" width="19.85546875" style="1" customWidth="1"/>
    <col min="3" max="4" width="9.5703125" style="1" bestFit="1" customWidth="1"/>
    <col min="5" max="16384" width="9.140625" style="1"/>
  </cols>
  <sheetData>
    <row r="1" spans="1:7" ht="15" x14ac:dyDescent="0.25">
      <c r="A1" s="2" t="s">
        <v>0</v>
      </c>
    </row>
    <row r="2" spans="1:7" x14ac:dyDescent="0.2">
      <c r="B2" s="1" t="s">
        <v>2014</v>
      </c>
    </row>
    <row r="3" spans="1:7" x14ac:dyDescent="0.2">
      <c r="B3" s="1" t="s">
        <v>5</v>
      </c>
      <c r="C3" s="3">
        <v>44985</v>
      </c>
    </row>
    <row r="4" spans="1:7" x14ac:dyDescent="0.2">
      <c r="C4" s="3"/>
    </row>
    <row r="5" spans="1:7" x14ac:dyDescent="0.2">
      <c r="B5" s="1" t="s">
        <v>2015</v>
      </c>
    </row>
    <row r="6" spans="1:7" ht="15" x14ac:dyDescent="0.25">
      <c r="B6" s="115" t="s">
        <v>2016</v>
      </c>
      <c r="C6"/>
      <c r="D6"/>
      <c r="E6"/>
      <c r="F6"/>
      <c r="G6"/>
    </row>
    <row r="7" spans="1:7" ht="15" x14ac:dyDescent="0.25">
      <c r="B7" s="103" t="s">
        <v>2017</v>
      </c>
      <c r="C7"/>
      <c r="D7"/>
      <c r="E7"/>
      <c r="F7"/>
      <c r="G7"/>
    </row>
    <row r="8" spans="1:7" ht="15" x14ac:dyDescent="0.25">
      <c r="B8" s="103" t="s">
        <v>2018</v>
      </c>
      <c r="C8"/>
      <c r="D8"/>
      <c r="E8"/>
      <c r="F8"/>
      <c r="G8"/>
    </row>
    <row r="9" spans="1:7" ht="15" x14ac:dyDescent="0.25">
      <c r="B9" s="103" t="s">
        <v>2019</v>
      </c>
      <c r="C9"/>
      <c r="D9"/>
      <c r="E9"/>
      <c r="F9"/>
      <c r="G9"/>
    </row>
    <row r="10" spans="1:7" ht="15" x14ac:dyDescent="0.25">
      <c r="B10" s="103" t="s">
        <v>2020</v>
      </c>
      <c r="C10"/>
      <c r="D10"/>
      <c r="E10"/>
      <c r="F10"/>
      <c r="G10"/>
    </row>
    <row r="11" spans="1:7" ht="15" x14ac:dyDescent="0.25">
      <c r="B11"/>
      <c r="C11"/>
      <c r="D11"/>
      <c r="E11"/>
      <c r="F11"/>
      <c r="G11"/>
    </row>
    <row r="12" spans="1:7" ht="15" x14ac:dyDescent="0.25">
      <c r="B12" s="103" t="s">
        <v>2021</v>
      </c>
      <c r="C12"/>
      <c r="D12"/>
      <c r="E12"/>
      <c r="F12"/>
      <c r="G12" s="103" t="s">
        <v>2022</v>
      </c>
    </row>
    <row r="13" spans="1:7" ht="15" x14ac:dyDescent="0.25">
      <c r="B13" s="103" t="s">
        <v>2023</v>
      </c>
      <c r="C13"/>
      <c r="D13"/>
      <c r="E13"/>
      <c r="F13"/>
      <c r="G13" s="103" t="s">
        <v>2024</v>
      </c>
    </row>
    <row r="14" spans="1:7" ht="15" x14ac:dyDescent="0.25">
      <c r="B14" s="103" t="s">
        <v>2025</v>
      </c>
      <c r="C14"/>
      <c r="D14"/>
      <c r="E14"/>
      <c r="F14"/>
      <c r="G14" s="103" t="s">
        <v>2026</v>
      </c>
    </row>
    <row r="15" spans="1:7" ht="15" x14ac:dyDescent="0.25">
      <c r="B15" s="103" t="s">
        <v>2027</v>
      </c>
      <c r="C15"/>
      <c r="D15"/>
      <c r="E15"/>
      <c r="F15"/>
      <c r="G15" s="103" t="s">
        <v>2028</v>
      </c>
    </row>
    <row r="16" spans="1:7" ht="15" x14ac:dyDescent="0.25">
      <c r="B16" s="103" t="s">
        <v>2029</v>
      </c>
      <c r="C16"/>
      <c r="D16"/>
      <c r="E16"/>
      <c r="F16"/>
      <c r="G16"/>
    </row>
    <row r="17" spans="2:7" ht="15" x14ac:dyDescent="0.25">
      <c r="B17" s="103" t="s">
        <v>2030</v>
      </c>
      <c r="C17"/>
      <c r="D17"/>
      <c r="E17"/>
      <c r="F17"/>
      <c r="G17" s="254" t="s">
        <v>2031</v>
      </c>
    </row>
    <row r="18" spans="2:7" ht="15" x14ac:dyDescent="0.25">
      <c r="B18" s="115" t="s">
        <v>2032</v>
      </c>
      <c r="C18"/>
      <c r="D18"/>
      <c r="E18"/>
      <c r="F18"/>
      <c r="G18"/>
    </row>
    <row r="19" spans="2:7" ht="15" x14ac:dyDescent="0.25">
      <c r="B19"/>
      <c r="C19"/>
      <c r="D19"/>
      <c r="E19"/>
      <c r="F19"/>
      <c r="G19"/>
    </row>
    <row r="20" spans="2:7" ht="15" x14ac:dyDescent="0.25">
      <c r="B20" s="97" t="s">
        <v>2033</v>
      </c>
      <c r="C20" s="255">
        <f>IF(C25="advance",C22+C23+C21,C22+C21)</f>
        <v>496.14</v>
      </c>
      <c r="D20" t="s">
        <v>32</v>
      </c>
      <c r="E20" s="224" t="s">
        <v>2034</v>
      </c>
      <c r="F20"/>
      <c r="G20"/>
    </row>
    <row r="21" spans="2:7" ht="15" x14ac:dyDescent="0.25">
      <c r="B21" s="97" t="s">
        <v>2035</v>
      </c>
      <c r="C21" s="256">
        <v>15</v>
      </c>
      <c r="D21"/>
      <c r="E21" s="224" t="s">
        <v>2036</v>
      </c>
      <c r="F21"/>
      <c r="G21"/>
    </row>
    <row r="22" spans="2:7" ht="15" x14ac:dyDescent="0.25">
      <c r="B22" s="97" t="s">
        <v>2037</v>
      </c>
      <c r="C22" s="256">
        <f>+(180*2.673)</f>
        <v>481.14</v>
      </c>
      <c r="D22" t="str">
        <f ca="1">IFERROR(_xlfn.FORMULATEXT(C22)," ")</f>
        <v>=+(180*2.673)</v>
      </c>
      <c r="E22" t="s">
        <v>2038</v>
      </c>
      <c r="F22"/>
      <c r="G22"/>
    </row>
    <row r="23" spans="2:7" ht="15" x14ac:dyDescent="0.25">
      <c r="B23" s="97" t="s">
        <v>2039</v>
      </c>
      <c r="C23" s="256">
        <v>180</v>
      </c>
      <c r="D23"/>
      <c r="E23"/>
      <c r="F23"/>
      <c r="G23"/>
    </row>
    <row r="24" spans="2:7" ht="15" x14ac:dyDescent="0.25">
      <c r="B24" s="97" t="s">
        <v>2040</v>
      </c>
      <c r="C24" s="213">
        <v>0.06</v>
      </c>
      <c r="D24"/>
      <c r="E24"/>
      <c r="F24"/>
      <c r="G24"/>
    </row>
    <row r="25" spans="2:7" ht="15" x14ac:dyDescent="0.25">
      <c r="B25" s="97" t="s">
        <v>2041</v>
      </c>
      <c r="C25" s="122" t="s">
        <v>1655</v>
      </c>
      <c r="D25"/>
      <c r="E25"/>
      <c r="F25"/>
      <c r="G25"/>
    </row>
    <row r="26" spans="2:7" ht="15" x14ac:dyDescent="0.25">
      <c r="B26" s="97" t="s">
        <v>2042</v>
      </c>
      <c r="C26" s="122">
        <v>3</v>
      </c>
      <c r="D26"/>
      <c r="E26"/>
      <c r="F26"/>
      <c r="G26"/>
    </row>
    <row r="27" spans="2:7" ht="15" x14ac:dyDescent="0.25">
      <c r="B27" s="97" t="s">
        <v>2043</v>
      </c>
      <c r="C27" s="122">
        <v>4</v>
      </c>
      <c r="D27"/>
      <c r="E27"/>
      <c r="F27"/>
      <c r="G27"/>
    </row>
    <row r="28" spans="2:7" ht="15" x14ac:dyDescent="0.25">
      <c r="B28" s="97" t="s">
        <v>2044</v>
      </c>
      <c r="C28" s="122" t="s">
        <v>2090</v>
      </c>
      <c r="D28"/>
      <c r="E28" s="102"/>
      <c r="F28"/>
      <c r="G28"/>
    </row>
    <row r="29" spans="2:7" ht="15" x14ac:dyDescent="0.25">
      <c r="B29" s="97" t="s">
        <v>2045</v>
      </c>
      <c r="C29" s="256">
        <v>0</v>
      </c>
      <c r="D29" s="102"/>
      <c r="E29"/>
      <c r="F29" s="224" t="s">
        <v>2046</v>
      </c>
      <c r="G29"/>
    </row>
    <row r="30" spans="2:7" ht="15" x14ac:dyDescent="0.25">
      <c r="B30" s="97" t="s">
        <v>2047</v>
      </c>
      <c r="C30" s="256">
        <v>40</v>
      </c>
      <c r="D30"/>
      <c r="E30"/>
      <c r="F30"/>
      <c r="G30"/>
    </row>
    <row r="31" spans="2:7" ht="15" x14ac:dyDescent="0.25">
      <c r="B31" s="97"/>
      <c r="C31"/>
      <c r="D31"/>
      <c r="E31"/>
      <c r="F31"/>
      <c r="G31"/>
    </row>
    <row r="32" spans="2:7" ht="15" x14ac:dyDescent="0.25">
      <c r="B32"/>
      <c r="C32"/>
      <c r="D32"/>
      <c r="E32"/>
      <c r="F32"/>
      <c r="G32"/>
    </row>
    <row r="33" spans="2:7" ht="15.75" thickBot="1" x14ac:dyDescent="0.3">
      <c r="B33" s="257" t="s">
        <v>2048</v>
      </c>
      <c r="C33"/>
      <c r="D33"/>
      <c r="E33"/>
      <c r="F33"/>
      <c r="G33"/>
    </row>
    <row r="34" spans="2:7" ht="15.75" thickBot="1" x14ac:dyDescent="0.3">
      <c r="B34" s="152" t="s">
        <v>1657</v>
      </c>
      <c r="C34" s="153" t="s">
        <v>2049</v>
      </c>
      <c r="D34" s="153" t="s">
        <v>2050</v>
      </c>
      <c r="E34" s="153" t="s">
        <v>2051</v>
      </c>
      <c r="F34" s="154" t="s">
        <v>2052</v>
      </c>
      <c r="G34"/>
    </row>
    <row r="35" spans="2:7" ht="15" x14ac:dyDescent="0.25">
      <c r="B35" s="155"/>
      <c r="C35" s="156" t="s">
        <v>248</v>
      </c>
      <c r="D35" s="156" t="s">
        <v>248</v>
      </c>
      <c r="E35" s="156" t="s">
        <v>248</v>
      </c>
      <c r="F35" s="157" t="s">
        <v>248</v>
      </c>
      <c r="G35"/>
    </row>
    <row r="36" spans="2:7" ht="15" x14ac:dyDescent="0.25">
      <c r="B36" s="158">
        <v>43799</v>
      </c>
      <c r="C36" s="128">
        <f>C22</f>
        <v>481.14</v>
      </c>
      <c r="D36" s="128">
        <f t="shared" ref="D36:D41" si="0">IF($C$25="arrears",C36*$C$24,(C36+E36)*$C$24)</f>
        <v>28.868399999999998</v>
      </c>
      <c r="E36" s="258">
        <f>IF(C25="ADVANCE",0,-$C$23)</f>
        <v>-180</v>
      </c>
      <c r="F36" s="114">
        <f t="shared" ref="F36:F41" si="1">C36+D36+E36</f>
        <v>330.00839999999999</v>
      </c>
      <c r="G36"/>
    </row>
    <row r="37" spans="2:7" ht="15" x14ac:dyDescent="0.25">
      <c r="B37" s="158">
        <f>B36+366</f>
        <v>44165</v>
      </c>
      <c r="C37" s="128">
        <f>F36</f>
        <v>330.00839999999999</v>
      </c>
      <c r="D37" s="128">
        <f t="shared" si="0"/>
        <v>19.800504</v>
      </c>
      <c r="E37" s="258">
        <f>-$C$23</f>
        <v>-180</v>
      </c>
      <c r="F37" s="114">
        <f t="shared" si="1"/>
        <v>169.80890399999998</v>
      </c>
      <c r="G37"/>
    </row>
    <row r="38" spans="2:7" ht="15" x14ac:dyDescent="0.25">
      <c r="B38" s="158">
        <f>B37+365</f>
        <v>44530</v>
      </c>
      <c r="C38" s="128">
        <f>F37</f>
        <v>169.80890399999998</v>
      </c>
      <c r="D38" s="128">
        <f t="shared" si="0"/>
        <v>10.188534239999999</v>
      </c>
      <c r="E38" s="258">
        <f>-$C$23</f>
        <v>-180</v>
      </c>
      <c r="F38" s="114">
        <f t="shared" si="1"/>
        <v>-2.5617600000202856E-3</v>
      </c>
      <c r="G38"/>
    </row>
    <row r="39" spans="2:7" ht="15" x14ac:dyDescent="0.25">
      <c r="B39" s="158">
        <f>B38+365</f>
        <v>44895</v>
      </c>
      <c r="C39" s="102">
        <f>F38</f>
        <v>-2.5617600000202856E-3</v>
      </c>
      <c r="D39" s="128">
        <f t="shared" si="0"/>
        <v>-1.5370560000121713E-4</v>
      </c>
      <c r="E39" s="258">
        <f>-$C$23</f>
        <v>-180</v>
      </c>
      <c r="F39" s="114">
        <f t="shared" si="1"/>
        <v>-180.00271546560003</v>
      </c>
      <c r="G39"/>
    </row>
    <row r="40" spans="2:7" ht="15" x14ac:dyDescent="0.25">
      <c r="B40" s="158">
        <f>B39+365</f>
        <v>45260</v>
      </c>
      <c r="C40" s="102">
        <f>F39</f>
        <v>-180.00271546560003</v>
      </c>
      <c r="D40" s="128">
        <f t="shared" si="0"/>
        <v>-10.800162927936002</v>
      </c>
      <c r="E40" s="258">
        <f>-$C$23</f>
        <v>-180</v>
      </c>
      <c r="F40" s="114">
        <f t="shared" si="1"/>
        <v>-370.80287839353605</v>
      </c>
      <c r="G40"/>
    </row>
    <row r="41" spans="2:7" ht="15" x14ac:dyDescent="0.25">
      <c r="B41" s="158">
        <f>B40+365</f>
        <v>45625</v>
      </c>
      <c r="C41" s="102">
        <f>F40</f>
        <v>-370.80287839353605</v>
      </c>
      <c r="D41" s="128">
        <f t="shared" si="0"/>
        <v>-22.248172703612163</v>
      </c>
      <c r="E41" s="258">
        <f>-$C$23</f>
        <v>-180</v>
      </c>
      <c r="F41" s="114">
        <f t="shared" si="1"/>
        <v>-573.05105109714827</v>
      </c>
      <c r="G41"/>
    </row>
    <row r="42" spans="2:7" ht="15" x14ac:dyDescent="0.25">
      <c r="B42" s="113"/>
      <c r="C42"/>
      <c r="D42"/>
      <c r="E42"/>
      <c r="F42" s="112"/>
      <c r="G42"/>
    </row>
    <row r="43" spans="2:7" ht="15" x14ac:dyDescent="0.25">
      <c r="B43" s="113"/>
      <c r="C43"/>
      <c r="D43"/>
      <c r="E43"/>
      <c r="F43" s="112"/>
      <c r="G43"/>
    </row>
    <row r="44" spans="2:7" ht="15" x14ac:dyDescent="0.25">
      <c r="B44" s="113" t="s">
        <v>2053</v>
      </c>
      <c r="C44" s="102">
        <f>F37</f>
        <v>169.80890399999998</v>
      </c>
      <c r="D44"/>
      <c r="E44"/>
      <c r="F44" s="112"/>
      <c r="G44"/>
    </row>
    <row r="45" spans="2:7" ht="15" x14ac:dyDescent="0.25">
      <c r="B45" s="113" t="s">
        <v>2054</v>
      </c>
      <c r="C45" s="102">
        <f>F36-F37</f>
        <v>160.19949600000001</v>
      </c>
      <c r="D45" s="104" t="s">
        <v>1663</v>
      </c>
      <c r="E45" s="102"/>
      <c r="F45" s="112"/>
      <c r="G45" t="s">
        <v>2055</v>
      </c>
    </row>
    <row r="46" spans="2:7" ht="15.75" thickBot="1" x14ac:dyDescent="0.3">
      <c r="B46" s="111" t="str">
        <f>"Lease payable at year end"</f>
        <v>Lease payable at year end</v>
      </c>
      <c r="C46" s="259">
        <f>C44+C45</f>
        <v>330.00839999999999</v>
      </c>
      <c r="D46"/>
      <c r="E46"/>
      <c r="F46" s="112"/>
      <c r="G46"/>
    </row>
    <row r="47" spans="2:7" ht="15.75" thickBot="1" x14ac:dyDescent="0.3">
      <c r="B47" s="118"/>
      <c r="C47" s="119"/>
      <c r="D47" s="119"/>
      <c r="E47" s="119"/>
      <c r="F47" s="120"/>
      <c r="G47"/>
    </row>
    <row r="48" spans="2:7" ht="15" x14ac:dyDescent="0.25">
      <c r="B48" s="103" t="s">
        <v>2056</v>
      </c>
      <c r="C48"/>
      <c r="D48"/>
      <c r="E48"/>
      <c r="F48"/>
      <c r="G48"/>
    </row>
    <row r="49" spans="2:7" ht="15" x14ac:dyDescent="0.25">
      <c r="B49" t="s">
        <v>2033</v>
      </c>
      <c r="C49" s="106">
        <f>C20</f>
        <v>496.14</v>
      </c>
      <c r="D49" s="106"/>
      <c r="E49"/>
      <c r="F49"/>
      <c r="G49"/>
    </row>
    <row r="50" spans="2:7" ht="15" x14ac:dyDescent="0.25">
      <c r="B50" t="s">
        <v>2057</v>
      </c>
      <c r="C50" s="106" cm="1">
        <f t="array" ref="C50">_xlfn.IFS(AND($C$26&lt;$C$27,$C$28="No"),(C49-$C$29)/$C$26,OR($C$27&lt;$C$26,$C$28="Yes"),(C49-$C$30)/$C$27)</f>
        <v>114.035</v>
      </c>
      <c r="D50" s="106"/>
      <c r="E50" s="102"/>
      <c r="F50"/>
      <c r="G50"/>
    </row>
    <row r="51" spans="2:7" ht="15" x14ac:dyDescent="0.25">
      <c r="B51" s="103"/>
      <c r="C51" s="106"/>
      <c r="D51" s="106"/>
      <c r="E51" s="102"/>
      <c r="F51"/>
      <c r="G51"/>
    </row>
    <row r="52" spans="2:7" ht="15.75" thickBot="1" x14ac:dyDescent="0.3">
      <c r="B52"/>
      <c r="C52" s="106"/>
      <c r="D52" s="106"/>
      <c r="E52" s="102"/>
      <c r="F52"/>
      <c r="G52"/>
    </row>
    <row r="53" spans="2:7" ht="15.75" thickBot="1" x14ac:dyDescent="0.3">
      <c r="B53" s="152" t="s">
        <v>2058</v>
      </c>
      <c r="C53" s="153"/>
      <c r="D53" s="154"/>
      <c r="E53" s="102"/>
      <c r="F53"/>
      <c r="G53"/>
    </row>
    <row r="54" spans="2:7" ht="15" x14ac:dyDescent="0.25">
      <c r="B54" s="113"/>
      <c r="C54" s="156" t="s">
        <v>2059</v>
      </c>
      <c r="D54" s="157" t="s">
        <v>2060</v>
      </c>
      <c r="E54" s="102"/>
      <c r="F54"/>
      <c r="G54"/>
    </row>
    <row r="55" spans="2:7" ht="15" x14ac:dyDescent="0.25">
      <c r="B55" s="113"/>
      <c r="C55" s="156"/>
      <c r="D55" s="157"/>
      <c r="E55" s="102"/>
      <c r="F55"/>
      <c r="G55"/>
    </row>
    <row r="56" spans="2:7" ht="15" x14ac:dyDescent="0.25">
      <c r="B56" s="113"/>
      <c r="C56" s="95" t="s">
        <v>44</v>
      </c>
      <c r="D56" s="260" t="s">
        <v>44</v>
      </c>
      <c r="E56" s="102"/>
      <c r="F56"/>
      <c r="G56"/>
    </row>
    <row r="57" spans="2:7" ht="15" x14ac:dyDescent="0.25">
      <c r="B57" s="113" t="s">
        <v>2061</v>
      </c>
      <c r="C57" s="258">
        <f>C20</f>
        <v>496.14</v>
      </c>
      <c r="D57" s="112"/>
      <c r="E57" s="102"/>
      <c r="F57"/>
      <c r="G57"/>
    </row>
    <row r="58" spans="2:7" ht="15" x14ac:dyDescent="0.25">
      <c r="B58" s="113" t="s">
        <v>377</v>
      </c>
      <c r="C58"/>
      <c r="D58" s="261">
        <f>C22</f>
        <v>481.14</v>
      </c>
      <c r="E58" s="102"/>
      <c r="F58"/>
      <c r="G58"/>
    </row>
    <row r="59" spans="2:7" ht="15" x14ac:dyDescent="0.25">
      <c r="B59" s="116" t="s">
        <v>838</v>
      </c>
      <c r="C59" s="262">
        <f>IF(C21&lt;0,C21,0)</f>
        <v>0</v>
      </c>
      <c r="D59" s="261">
        <f>IF(C21&gt;0,C21,0)</f>
        <v>15</v>
      </c>
      <c r="E59" s="102"/>
      <c r="F59"/>
      <c r="G59"/>
    </row>
    <row r="60" spans="2:7" ht="15" x14ac:dyDescent="0.25">
      <c r="B60" s="113"/>
      <c r="C60"/>
      <c r="D60" s="112"/>
      <c r="E60" s="102"/>
      <c r="F60"/>
      <c r="G60"/>
    </row>
    <row r="61" spans="2:7" ht="15" x14ac:dyDescent="0.25">
      <c r="B61" s="113"/>
      <c r="C61"/>
      <c r="D61" s="112"/>
      <c r="E61" s="102"/>
      <c r="F61"/>
      <c r="G61"/>
    </row>
    <row r="62" spans="2:7" ht="15" x14ac:dyDescent="0.25">
      <c r="B62" s="113"/>
      <c r="C62" s="156" t="s">
        <v>2059</v>
      </c>
      <c r="D62" s="157" t="s">
        <v>2060</v>
      </c>
      <c r="E62" s="102"/>
      <c r="F62"/>
      <c r="G62"/>
    </row>
    <row r="63" spans="2:7" ht="15" x14ac:dyDescent="0.25">
      <c r="B63" s="113"/>
      <c r="C63" s="95" t="s">
        <v>44</v>
      </c>
      <c r="D63" s="260" t="s">
        <v>44</v>
      </c>
      <c r="E63" s="102"/>
      <c r="F63"/>
      <c r="G63"/>
    </row>
    <row r="64" spans="2:7" ht="15" x14ac:dyDescent="0.25">
      <c r="B64" s="113" t="s">
        <v>2062</v>
      </c>
      <c r="C64" s="164">
        <f>D36</f>
        <v>28.868399999999998</v>
      </c>
      <c r="D64" s="112"/>
      <c r="E64" s="102"/>
      <c r="F64"/>
      <c r="G64"/>
    </row>
    <row r="65" spans="2:7" ht="15" x14ac:dyDescent="0.25">
      <c r="B65" s="116" t="s">
        <v>379</v>
      </c>
      <c r="C65"/>
      <c r="D65" s="261">
        <f>+C64</f>
        <v>28.868399999999998</v>
      </c>
      <c r="E65" s="102"/>
      <c r="F65" s="102"/>
      <c r="G65"/>
    </row>
    <row r="66" spans="2:7" ht="15" x14ac:dyDescent="0.25">
      <c r="B66" s="113"/>
      <c r="C66"/>
      <c r="D66" s="112"/>
      <c r="E66" s="102"/>
      <c r="F66"/>
      <c r="G66"/>
    </row>
    <row r="67" spans="2:7" ht="15" x14ac:dyDescent="0.25">
      <c r="B67" s="113"/>
      <c r="C67" s="156" t="s">
        <v>2059</v>
      </c>
      <c r="D67" s="157" t="s">
        <v>2060</v>
      </c>
      <c r="E67" s="102"/>
      <c r="F67"/>
      <c r="G67"/>
    </row>
    <row r="68" spans="2:7" ht="15" x14ac:dyDescent="0.25">
      <c r="B68" s="113"/>
      <c r="C68" s="95" t="s">
        <v>44</v>
      </c>
      <c r="D68" s="260" t="s">
        <v>44</v>
      </c>
      <c r="E68" s="102"/>
      <c r="F68"/>
      <c r="G68"/>
    </row>
    <row r="69" spans="2:7" ht="15" x14ac:dyDescent="0.25">
      <c r="B69" s="113" t="s">
        <v>2063</v>
      </c>
      <c r="C69" s="102">
        <f>C50</f>
        <v>114.035</v>
      </c>
      <c r="D69" s="112"/>
      <c r="E69" s="102"/>
      <c r="F69"/>
      <c r="G69"/>
    </row>
    <row r="70" spans="2:7" ht="15" x14ac:dyDescent="0.25">
      <c r="B70" s="113" t="s">
        <v>2064</v>
      </c>
      <c r="C70"/>
      <c r="D70" s="114">
        <f>C50</f>
        <v>114.035</v>
      </c>
      <c r="E70" s="102"/>
      <c r="F70"/>
      <c r="G70"/>
    </row>
    <row r="71" spans="2:7" ht="15" x14ac:dyDescent="0.25">
      <c r="B71" s="113"/>
      <c r="C71"/>
      <c r="D71" s="112"/>
      <c r="E71" s="102"/>
      <c r="F71"/>
      <c r="G71"/>
    </row>
    <row r="72" spans="2:7" ht="15.75" thickBot="1" x14ac:dyDescent="0.3">
      <c r="B72" s="118"/>
      <c r="C72" s="119"/>
      <c r="D72" s="120"/>
      <c r="E72" s="102"/>
      <c r="F72"/>
      <c r="G72"/>
    </row>
    <row r="74" spans="2:7" customFormat="1" ht="15" x14ac:dyDescent="0.25">
      <c r="B74" s="94" t="s">
        <v>2088</v>
      </c>
    </row>
    <row r="75" spans="2:7" customFormat="1" ht="15" x14ac:dyDescent="0.25">
      <c r="B75" s="103" t="s">
        <v>2087</v>
      </c>
      <c r="C75" s="102"/>
    </row>
    <row r="76" spans="2:7" customFormat="1" ht="15" x14ac:dyDescent="0.25">
      <c r="B76" s="103" t="s">
        <v>2086</v>
      </c>
      <c r="C76" s="102"/>
    </row>
    <row r="77" spans="2:7" customFormat="1" ht="15" x14ac:dyDescent="0.25">
      <c r="B77" s="103" t="s">
        <v>2085</v>
      </c>
      <c r="C77" s="102"/>
    </row>
    <row r="78" spans="2:7" customFormat="1" ht="15" x14ac:dyDescent="0.25">
      <c r="B78" s="103" t="s">
        <v>2084</v>
      </c>
      <c r="C78" s="102"/>
    </row>
    <row r="79" spans="2:7" customFormat="1" ht="15" x14ac:dyDescent="0.25">
      <c r="B79" s="265" t="s">
        <v>2083</v>
      </c>
    </row>
    <row r="80" spans="2:7" customFormat="1" ht="15" x14ac:dyDescent="0.25"/>
    <row r="81" spans="2:13" customFormat="1" ht="15" x14ac:dyDescent="0.25">
      <c r="B81" s="97" t="s">
        <v>2082</v>
      </c>
      <c r="C81" s="183">
        <v>2000</v>
      </c>
      <c r="K81" s="327" t="s">
        <v>2081</v>
      </c>
      <c r="L81" s="327"/>
      <c r="M81" s="327"/>
    </row>
    <row r="82" spans="2:13" customFormat="1" ht="15" x14ac:dyDescent="0.25">
      <c r="B82" s="97" t="s">
        <v>2080</v>
      </c>
      <c r="C82" s="183">
        <v>900</v>
      </c>
      <c r="K82" s="327"/>
      <c r="L82" s="327"/>
      <c r="M82" s="327"/>
    </row>
    <row r="83" spans="2:13" customFormat="1" ht="15" x14ac:dyDescent="0.25">
      <c r="B83" s="97" t="s">
        <v>2079</v>
      </c>
      <c r="C83" s="183">
        <f>+C81-C82</f>
        <v>1100</v>
      </c>
      <c r="K83" s="327"/>
      <c r="L83" s="327"/>
      <c r="M83" s="327"/>
    </row>
    <row r="84" spans="2:13" customFormat="1" ht="15" x14ac:dyDescent="0.25">
      <c r="B84" s="97" t="s">
        <v>2078</v>
      </c>
      <c r="C84" s="183">
        <v>1500</v>
      </c>
      <c r="K84" s="327"/>
      <c r="L84" s="327"/>
      <c r="M84" s="327"/>
    </row>
    <row r="85" spans="2:13" customFormat="1" ht="15" x14ac:dyDescent="0.25">
      <c r="B85" s="97" t="s">
        <v>2039</v>
      </c>
      <c r="C85" s="183">
        <v>130</v>
      </c>
      <c r="K85" s="103"/>
      <c r="L85" s="103"/>
      <c r="M85" s="103"/>
    </row>
    <row r="86" spans="2:13" customFormat="1" ht="15" x14ac:dyDescent="0.25">
      <c r="B86" s="97" t="s">
        <v>2042</v>
      </c>
      <c r="C86" s="183">
        <v>3</v>
      </c>
      <c r="K86" s="103"/>
      <c r="L86" s="103"/>
      <c r="M86" s="103"/>
    </row>
    <row r="87" spans="2:13" customFormat="1" ht="15" x14ac:dyDescent="0.25">
      <c r="B87" s="97" t="s">
        <v>2043</v>
      </c>
      <c r="C87" s="183">
        <v>18</v>
      </c>
      <c r="K87" s="103"/>
      <c r="L87" s="103"/>
      <c r="M87" s="103"/>
    </row>
    <row r="88" spans="2:13" customFormat="1" ht="15" x14ac:dyDescent="0.25">
      <c r="B88" s="97" t="s">
        <v>2040</v>
      </c>
      <c r="C88" s="213">
        <v>0.09</v>
      </c>
      <c r="K88" s="103"/>
      <c r="L88" s="103"/>
      <c r="M88" s="103"/>
    </row>
    <row r="89" spans="2:13" customFormat="1" ht="15" x14ac:dyDescent="0.25">
      <c r="B89" s="97" t="s">
        <v>2041</v>
      </c>
      <c r="C89" s="122" t="s">
        <v>1655</v>
      </c>
      <c r="J89" s="264">
        <f>C90/C84</f>
        <v>0.21935333333333334</v>
      </c>
      <c r="K89" s="103" t="s">
        <v>2077</v>
      </c>
      <c r="L89" s="103"/>
      <c r="M89" s="103"/>
    </row>
    <row r="90" spans="2:13" customFormat="1" ht="15" x14ac:dyDescent="0.25">
      <c r="B90" s="97" t="s">
        <v>2037</v>
      </c>
      <c r="C90" s="183">
        <f>+(C85*2.531)</f>
        <v>329.03000000000003</v>
      </c>
      <c r="D90" s="266" t="str">
        <f ca="1">IFERROR(_xlfn.FORMULATEXT(C90)," ")</f>
        <v>=+(C85*2.531)</v>
      </c>
      <c r="E90" s="224" t="s">
        <v>2076</v>
      </c>
      <c r="J90" s="102"/>
      <c r="K90" s="103"/>
      <c r="L90" s="103"/>
      <c r="M90" s="103"/>
    </row>
    <row r="91" spans="2:13" customFormat="1" ht="15" x14ac:dyDescent="0.25">
      <c r="B91" s="97" t="s">
        <v>1309</v>
      </c>
      <c r="C91" s="183">
        <v>1500</v>
      </c>
      <c r="D91" s="164"/>
      <c r="K91" s="103"/>
      <c r="L91" s="103"/>
      <c r="M91" s="103"/>
    </row>
    <row r="92" spans="2:13" customFormat="1" ht="15" x14ac:dyDescent="0.25">
      <c r="B92" s="97" t="s">
        <v>2075</v>
      </c>
      <c r="C92" s="267">
        <f>C91-C83</f>
        <v>400</v>
      </c>
      <c r="D92" s="266" t="s">
        <v>2074</v>
      </c>
      <c r="J92" s="242"/>
      <c r="K92" s="103"/>
      <c r="L92" s="103"/>
      <c r="M92" s="103"/>
    </row>
    <row r="93" spans="2:13" customFormat="1" ht="15" x14ac:dyDescent="0.25">
      <c r="C93" s="164"/>
      <c r="D93" s="164"/>
      <c r="J93" s="102"/>
      <c r="K93" s="103"/>
      <c r="L93" s="103"/>
      <c r="M93" s="103"/>
    </row>
    <row r="94" spans="2:13" customFormat="1" ht="15" x14ac:dyDescent="0.25">
      <c r="B94" s="263" t="s">
        <v>2091</v>
      </c>
      <c r="C94" s="164">
        <f>C91</f>
        <v>1500</v>
      </c>
      <c r="D94" s="164"/>
      <c r="K94" s="103"/>
      <c r="L94" s="103"/>
      <c r="M94" s="103"/>
    </row>
    <row r="95" spans="2:13" customFormat="1" ht="15" x14ac:dyDescent="0.25">
      <c r="B95" t="s">
        <v>2072</v>
      </c>
      <c r="C95" s="164">
        <f>(C83/C84)*C90</f>
        <v>241.28866666666667</v>
      </c>
      <c r="D95" s="266" t="s">
        <v>2071</v>
      </c>
      <c r="K95" s="103" t="s">
        <v>2070</v>
      </c>
      <c r="L95" s="103"/>
      <c r="M95" s="103"/>
    </row>
    <row r="96" spans="2:13" customFormat="1" ht="15" x14ac:dyDescent="0.25">
      <c r="B96" t="s">
        <v>2066</v>
      </c>
      <c r="C96" s="169">
        <f>C82</f>
        <v>900</v>
      </c>
      <c r="D96" s="164"/>
    </row>
    <row r="97" spans="2:14" customFormat="1" ht="15" x14ac:dyDescent="0.25">
      <c r="B97" t="s">
        <v>2073</v>
      </c>
      <c r="C97" s="89"/>
      <c r="D97" s="164">
        <f>C90</f>
        <v>329.03000000000003</v>
      </c>
      <c r="K97" s="103"/>
      <c r="L97" s="103"/>
      <c r="M97" s="103"/>
    </row>
    <row r="98" spans="2:14" customFormat="1" ht="15" x14ac:dyDescent="0.25">
      <c r="B98" t="str">
        <f>IF(C92&gt;0,"CR SPL - gain on sale","DR  SPL - loss on sale")</f>
        <v>CR SPL - gain on sale</v>
      </c>
      <c r="C98" s="164"/>
      <c r="D98" s="169">
        <f>C92/C84*(C91-C90)</f>
        <v>312.25866666666667</v>
      </c>
      <c r="E98" s="224" t="s">
        <v>2069</v>
      </c>
      <c r="L98" s="103" t="s">
        <v>2068</v>
      </c>
      <c r="M98" s="103"/>
      <c r="N98" s="103"/>
    </row>
    <row r="99" spans="2:14" customFormat="1" ht="15" x14ac:dyDescent="0.25">
      <c r="B99" t="s">
        <v>2067</v>
      </c>
      <c r="C99" s="164"/>
      <c r="D99" s="169">
        <f>C81</f>
        <v>2000</v>
      </c>
      <c r="L99" s="103"/>
      <c r="M99" s="103"/>
      <c r="N99" s="103"/>
    </row>
    <row r="100" spans="2:14" customFormat="1" ht="15" x14ac:dyDescent="0.25"/>
    <row r="101" spans="2:14" customFormat="1" ht="15" x14ac:dyDescent="0.25"/>
    <row r="102" spans="2:14" customFormat="1" ht="15" x14ac:dyDescent="0.25"/>
    <row r="103" spans="2:14" customFormat="1" ht="15" x14ac:dyDescent="0.25">
      <c r="B103" t="s">
        <v>2033</v>
      </c>
      <c r="C103" s="169">
        <f>C95</f>
        <v>241.28866666666667</v>
      </c>
    </row>
    <row r="104" spans="2:14" customFormat="1" ht="15" x14ac:dyDescent="0.25">
      <c r="B104" t="s">
        <v>2065</v>
      </c>
      <c r="C104" s="169">
        <f>IF(C86&lt;C87,C103/C86,C103/C87)</f>
        <v>80.429555555555552</v>
      </c>
      <c r="D104" s="224" t="str">
        <f>IF(C86&lt;C87,"="&amp;C103&amp;"/"&amp;C86,"="&amp;C103&amp;"/"&amp;C87)</f>
        <v>=241.288666666667/3</v>
      </c>
      <c r="E104" s="102"/>
    </row>
    <row r="109" spans="2:14" x14ac:dyDescent="0.2">
      <c r="B109" s="1" t="s">
        <v>2089</v>
      </c>
    </row>
    <row r="110" spans="2:14" x14ac:dyDescent="0.2">
      <c r="B110" s="1" t="s">
        <v>2099</v>
      </c>
    </row>
    <row r="111" spans="2:14" x14ac:dyDescent="0.2">
      <c r="B111" s="1" t="s">
        <v>2100</v>
      </c>
    </row>
    <row r="115" spans="2:6" x14ac:dyDescent="0.2">
      <c r="B115" s="1" t="s">
        <v>2092</v>
      </c>
      <c r="C115" s="1">
        <f>5+9*1</f>
        <v>14</v>
      </c>
    </row>
    <row r="116" spans="2:6" x14ac:dyDescent="0.2">
      <c r="B116" s="1" t="s">
        <v>2093</v>
      </c>
      <c r="C116" s="1">
        <f>5+5*1</f>
        <v>10</v>
      </c>
    </row>
    <row r="117" spans="2:6" x14ac:dyDescent="0.2">
      <c r="B117" s="1" t="s">
        <v>2094</v>
      </c>
      <c r="C117" s="89">
        <f>5/9*C115</f>
        <v>7.7777777777777786</v>
      </c>
    </row>
    <row r="118" spans="2:6" x14ac:dyDescent="0.2">
      <c r="B118" s="1" t="s">
        <v>2095</v>
      </c>
      <c r="C118" s="89">
        <f>+C116-C117</f>
        <v>2.2222222222222214</v>
      </c>
    </row>
    <row r="121" spans="2:6" x14ac:dyDescent="0.2">
      <c r="B121" s="1" t="s">
        <v>2096</v>
      </c>
      <c r="E121" s="89">
        <f>+C118</f>
        <v>2.2222222222222214</v>
      </c>
    </row>
    <row r="122" spans="2:6" x14ac:dyDescent="0.2">
      <c r="C122" s="1" t="s">
        <v>2097</v>
      </c>
      <c r="F122" s="89">
        <f>+E121</f>
        <v>2.2222222222222214</v>
      </c>
    </row>
    <row r="123" spans="2:6" x14ac:dyDescent="0.2">
      <c r="B123" s="1" t="s">
        <v>2098</v>
      </c>
    </row>
  </sheetData>
  <mergeCells count="1">
    <mergeCell ref="K81:M84"/>
  </mergeCells>
  <hyperlinks>
    <hyperlink ref="A1" location="Main!A1" display="Main" xr:uid="{3275CE90-9AB9-4C0A-8A42-3166CE604896}"/>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E0EFD-7D24-4822-A66F-AC84C11ACFF0}">
  <sheetPr codeName="Sheet19"/>
  <dimension ref="A1:E43"/>
  <sheetViews>
    <sheetView zoomScale="160" zoomScaleNormal="160" workbookViewId="0"/>
  </sheetViews>
  <sheetFormatPr defaultRowHeight="12" x14ac:dyDescent="0.2"/>
  <cols>
    <col min="1" max="16384" width="9.140625" style="1"/>
  </cols>
  <sheetData>
    <row r="1" spans="1:5" ht="15" x14ac:dyDescent="0.25">
      <c r="A1" s="2" t="s">
        <v>0</v>
      </c>
    </row>
    <row r="12" spans="1:5" x14ac:dyDescent="0.2">
      <c r="B12" s="1" t="s">
        <v>1398</v>
      </c>
    </row>
    <row r="15" spans="1:5" x14ac:dyDescent="0.2">
      <c r="C15" s="1" t="s">
        <v>281</v>
      </c>
      <c r="D15" s="1" t="s">
        <v>1408</v>
      </c>
      <c r="E15" s="1" t="s">
        <v>1409</v>
      </c>
    </row>
    <row r="16" spans="1:5" x14ac:dyDescent="0.2">
      <c r="C16" s="11" t="s">
        <v>44</v>
      </c>
      <c r="D16" s="11" t="s">
        <v>44</v>
      </c>
      <c r="E16" s="11" t="s">
        <v>44</v>
      </c>
    </row>
    <row r="17" spans="2:5" x14ac:dyDescent="0.2">
      <c r="B17" s="1" t="s">
        <v>1405</v>
      </c>
      <c r="C17" s="89">
        <v>63000</v>
      </c>
      <c r="D17" s="89">
        <v>8400</v>
      </c>
      <c r="E17" s="89">
        <f t="shared" ref="E17:E22" si="0">+C17-D17</f>
        <v>54600</v>
      </c>
    </row>
    <row r="18" spans="2:5" x14ac:dyDescent="0.2">
      <c r="B18" s="1" t="s">
        <v>1404</v>
      </c>
      <c r="C18" s="89">
        <v>-45000</v>
      </c>
      <c r="D18" s="89">
        <v>-8250</v>
      </c>
      <c r="E18" s="89">
        <f t="shared" si="0"/>
        <v>-36750</v>
      </c>
    </row>
    <row r="19" spans="2:5" x14ac:dyDescent="0.2">
      <c r="B19" s="1" t="s">
        <v>1402</v>
      </c>
      <c r="C19" s="89">
        <v>-750</v>
      </c>
      <c r="D19" s="89">
        <v>-180</v>
      </c>
      <c r="E19" s="89">
        <f t="shared" si="0"/>
        <v>-570</v>
      </c>
    </row>
    <row r="20" spans="2:5" x14ac:dyDescent="0.2">
      <c r="B20" s="1" t="s">
        <v>1401</v>
      </c>
      <c r="C20" s="89">
        <v>-2940</v>
      </c>
      <c r="D20" s="89">
        <v>-1500</v>
      </c>
      <c r="E20" s="89">
        <f t="shared" si="0"/>
        <v>-1440</v>
      </c>
    </row>
    <row r="21" spans="2:5" x14ac:dyDescent="0.2">
      <c r="B21" s="1" t="s">
        <v>390</v>
      </c>
      <c r="C21" s="89">
        <v>-1590</v>
      </c>
      <c r="D21" s="89">
        <v>0</v>
      </c>
      <c r="E21" s="89">
        <f t="shared" si="0"/>
        <v>-1590</v>
      </c>
    </row>
    <row r="22" spans="2:5" x14ac:dyDescent="0.2">
      <c r="B22" s="1" t="s">
        <v>1399</v>
      </c>
      <c r="C22" s="89">
        <v>-3600</v>
      </c>
      <c r="D22" s="89">
        <v>420</v>
      </c>
      <c r="E22" s="89">
        <f t="shared" si="0"/>
        <v>-4020</v>
      </c>
    </row>
    <row r="23" spans="2:5" x14ac:dyDescent="0.2">
      <c r="B23" s="1" t="s">
        <v>1411</v>
      </c>
      <c r="C23" s="89"/>
      <c r="D23" s="89">
        <f>+D29</f>
        <v>840</v>
      </c>
      <c r="E23" s="89"/>
    </row>
    <row r="24" spans="2:5" ht="12.75" thickBot="1" x14ac:dyDescent="0.25">
      <c r="B24" s="1" t="s">
        <v>1415</v>
      </c>
      <c r="C24" s="90">
        <f>SUM(C17:C23)</f>
        <v>9120</v>
      </c>
      <c r="D24" s="90">
        <f>SUM(D17:D23)</f>
        <v>-270</v>
      </c>
      <c r="E24" s="90">
        <f>SUM(E17:E23)</f>
        <v>10230</v>
      </c>
    </row>
    <row r="25" spans="2:5" ht="12.75" thickTop="1" x14ac:dyDescent="0.2"/>
    <row r="27" spans="2:5" x14ac:dyDescent="0.2">
      <c r="B27" s="1" t="s">
        <v>1309</v>
      </c>
      <c r="D27" s="1">
        <v>13800</v>
      </c>
    </row>
    <row r="28" spans="2:5" x14ac:dyDescent="0.2">
      <c r="B28" s="1" t="s">
        <v>1406</v>
      </c>
      <c r="D28" s="1">
        <v>12960</v>
      </c>
    </row>
    <row r="29" spans="2:5" x14ac:dyDescent="0.2">
      <c r="B29" s="1" t="s">
        <v>1407</v>
      </c>
      <c r="D29" s="1">
        <f>+D27-D28</f>
        <v>840</v>
      </c>
      <c r="E29" s="1" t="s">
        <v>1410</v>
      </c>
    </row>
    <row r="31" spans="2:5" x14ac:dyDescent="0.2">
      <c r="E31" s="11" t="s">
        <v>44</v>
      </c>
    </row>
    <row r="32" spans="2:5" x14ac:dyDescent="0.2">
      <c r="B32" s="1" t="s">
        <v>1405</v>
      </c>
      <c r="E32" s="89">
        <f>+C17-D17</f>
        <v>54600</v>
      </c>
    </row>
    <row r="33" spans="2:5" x14ac:dyDescent="0.2">
      <c r="B33" s="1" t="s">
        <v>1404</v>
      </c>
      <c r="E33" s="91">
        <f>+C18-D18</f>
        <v>-36750</v>
      </c>
    </row>
    <row r="34" spans="2:5" x14ac:dyDescent="0.2">
      <c r="B34" s="1" t="s">
        <v>1403</v>
      </c>
      <c r="E34" s="89">
        <f>SUM(E32:E33)</f>
        <v>17850</v>
      </c>
    </row>
    <row r="35" spans="2:5" x14ac:dyDescent="0.2">
      <c r="B35" s="1" t="s">
        <v>1402</v>
      </c>
      <c r="E35" s="89">
        <f>+C19-D19</f>
        <v>-570</v>
      </c>
    </row>
    <row r="36" spans="2:5" x14ac:dyDescent="0.2">
      <c r="B36" s="1" t="s">
        <v>1401</v>
      </c>
      <c r="E36" s="89">
        <f>+C20-D20</f>
        <v>-1440</v>
      </c>
    </row>
    <row r="37" spans="2:5" x14ac:dyDescent="0.2">
      <c r="B37" s="1" t="s">
        <v>390</v>
      </c>
      <c r="E37" s="91">
        <f>+C21-D21</f>
        <v>-1590</v>
      </c>
    </row>
    <row r="38" spans="2:5" x14ac:dyDescent="0.2">
      <c r="B38" s="1" t="s">
        <v>1400</v>
      </c>
      <c r="E38" s="89">
        <f>SUM(E34:E37)</f>
        <v>14250</v>
      </c>
    </row>
    <row r="39" spans="2:5" x14ac:dyDescent="0.2">
      <c r="B39" s="1" t="s">
        <v>1399</v>
      </c>
      <c r="E39" s="91">
        <f>+C22-D22</f>
        <v>-4020</v>
      </c>
    </row>
    <row r="40" spans="2:5" x14ac:dyDescent="0.2">
      <c r="B40" s="1" t="s">
        <v>1412</v>
      </c>
      <c r="E40" s="89">
        <f>+E24</f>
        <v>10230</v>
      </c>
    </row>
    <row r="41" spans="2:5" x14ac:dyDescent="0.2">
      <c r="B41" s="1" t="s">
        <v>1413</v>
      </c>
      <c r="E41" s="89">
        <f>+D24</f>
        <v>-270</v>
      </c>
    </row>
    <row r="42" spans="2:5" ht="12.75" thickBot="1" x14ac:dyDescent="0.25">
      <c r="B42" s="1" t="s">
        <v>1414</v>
      </c>
      <c r="E42" s="90">
        <f>SUM(E40:E41)</f>
        <v>9960</v>
      </c>
    </row>
    <row r="43" spans="2:5" ht="12.75" thickTop="1" x14ac:dyDescent="0.2"/>
  </sheetData>
  <hyperlinks>
    <hyperlink ref="A1" location="Main!A1" display="Main" xr:uid="{FC85A8AA-6CC3-49B6-BBFD-914837FFC471}"/>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BCDD2-D3BF-445C-B36B-782F273004EE}">
  <dimension ref="A1:O64"/>
  <sheetViews>
    <sheetView zoomScale="85" zoomScaleNormal="85" workbookViewId="0"/>
  </sheetViews>
  <sheetFormatPr defaultRowHeight="12" x14ac:dyDescent="0.2"/>
  <cols>
    <col min="1" max="1" width="9.140625" style="1"/>
    <col min="2" max="2" width="21.85546875" style="1" customWidth="1"/>
    <col min="3" max="3" width="13.28515625" style="1" bestFit="1" customWidth="1"/>
    <col min="4" max="4" width="11.5703125" style="1" bestFit="1" customWidth="1"/>
    <col min="5" max="6" width="13.28515625" style="1" bestFit="1" customWidth="1"/>
    <col min="7" max="7" width="11.5703125" style="1" bestFit="1" customWidth="1"/>
    <col min="8" max="8" width="9.140625" style="1"/>
    <col min="9" max="9" width="2.140625" style="1" bestFit="1" customWidth="1"/>
    <col min="10" max="10" width="21" style="1" bestFit="1" customWidth="1"/>
    <col min="11" max="11" width="9.140625" style="1"/>
    <col min="12" max="13" width="11.5703125" style="1" bestFit="1" customWidth="1"/>
    <col min="14" max="16384" width="9.140625" style="1"/>
  </cols>
  <sheetData>
    <row r="1" spans="1:15" ht="15" x14ac:dyDescent="0.25">
      <c r="A1" s="2" t="s">
        <v>0</v>
      </c>
    </row>
    <row r="2" spans="1:15" x14ac:dyDescent="0.2">
      <c r="B2" s="1" t="s">
        <v>1893</v>
      </c>
    </row>
    <row r="3" spans="1:15" x14ac:dyDescent="0.2">
      <c r="B3" s="1" t="s">
        <v>5</v>
      </c>
      <c r="C3" s="3">
        <v>44681</v>
      </c>
    </row>
    <row r="12" spans="1:15" customFormat="1" ht="18.75" x14ac:dyDescent="0.3">
      <c r="B12" s="181" t="s">
        <v>1718</v>
      </c>
      <c r="C12" s="182"/>
      <c r="D12" s="182"/>
      <c r="E12" s="182"/>
      <c r="F12" s="182"/>
      <c r="G12" s="182"/>
      <c r="H12" s="182"/>
      <c r="I12" s="182"/>
      <c r="J12" s="182"/>
      <c r="K12" s="182"/>
      <c r="L12" s="182"/>
      <c r="M12" s="182"/>
    </row>
    <row r="13" spans="1:15" customFormat="1" ht="15" x14ac:dyDescent="0.25">
      <c r="B13" s="103" t="s">
        <v>1719</v>
      </c>
      <c r="O13" s="103" t="s">
        <v>1720</v>
      </c>
    </row>
    <row r="14" spans="1:15" customFormat="1" ht="15" x14ac:dyDescent="0.25">
      <c r="B14" s="103" t="s">
        <v>1721</v>
      </c>
      <c r="O14" s="103" t="s">
        <v>1722</v>
      </c>
    </row>
    <row r="15" spans="1:15" customFormat="1" ht="15" x14ac:dyDescent="0.25">
      <c r="B15" s="103" t="s">
        <v>1723</v>
      </c>
      <c r="O15" s="103"/>
    </row>
    <row r="16" spans="1:15" customFormat="1" ht="15" x14ac:dyDescent="0.25">
      <c r="B16" s="103" t="s">
        <v>1724</v>
      </c>
      <c r="O16" s="103"/>
    </row>
    <row r="17" spans="2:15" customFormat="1" ht="15" x14ac:dyDescent="0.25">
      <c r="B17" t="s">
        <v>1725</v>
      </c>
      <c r="D17" s="104">
        <v>700</v>
      </c>
      <c r="O17" s="103" t="s">
        <v>1726</v>
      </c>
    </row>
    <row r="18" spans="2:15" customFormat="1" ht="15" x14ac:dyDescent="0.25">
      <c r="B18" t="s">
        <v>1727</v>
      </c>
      <c r="D18" s="183">
        <v>500</v>
      </c>
    </row>
    <row r="19" spans="2:15" customFormat="1" ht="15" x14ac:dyDescent="0.25">
      <c r="B19" t="s">
        <v>1728</v>
      </c>
      <c r="D19" s="104">
        <v>3</v>
      </c>
      <c r="E19" t="s">
        <v>740</v>
      </c>
      <c r="O19" s="103" t="str">
        <f>"At year end, the share option scheme is at the end of year x of a "&amp;D19&amp;" year vesting period and therefore x/"&amp;D19&amp;" of the total fair value should be accounted for:"</f>
        <v>At year end, the share option scheme is at the end of year x of a 3 year vesting period and therefore x/3 of the total fair value should be accounted for:</v>
      </c>
    </row>
    <row r="20" spans="2:15" customFormat="1" ht="15" x14ac:dyDescent="0.25">
      <c r="B20" t="s">
        <v>1729</v>
      </c>
      <c r="D20" s="212">
        <v>4.5</v>
      </c>
      <c r="O20" s="103"/>
    </row>
    <row r="21" spans="2:15" customFormat="1" ht="15" x14ac:dyDescent="0.25">
      <c r="O21" s="103" t="s">
        <v>1730</v>
      </c>
    </row>
    <row r="22" spans="2:15" customFormat="1" ht="15" x14ac:dyDescent="0.25">
      <c r="B22" t="s">
        <v>1731</v>
      </c>
      <c r="D22" s="185">
        <f>(D17*D18*D20)/D19</f>
        <v>525000</v>
      </c>
      <c r="O22" s="103"/>
    </row>
    <row r="23" spans="2:15" customFormat="1" ht="15" x14ac:dyDescent="0.25">
      <c r="D23" s="185"/>
      <c r="O23" s="103" t="s">
        <v>1732</v>
      </c>
    </row>
    <row r="24" spans="2:15" customFormat="1" ht="15" x14ac:dyDescent="0.25">
      <c r="B24" s="103" t="s">
        <v>1733</v>
      </c>
      <c r="D24" s="185"/>
      <c r="O24" s="103" t="s">
        <v>1730</v>
      </c>
    </row>
    <row r="25" spans="2:15" customFormat="1" ht="15" x14ac:dyDescent="0.25">
      <c r="B25" s="103" t="s">
        <v>1734</v>
      </c>
    </row>
    <row r="26" spans="2:15" customFormat="1" ht="15.75" thickBot="1" x14ac:dyDescent="0.3">
      <c r="B26" s="103" t="s">
        <v>1735</v>
      </c>
    </row>
    <row r="27" spans="2:15" customFormat="1" ht="15" x14ac:dyDescent="0.25">
      <c r="B27" s="186" t="s">
        <v>1736</v>
      </c>
      <c r="C27" s="187" t="s">
        <v>1737</v>
      </c>
      <c r="D27" s="108" t="s">
        <v>1738</v>
      </c>
      <c r="E27" s="108" t="s">
        <v>1739</v>
      </c>
      <c r="F27" s="187" t="s">
        <v>1116</v>
      </c>
      <c r="G27" s="188" t="s">
        <v>917</v>
      </c>
      <c r="I27" s="126" t="s">
        <v>220</v>
      </c>
      <c r="J27" s="108"/>
      <c r="K27" s="108"/>
      <c r="L27" s="108"/>
      <c r="M27" s="109"/>
    </row>
    <row r="28" spans="2:15" customFormat="1" ht="15" x14ac:dyDescent="0.25">
      <c r="B28" s="211">
        <v>45046</v>
      </c>
      <c r="F28" s="97" t="s">
        <v>44</v>
      </c>
      <c r="G28" s="189" t="s">
        <v>44</v>
      </c>
      <c r="I28" s="113"/>
      <c r="M28" s="112"/>
      <c r="N28" s="103" t="s">
        <v>1740</v>
      </c>
    </row>
    <row r="29" spans="2:15" customFormat="1" ht="15" x14ac:dyDescent="0.25">
      <c r="B29" s="113">
        <v>1</v>
      </c>
      <c r="C29" s="104">
        <v>665</v>
      </c>
      <c r="D29" s="128">
        <f>C29*$D$18</f>
        <v>332500</v>
      </c>
      <c r="E29" s="128">
        <f>D29*$D$20</f>
        <v>1496250</v>
      </c>
      <c r="F29" s="128">
        <f>E29/$D$19*B29</f>
        <v>498750</v>
      </c>
      <c r="G29" s="114">
        <f>F29</f>
        <v>498750</v>
      </c>
      <c r="I29" s="328">
        <v>1</v>
      </c>
      <c r="J29" t="s">
        <v>1741</v>
      </c>
      <c r="L29" s="102">
        <f>G29</f>
        <v>498750</v>
      </c>
      <c r="M29" s="112"/>
      <c r="N29" s="103" t="s">
        <v>1742</v>
      </c>
    </row>
    <row r="30" spans="2:15" customFormat="1" ht="15" x14ac:dyDescent="0.25">
      <c r="B30" s="211">
        <v>45412</v>
      </c>
      <c r="C30" t="str">
        <f ca="1">IFERROR(_xlfn.FORMULATEXT(C29)," ")</f>
        <v xml:space="preserve"> </v>
      </c>
      <c r="D30" s="210"/>
      <c r="E30" s="210"/>
      <c r="F30" s="210"/>
      <c r="G30" s="114"/>
      <c r="I30" s="328"/>
      <c r="J30" t="s">
        <v>1743</v>
      </c>
      <c r="M30" s="114">
        <f>G29</f>
        <v>498750</v>
      </c>
    </row>
    <row r="31" spans="2:15" customFormat="1" ht="15" x14ac:dyDescent="0.25">
      <c r="B31" s="113">
        <v>2</v>
      </c>
      <c r="C31" s="104">
        <f>700-35</f>
        <v>665</v>
      </c>
      <c r="D31" s="128">
        <f>C31*$D$18</f>
        <v>332500</v>
      </c>
      <c r="E31" s="128">
        <f>D31*$D$20</f>
        <v>1496250</v>
      </c>
      <c r="F31" s="128">
        <f>E31/$D$19*B31</f>
        <v>997500</v>
      </c>
      <c r="G31" s="114">
        <f>F31-F29</f>
        <v>498750</v>
      </c>
      <c r="I31" s="328">
        <v>2</v>
      </c>
      <c r="J31" t="s">
        <v>1741</v>
      </c>
      <c r="L31" s="102">
        <f>G31</f>
        <v>498750</v>
      </c>
      <c r="M31" s="112"/>
    </row>
    <row r="32" spans="2:15" customFormat="1" ht="15" x14ac:dyDescent="0.25">
      <c r="B32" s="211">
        <v>45777</v>
      </c>
      <c r="C32" s="97" t="str">
        <f ca="1">IFERROR(_xlfn.FORMULATEXT(C31)," ")</f>
        <v>=700-35</v>
      </c>
      <c r="D32" s="210"/>
      <c r="E32" s="210"/>
      <c r="F32" s="210"/>
      <c r="G32" s="114"/>
      <c r="I32" s="328"/>
      <c r="J32" t="s">
        <v>1743</v>
      </c>
      <c r="M32" s="114">
        <f>G31</f>
        <v>498750</v>
      </c>
    </row>
    <row r="33" spans="2:13" customFormat="1" ht="15" x14ac:dyDescent="0.25">
      <c r="B33" s="113">
        <v>3</v>
      </c>
      <c r="C33" s="104">
        <f>700-97</f>
        <v>603</v>
      </c>
      <c r="D33" s="128">
        <f>C33*$D$18</f>
        <v>301500</v>
      </c>
      <c r="E33" s="128">
        <f>D33*$D$20</f>
        <v>1356750</v>
      </c>
      <c r="F33" s="128">
        <f>E33/$D$19*B33</f>
        <v>1356750</v>
      </c>
      <c r="G33" s="114">
        <f>F33-F31</f>
        <v>359250</v>
      </c>
      <c r="I33" s="328">
        <v>3</v>
      </c>
      <c r="J33" t="s">
        <v>1741</v>
      </c>
      <c r="L33" s="102">
        <f>G33</f>
        <v>359250</v>
      </c>
      <c r="M33" s="112"/>
    </row>
    <row r="34" spans="2:13" customFormat="1" ht="15.75" thickBot="1" x14ac:dyDescent="0.3">
      <c r="B34" s="118"/>
      <c r="C34" s="119" t="str">
        <f ca="1">IFERROR(_xlfn.FORMULATEXT(C33)," ")</f>
        <v>=700-97</v>
      </c>
      <c r="D34" s="119"/>
      <c r="E34" s="119"/>
      <c r="F34" s="119"/>
      <c r="G34" s="120"/>
      <c r="I34" s="329"/>
      <c r="J34" s="119" t="s">
        <v>1743</v>
      </c>
      <c r="K34" s="119"/>
      <c r="L34" s="119"/>
      <c r="M34" s="207">
        <f>G33</f>
        <v>359250</v>
      </c>
    </row>
    <row r="35" spans="2:13" customFormat="1" ht="15" x14ac:dyDescent="0.25">
      <c r="I35" s="215"/>
      <c r="M35" s="102"/>
    </row>
    <row r="36" spans="2:13" customFormat="1" ht="15" x14ac:dyDescent="0.25">
      <c r="B36" s="209" t="s">
        <v>1861</v>
      </c>
      <c r="C36" s="208"/>
      <c r="D36" s="208"/>
    </row>
    <row r="37" spans="2:13" customFormat="1" ht="15" x14ac:dyDescent="0.25">
      <c r="B37" s="103" t="s">
        <v>1863</v>
      </c>
    </row>
    <row r="38" spans="2:13" customFormat="1" ht="15" x14ac:dyDescent="0.25">
      <c r="B38" t="s">
        <v>1860</v>
      </c>
      <c r="C38" s="214">
        <f>SUM(L28:L34)</f>
        <v>1356750</v>
      </c>
    </row>
    <row r="39" spans="2:13" customFormat="1" ht="15" x14ac:dyDescent="0.25"/>
    <row r="40" spans="2:13" customFormat="1" ht="15" x14ac:dyDescent="0.25">
      <c r="B40" t="s">
        <v>1859</v>
      </c>
      <c r="C40" s="212">
        <v>4.25</v>
      </c>
    </row>
    <row r="41" spans="2:13" customFormat="1" ht="15" x14ac:dyDescent="0.25">
      <c r="B41" t="s">
        <v>1858</v>
      </c>
      <c r="C41" s="212">
        <v>1</v>
      </c>
    </row>
    <row r="42" spans="2:13" customFormat="1" ht="15" x14ac:dyDescent="0.25">
      <c r="B42" t="s">
        <v>1857</v>
      </c>
      <c r="C42" s="183">
        <f>+D33</f>
        <v>301500</v>
      </c>
      <c r="D42" s="103" t="str">
        <f ca="1">IFERROR(_xlfn.FORMULATEXT(C42)," ")</f>
        <v>=+D33</v>
      </c>
    </row>
    <row r="43" spans="2:13" customFormat="1" ht="15" x14ac:dyDescent="0.25">
      <c r="B43" t="s">
        <v>1856</v>
      </c>
      <c r="C43" s="213">
        <v>1</v>
      </c>
    </row>
    <row r="44" spans="2:13" customFormat="1" ht="15" x14ac:dyDescent="0.25"/>
    <row r="45" spans="2:13" customFormat="1" ht="15" x14ac:dyDescent="0.25">
      <c r="B45" t="s">
        <v>973</v>
      </c>
      <c r="C45" s="106">
        <f>C42*C41</f>
        <v>301500</v>
      </c>
    </row>
    <row r="46" spans="2:13" customFormat="1" ht="15" x14ac:dyDescent="0.25">
      <c r="B46" t="s">
        <v>974</v>
      </c>
      <c r="C46" s="106">
        <f>(C40-C41)*C42</f>
        <v>979875</v>
      </c>
    </row>
    <row r="47" spans="2:13" customFormat="1" ht="15" x14ac:dyDescent="0.25">
      <c r="C47" s="221">
        <f>SUM(C45:C46)</f>
        <v>1281375</v>
      </c>
    </row>
    <row r="48" spans="2:13" customFormat="1" ht="15" x14ac:dyDescent="0.25"/>
    <row r="49" spans="2:6" customFormat="1" ht="15" x14ac:dyDescent="0.25">
      <c r="B49" s="104" t="s">
        <v>1862</v>
      </c>
      <c r="C49" s="102">
        <f>C47</f>
        <v>1281375</v>
      </c>
    </row>
    <row r="50" spans="2:6" customFormat="1" ht="15" x14ac:dyDescent="0.25">
      <c r="B50" t="s">
        <v>1855</v>
      </c>
      <c r="D50" s="102">
        <f>C45</f>
        <v>301500</v>
      </c>
    </row>
    <row r="51" spans="2:6" customFormat="1" ht="15" x14ac:dyDescent="0.25">
      <c r="B51" t="s">
        <v>1854</v>
      </c>
      <c r="D51" s="102">
        <f>C46</f>
        <v>979875</v>
      </c>
    </row>
    <row r="55" spans="2:6" x14ac:dyDescent="0.2">
      <c r="B55" s="1" t="s">
        <v>1894</v>
      </c>
    </row>
    <row r="57" spans="2:6" x14ac:dyDescent="0.2">
      <c r="B57" s="1" t="s">
        <v>536</v>
      </c>
      <c r="E57" s="222">
        <f>665*500*4.5*1/3</f>
        <v>498750</v>
      </c>
    </row>
    <row r="58" spans="2:6" x14ac:dyDescent="0.2">
      <c r="C58" s="1" t="s">
        <v>1895</v>
      </c>
      <c r="F58" s="222">
        <f>+E57</f>
        <v>498750</v>
      </c>
    </row>
    <row r="60" spans="2:6" x14ac:dyDescent="0.2">
      <c r="B60" s="1" t="s">
        <v>1896</v>
      </c>
      <c r="E60" s="89">
        <f>+(700-97)*500*4.8</f>
        <v>1447200</v>
      </c>
    </row>
    <row r="61" spans="2:6" x14ac:dyDescent="0.2">
      <c r="E61" s="89"/>
    </row>
    <row r="62" spans="2:6" x14ac:dyDescent="0.2">
      <c r="B62" s="1" t="s">
        <v>1897</v>
      </c>
      <c r="E62" s="89">
        <f>+E60</f>
        <v>1447200</v>
      </c>
    </row>
    <row r="63" spans="2:6" x14ac:dyDescent="0.2">
      <c r="C63" s="1" t="s">
        <v>344</v>
      </c>
      <c r="F63" s="89">
        <f>+E62</f>
        <v>1447200</v>
      </c>
    </row>
    <row r="64" spans="2:6" x14ac:dyDescent="0.2">
      <c r="B64" s="1" t="s">
        <v>1898</v>
      </c>
    </row>
  </sheetData>
  <mergeCells count="3">
    <mergeCell ref="I29:I30"/>
    <mergeCell ref="I31:I32"/>
    <mergeCell ref="I33:I34"/>
  </mergeCells>
  <hyperlinks>
    <hyperlink ref="A1" location="Main!A1" display="Main" xr:uid="{B6FC2236-C803-4A4F-93EC-4D239222EE76}"/>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B793D-271D-4481-B4F4-B36F432D6AC0}">
  <sheetPr codeName="Sheet29"/>
  <dimension ref="A1:I104"/>
  <sheetViews>
    <sheetView zoomScale="115" zoomScaleNormal="115" workbookViewId="0"/>
  </sheetViews>
  <sheetFormatPr defaultRowHeight="12" x14ac:dyDescent="0.2"/>
  <cols>
    <col min="1" max="1" width="10.42578125" style="1" customWidth="1"/>
    <col min="2" max="2" width="14" style="1" bestFit="1" customWidth="1"/>
    <col min="3" max="3" width="12.42578125" style="1" customWidth="1"/>
    <col min="4" max="6" width="12.28515625" style="1" bestFit="1" customWidth="1"/>
    <col min="7" max="16384" width="9.140625" style="1"/>
  </cols>
  <sheetData>
    <row r="1" spans="1:9" ht="15" x14ac:dyDescent="0.25">
      <c r="A1" s="2" t="s">
        <v>0</v>
      </c>
    </row>
    <row r="2" spans="1:9" x14ac:dyDescent="0.2">
      <c r="B2" s="1" t="s">
        <v>1716</v>
      </c>
    </row>
    <row r="3" spans="1:9" x14ac:dyDescent="0.2">
      <c r="B3" s="1" t="s">
        <v>5</v>
      </c>
      <c r="C3" s="3">
        <v>44773</v>
      </c>
    </row>
    <row r="5" spans="1:9" x14ac:dyDescent="0.2">
      <c r="B5" s="1" t="s">
        <v>1717</v>
      </c>
    </row>
    <row r="7" spans="1:9" ht="18.75" x14ac:dyDescent="0.3">
      <c r="B7" s="181" t="s">
        <v>1718</v>
      </c>
      <c r="C7" s="182"/>
      <c r="D7" s="182"/>
      <c r="E7" s="182"/>
      <c r="F7" s="182"/>
      <c r="G7" s="182"/>
      <c r="H7"/>
      <c r="I7"/>
    </row>
    <row r="8" spans="1:9" ht="15" x14ac:dyDescent="0.25">
      <c r="B8" s="103" t="s">
        <v>1719</v>
      </c>
      <c r="C8"/>
      <c r="D8"/>
      <c r="E8"/>
      <c r="F8"/>
      <c r="G8"/>
      <c r="H8"/>
      <c r="I8" s="103" t="s">
        <v>1720</v>
      </c>
    </row>
    <row r="9" spans="1:9" ht="15" x14ac:dyDescent="0.25">
      <c r="B9" s="103" t="s">
        <v>1721</v>
      </c>
      <c r="C9"/>
      <c r="D9"/>
      <c r="E9"/>
      <c r="F9"/>
      <c r="G9"/>
      <c r="H9"/>
      <c r="I9" s="103" t="s">
        <v>1722</v>
      </c>
    </row>
    <row r="10" spans="1:9" ht="15" x14ac:dyDescent="0.25">
      <c r="B10" s="103" t="s">
        <v>1723</v>
      </c>
      <c r="C10"/>
      <c r="D10"/>
      <c r="E10"/>
      <c r="F10"/>
      <c r="G10"/>
      <c r="H10"/>
      <c r="I10" s="103"/>
    </row>
    <row r="11" spans="1:9" ht="15" x14ac:dyDescent="0.25">
      <c r="B11" s="103" t="s">
        <v>1724</v>
      </c>
      <c r="C11"/>
      <c r="D11"/>
      <c r="E11"/>
      <c r="F11"/>
      <c r="G11"/>
      <c r="H11"/>
      <c r="I11" s="103"/>
    </row>
    <row r="12" spans="1:9" ht="15" x14ac:dyDescent="0.25">
      <c r="B12" t="s">
        <v>1725</v>
      </c>
      <c r="C12"/>
      <c r="D12" s="166">
        <v>300</v>
      </c>
      <c r="E12"/>
      <c r="F12"/>
      <c r="G12"/>
      <c r="H12"/>
      <c r="I12" s="103" t="s">
        <v>1726</v>
      </c>
    </row>
    <row r="13" spans="1:9" ht="15" x14ac:dyDescent="0.25">
      <c r="B13" t="s">
        <v>1727</v>
      </c>
      <c r="C13"/>
      <c r="D13" s="183">
        <v>200</v>
      </c>
      <c r="E13"/>
      <c r="F13"/>
      <c r="G13"/>
      <c r="H13"/>
      <c r="I13"/>
    </row>
    <row r="14" spans="1:9" ht="15" x14ac:dyDescent="0.25">
      <c r="B14" t="s">
        <v>1728</v>
      </c>
      <c r="C14"/>
      <c r="D14" s="166">
        <v>3</v>
      </c>
      <c r="E14"/>
      <c r="F14"/>
      <c r="G14"/>
      <c r="H14"/>
      <c r="I14" s="103" t="str">
        <f>"At year end, the share option scheme is at the end of year x of a "&amp;D14&amp;" year vesting period and therefore x/"&amp;D14&amp;" of the total fair value should be accounted for:"</f>
        <v>At year end, the share option scheme is at the end of year x of a 3 year vesting period and therefore x/3 of the total fair value should be accounted for:</v>
      </c>
    </row>
    <row r="15" spans="1:9" ht="15" x14ac:dyDescent="0.25">
      <c r="B15" t="s">
        <v>1729</v>
      </c>
      <c r="C15"/>
      <c r="D15" s="166">
        <v>10</v>
      </c>
      <c r="E15"/>
      <c r="F15"/>
      <c r="G15"/>
      <c r="H15"/>
      <c r="I15" s="103"/>
    </row>
    <row r="16" spans="1:9" ht="15" x14ac:dyDescent="0.25">
      <c r="B16"/>
      <c r="C16"/>
      <c r="D16"/>
      <c r="E16"/>
      <c r="F16"/>
      <c r="G16"/>
      <c r="H16"/>
      <c r="I16" s="103" t="s">
        <v>1730</v>
      </c>
    </row>
    <row r="17" spans="2:9" ht="15" x14ac:dyDescent="0.25">
      <c r="B17" t="s">
        <v>1731</v>
      </c>
      <c r="C17"/>
      <c r="D17" s="184">
        <f>(D12*D13*D15)/D14</f>
        <v>200000</v>
      </c>
      <c r="E17"/>
      <c r="F17"/>
      <c r="G17"/>
      <c r="H17"/>
      <c r="I17" s="103"/>
    </row>
    <row r="18" spans="2:9" ht="15" x14ac:dyDescent="0.25">
      <c r="B18"/>
      <c r="C18"/>
      <c r="D18" s="185"/>
      <c r="E18"/>
      <c r="F18"/>
      <c r="G18"/>
      <c r="H18"/>
      <c r="I18" s="103" t="s">
        <v>1732</v>
      </c>
    </row>
    <row r="19" spans="2:9" ht="15" x14ac:dyDescent="0.25">
      <c r="B19" s="103" t="s">
        <v>1733</v>
      </c>
      <c r="C19"/>
      <c r="D19" s="185"/>
      <c r="E19"/>
      <c r="F19"/>
      <c r="G19"/>
      <c r="H19"/>
      <c r="I19" s="103" t="s">
        <v>1730</v>
      </c>
    </row>
    <row r="20" spans="2:9" ht="15" x14ac:dyDescent="0.25">
      <c r="B20" s="103" t="s">
        <v>1734</v>
      </c>
      <c r="C20"/>
      <c r="D20"/>
      <c r="E20"/>
      <c r="F20"/>
      <c r="G20"/>
      <c r="H20"/>
      <c r="I20"/>
    </row>
    <row r="21" spans="2:9" ht="15.75" thickBot="1" x14ac:dyDescent="0.3">
      <c r="B21" s="103" t="s">
        <v>1735</v>
      </c>
      <c r="C21"/>
      <c r="D21"/>
      <c r="E21"/>
      <c r="F21"/>
      <c r="G21"/>
      <c r="H21"/>
      <c r="I21"/>
    </row>
    <row r="22" spans="2:9" ht="15" x14ac:dyDescent="0.25">
      <c r="B22" s="186" t="s">
        <v>1736</v>
      </c>
      <c r="C22" s="187" t="s">
        <v>1737</v>
      </c>
      <c r="D22" s="108" t="s">
        <v>1738</v>
      </c>
      <c r="E22" s="108" t="s">
        <v>1739</v>
      </c>
      <c r="F22" s="187" t="s">
        <v>1116</v>
      </c>
      <c r="G22" s="188" t="s">
        <v>917</v>
      </c>
      <c r="H22"/>
      <c r="I22"/>
    </row>
    <row r="23" spans="2:9" ht="15" x14ac:dyDescent="0.25">
      <c r="B23" s="113"/>
      <c r="C23"/>
      <c r="D23"/>
      <c r="E23"/>
      <c r="F23" s="97" t="s">
        <v>44</v>
      </c>
      <c r="G23" s="189" t="s">
        <v>44</v>
      </c>
      <c r="H23" s="103" t="s">
        <v>1740</v>
      </c>
      <c r="I23"/>
    </row>
    <row r="24" spans="2:9" ht="15" x14ac:dyDescent="0.25">
      <c r="B24" s="113">
        <v>1</v>
      </c>
      <c r="C24" s="104">
        <f>300-34-30</f>
        <v>236</v>
      </c>
      <c r="D24" s="163">
        <f>C24*$D$13</f>
        <v>47200</v>
      </c>
      <c r="E24" s="163">
        <f>D24*$D$15</f>
        <v>472000</v>
      </c>
      <c r="F24" s="163">
        <f>E24/$D$14*B24</f>
        <v>157333.33333333334</v>
      </c>
      <c r="G24" s="165">
        <f>F24</f>
        <v>157333.33333333334</v>
      </c>
      <c r="H24" s="103" t="s">
        <v>1742</v>
      </c>
      <c r="I24"/>
    </row>
    <row r="25" spans="2:9" ht="15" x14ac:dyDescent="0.25">
      <c r="B25" s="113"/>
      <c r="C25" t="str">
        <f ca="1">IFERROR(_xlfn.FORMULATEXT(C24)," ")</f>
        <v>=300-34-30</v>
      </c>
      <c r="D25" s="178"/>
      <c r="E25" s="178"/>
      <c r="F25" s="178"/>
      <c r="G25" s="165"/>
      <c r="H25"/>
      <c r="I25"/>
    </row>
    <row r="26" spans="2:9" ht="15" x14ac:dyDescent="0.25">
      <c r="B26" s="113">
        <v>2</v>
      </c>
      <c r="C26" s="104">
        <f>300-34-27-14</f>
        <v>225</v>
      </c>
      <c r="D26" s="163">
        <f>C26*$D$13</f>
        <v>45000</v>
      </c>
      <c r="E26" s="163">
        <f>D26*$D$15</f>
        <v>450000</v>
      </c>
      <c r="F26" s="163">
        <f>E26/$D$14*B26</f>
        <v>300000</v>
      </c>
      <c r="G26" s="165">
        <f>F26-F24</f>
        <v>142666.66666666666</v>
      </c>
      <c r="H26"/>
      <c r="I26"/>
    </row>
    <row r="27" spans="2:9" ht="15" x14ac:dyDescent="0.25">
      <c r="B27" s="113"/>
      <c r="C27" s="97" t="str">
        <f ca="1">IFERROR(_xlfn.FORMULATEXT(C26)," ")</f>
        <v>=300-34-27-14</v>
      </c>
      <c r="D27" s="178"/>
      <c r="E27" s="178"/>
      <c r="F27" s="178"/>
      <c r="G27" s="165"/>
      <c r="H27"/>
      <c r="I27"/>
    </row>
    <row r="28" spans="2:9" x14ac:dyDescent="0.2">
      <c r="D28" s="89"/>
      <c r="E28" s="89"/>
      <c r="F28" s="89"/>
      <c r="G28" s="89"/>
    </row>
    <row r="29" spans="2:9" ht="12.75" thickBot="1" x14ac:dyDescent="0.25">
      <c r="D29" s="89"/>
      <c r="E29" s="89"/>
      <c r="F29" s="89"/>
      <c r="G29" s="89"/>
    </row>
    <row r="30" spans="2:9" ht="15" x14ac:dyDescent="0.25">
      <c r="B30" s="126" t="s">
        <v>220</v>
      </c>
      <c r="C30" s="108"/>
      <c r="D30" s="190"/>
      <c r="E30" s="190"/>
      <c r="F30" s="191"/>
      <c r="G30" s="89"/>
    </row>
    <row r="31" spans="2:9" ht="15" x14ac:dyDescent="0.25">
      <c r="B31" s="113"/>
      <c r="C31"/>
      <c r="D31" s="164"/>
      <c r="E31" s="164"/>
      <c r="F31" s="165"/>
      <c r="G31" s="89"/>
    </row>
    <row r="32" spans="2:9" ht="15" x14ac:dyDescent="0.25">
      <c r="B32" s="328">
        <v>1</v>
      </c>
      <c r="C32" t="s">
        <v>1741</v>
      </c>
      <c r="D32" s="164"/>
      <c r="E32" s="164">
        <f>G24</f>
        <v>157333.33333333334</v>
      </c>
      <c r="F32" s="165"/>
      <c r="G32" s="89"/>
    </row>
    <row r="33" spans="2:7" ht="15" x14ac:dyDescent="0.25">
      <c r="B33" s="328"/>
      <c r="C33" t="s">
        <v>1743</v>
      </c>
      <c r="D33" s="164"/>
      <c r="E33" s="164"/>
      <c r="F33" s="165">
        <f>G24</f>
        <v>157333.33333333334</v>
      </c>
      <c r="G33" s="89"/>
    </row>
    <row r="34" spans="2:7" ht="15" x14ac:dyDescent="0.25">
      <c r="B34" s="328">
        <v>2</v>
      </c>
      <c r="C34" t="s">
        <v>1745</v>
      </c>
      <c r="D34" s="164"/>
      <c r="E34" s="164">
        <f>G26</f>
        <v>142666.66666666666</v>
      </c>
      <c r="F34" s="165"/>
      <c r="G34" s="89"/>
    </row>
    <row r="35" spans="2:7" ht="15" x14ac:dyDescent="0.25">
      <c r="B35" s="328"/>
      <c r="C35" t="s">
        <v>1744</v>
      </c>
      <c r="D35" s="164"/>
      <c r="E35" s="164"/>
      <c r="F35" s="165">
        <f>G26</f>
        <v>142666.66666666666</v>
      </c>
      <c r="G35" s="89"/>
    </row>
    <row r="38" spans="2:7" x14ac:dyDescent="0.2">
      <c r="B38" s="1" t="s">
        <v>1746</v>
      </c>
    </row>
    <row r="40" spans="2:7" x14ac:dyDescent="0.2">
      <c r="B40" s="194">
        <v>44408</v>
      </c>
      <c r="C40" s="89" t="s">
        <v>1747</v>
      </c>
      <c r="D40" s="89"/>
      <c r="E40" s="89"/>
      <c r="F40" s="89">
        <v>1033</v>
      </c>
    </row>
    <row r="41" spans="2:7" x14ac:dyDescent="0.2">
      <c r="B41" s="195">
        <v>44773</v>
      </c>
      <c r="C41" s="89"/>
      <c r="D41" s="89"/>
      <c r="E41" s="89">
        <f>25*(4-1)*12-F40</f>
        <v>-133</v>
      </c>
      <c r="F41" s="89">
        <f>+F40+E41</f>
        <v>900</v>
      </c>
    </row>
    <row r="42" spans="2:7" x14ac:dyDescent="0.2">
      <c r="C42" s="89"/>
      <c r="D42" s="89"/>
      <c r="E42" s="89"/>
      <c r="F42" s="89"/>
    </row>
    <row r="43" spans="2:7" x14ac:dyDescent="0.2">
      <c r="C43" s="89"/>
      <c r="D43" s="89"/>
      <c r="E43" s="89"/>
      <c r="F43" s="89"/>
    </row>
    <row r="44" spans="2:7" x14ac:dyDescent="0.2">
      <c r="B44" s="1" t="s">
        <v>1748</v>
      </c>
      <c r="C44" s="89"/>
      <c r="D44" s="89"/>
      <c r="E44" s="89">
        <f>-E41</f>
        <v>133</v>
      </c>
      <c r="F44" s="89"/>
    </row>
    <row r="45" spans="2:7" x14ac:dyDescent="0.2">
      <c r="C45" s="89" t="s">
        <v>1749</v>
      </c>
      <c r="D45" s="89"/>
      <c r="E45" s="89"/>
      <c r="F45" s="89">
        <f>+E44</f>
        <v>133</v>
      </c>
    </row>
    <row r="46" spans="2:7" x14ac:dyDescent="0.2">
      <c r="B46" s="1" t="s">
        <v>1750</v>
      </c>
      <c r="C46" s="89"/>
      <c r="D46" s="89"/>
      <c r="E46" s="89"/>
      <c r="F46" s="192"/>
    </row>
    <row r="47" spans="2:7" x14ac:dyDescent="0.2">
      <c r="C47" s="89"/>
      <c r="D47" s="89"/>
      <c r="E47" s="89"/>
      <c r="F47" s="89"/>
    </row>
    <row r="48" spans="2:7" x14ac:dyDescent="0.2">
      <c r="C48" s="89"/>
      <c r="D48" s="89"/>
      <c r="E48" s="89"/>
      <c r="F48" s="89"/>
    </row>
    <row r="49" spans="2:6" x14ac:dyDescent="0.2">
      <c r="B49" s="1" t="s">
        <v>1751</v>
      </c>
      <c r="C49" s="89">
        <v>50</v>
      </c>
      <c r="D49" s="89">
        <v>1</v>
      </c>
      <c r="E49" s="89"/>
      <c r="F49" s="89">
        <f>+C49*D49</f>
        <v>50</v>
      </c>
    </row>
    <row r="50" spans="2:6" x14ac:dyDescent="0.2">
      <c r="B50" s="1" t="s">
        <v>974</v>
      </c>
      <c r="C50" s="89">
        <v>50</v>
      </c>
      <c r="D50" s="89">
        <v>9</v>
      </c>
      <c r="E50" s="89"/>
      <c r="F50" s="89">
        <f>+C50*D50</f>
        <v>450</v>
      </c>
    </row>
    <row r="51" spans="2:6" ht="12.75" thickBot="1" x14ac:dyDescent="0.25">
      <c r="B51" s="1" t="s">
        <v>1752</v>
      </c>
      <c r="C51" s="89"/>
      <c r="D51" s="89"/>
      <c r="E51" s="89"/>
      <c r="F51" s="90">
        <f>SUM(F49:F50)</f>
        <v>500</v>
      </c>
    </row>
    <row r="52" spans="2:6" ht="12.75" thickTop="1" x14ac:dyDescent="0.2"/>
    <row r="53" spans="2:6" x14ac:dyDescent="0.2">
      <c r="E53" s="89"/>
      <c r="F53" s="89"/>
    </row>
    <row r="54" spans="2:6" x14ac:dyDescent="0.2">
      <c r="B54" s="1" t="s">
        <v>727</v>
      </c>
      <c r="E54" s="89">
        <f>SUM(F55:F56)</f>
        <v>500</v>
      </c>
      <c r="F54" s="89"/>
    </row>
    <row r="55" spans="2:6" x14ac:dyDescent="0.2">
      <c r="C55" s="1" t="s">
        <v>1389</v>
      </c>
      <c r="E55" s="89"/>
      <c r="F55" s="89">
        <f>+F49</f>
        <v>50</v>
      </c>
    </row>
    <row r="56" spans="2:6" x14ac:dyDescent="0.2">
      <c r="C56" s="1" t="s">
        <v>1753</v>
      </c>
      <c r="E56" s="89"/>
      <c r="F56" s="89">
        <f>+F50</f>
        <v>450</v>
      </c>
    </row>
    <row r="57" spans="2:6" x14ac:dyDescent="0.2">
      <c r="B57" s="1" t="s">
        <v>1754</v>
      </c>
      <c r="E57" s="89"/>
      <c r="F57" s="89"/>
    </row>
    <row r="58" spans="2:6" x14ac:dyDescent="0.2">
      <c r="E58" s="89"/>
      <c r="F58" s="89"/>
    </row>
    <row r="59" spans="2:6" x14ac:dyDescent="0.2">
      <c r="B59" s="1" t="s">
        <v>1755</v>
      </c>
      <c r="E59" s="89">
        <f>+F41</f>
        <v>900</v>
      </c>
      <c r="F59" s="89"/>
    </row>
    <row r="60" spans="2:6" x14ac:dyDescent="0.2">
      <c r="C60" s="1" t="s">
        <v>1105</v>
      </c>
      <c r="E60" s="89"/>
      <c r="F60" s="89">
        <f>+E59</f>
        <v>900</v>
      </c>
    </row>
    <row r="61" spans="2:6" x14ac:dyDescent="0.2">
      <c r="B61" s="1" t="s">
        <v>1756</v>
      </c>
      <c r="E61" s="89"/>
      <c r="F61" s="89"/>
    </row>
    <row r="65" spans="2:5" x14ac:dyDescent="0.2">
      <c r="B65" s="1" t="s">
        <v>5</v>
      </c>
      <c r="C65" s="3">
        <v>44773</v>
      </c>
    </row>
    <row r="67" spans="2:5" x14ac:dyDescent="0.2">
      <c r="B67" s="1" t="s">
        <v>1746</v>
      </c>
    </row>
    <row r="68" spans="2:5" x14ac:dyDescent="0.2">
      <c r="C68" s="1" t="s">
        <v>2685</v>
      </c>
      <c r="D68" s="1" t="s">
        <v>2686</v>
      </c>
    </row>
    <row r="69" spans="2:5" x14ac:dyDescent="0.2">
      <c r="B69" s="3">
        <v>43466</v>
      </c>
      <c r="C69" s="1">
        <v>25000</v>
      </c>
      <c r="D69" s="1">
        <v>12</v>
      </c>
    </row>
    <row r="70" spans="2:5" x14ac:dyDescent="0.2">
      <c r="B70" s="3">
        <v>44561</v>
      </c>
      <c r="C70" s="1">
        <v>25000</v>
      </c>
      <c r="D70" s="1">
        <v>14.25</v>
      </c>
    </row>
    <row r="71" spans="2:5" x14ac:dyDescent="0.2">
      <c r="B71" s="3">
        <v>44562</v>
      </c>
      <c r="C71" s="1">
        <v>25000</v>
      </c>
      <c r="D71" s="1">
        <v>10</v>
      </c>
      <c r="E71" s="1">
        <f>+D70</f>
        <v>14.25</v>
      </c>
    </row>
    <row r="72" spans="2:5" x14ac:dyDescent="0.2">
      <c r="B72" s="3"/>
    </row>
    <row r="73" spans="2:5" x14ac:dyDescent="0.2">
      <c r="B73" s="3"/>
    </row>
    <row r="74" spans="2:5" x14ac:dyDescent="0.2">
      <c r="B74" s="3"/>
    </row>
    <row r="76" spans="2:5" x14ac:dyDescent="0.2">
      <c r="B76" s="1" t="s">
        <v>450</v>
      </c>
      <c r="D76" s="89">
        <f>SUM(E77:E78)</f>
        <v>250000</v>
      </c>
      <c r="E76" s="89"/>
    </row>
    <row r="77" spans="2:5" x14ac:dyDescent="0.2">
      <c r="C77" s="1" t="s">
        <v>1389</v>
      </c>
      <c r="D77" s="89"/>
      <c r="E77" s="89">
        <f>+C71</f>
        <v>25000</v>
      </c>
    </row>
    <row r="78" spans="2:5" x14ac:dyDescent="0.2">
      <c r="C78" s="1" t="s">
        <v>2687</v>
      </c>
      <c r="D78" s="89"/>
      <c r="E78" s="89">
        <f>+(10-1)*C71</f>
        <v>225000</v>
      </c>
    </row>
    <row r="79" spans="2:5" x14ac:dyDescent="0.2">
      <c r="B79" s="1" t="s">
        <v>2688</v>
      </c>
    </row>
    <row r="81" spans="2:8" x14ac:dyDescent="0.2">
      <c r="B81" s="1" t="s">
        <v>450</v>
      </c>
      <c r="D81" s="89">
        <f>SUM(E82:E83)</f>
        <v>250000</v>
      </c>
      <c r="E81" s="89"/>
    </row>
    <row r="82" spans="2:8" x14ac:dyDescent="0.2">
      <c r="C82" s="1" t="s">
        <v>1389</v>
      </c>
      <c r="D82" s="89"/>
      <c r="E82" s="89">
        <v>25000</v>
      </c>
    </row>
    <row r="83" spans="2:8" x14ac:dyDescent="0.2">
      <c r="C83" s="1" t="s">
        <v>2687</v>
      </c>
      <c r="D83" s="89"/>
      <c r="E83" s="89">
        <f>+(10-1)*C71</f>
        <v>225000</v>
      </c>
    </row>
    <row r="84" spans="2:8" x14ac:dyDescent="0.2">
      <c r="B84" s="1" t="s">
        <v>2688</v>
      </c>
    </row>
    <row r="87" spans="2:8" x14ac:dyDescent="0.2">
      <c r="B87" s="1" t="s">
        <v>2689</v>
      </c>
      <c r="E87" s="1">
        <v>25000</v>
      </c>
    </row>
    <row r="88" spans="2:8" x14ac:dyDescent="0.2">
      <c r="B88" s="1" t="s">
        <v>2690</v>
      </c>
      <c r="E88" s="1">
        <v>25000</v>
      </c>
    </row>
    <row r="90" spans="2:8" x14ac:dyDescent="0.2">
      <c r="B90" s="1" t="s">
        <v>2691</v>
      </c>
      <c r="C90" s="3">
        <v>44408</v>
      </c>
      <c r="E90" s="89">
        <v>1033333</v>
      </c>
      <c r="F90" s="1" t="s">
        <v>816</v>
      </c>
    </row>
    <row r="91" spans="2:8" x14ac:dyDescent="0.2">
      <c r="C91" s="3">
        <v>44408</v>
      </c>
      <c r="E91" s="89"/>
    </row>
    <row r="92" spans="2:8" x14ac:dyDescent="0.2">
      <c r="C92" s="3"/>
      <c r="E92" s="89"/>
    </row>
    <row r="93" spans="2:8" x14ac:dyDescent="0.2">
      <c r="B93" s="1" t="s">
        <v>1494</v>
      </c>
      <c r="C93" s="3"/>
      <c r="D93" s="3"/>
      <c r="F93" s="89"/>
    </row>
    <row r="94" spans="2:8" x14ac:dyDescent="0.2">
      <c r="B94" s="3">
        <v>44408</v>
      </c>
      <c r="C94" s="3"/>
      <c r="D94" s="3"/>
      <c r="F94" s="89"/>
      <c r="H94" s="89">
        <f>+E90</f>
        <v>1033333</v>
      </c>
    </row>
    <row r="95" spans="2:8" x14ac:dyDescent="0.2">
      <c r="B95" s="3">
        <v>44408</v>
      </c>
      <c r="C95" s="89">
        <f>+E90</f>
        <v>1033333</v>
      </c>
      <c r="D95" s="89">
        <v>25000</v>
      </c>
      <c r="E95" s="38">
        <v>3</v>
      </c>
      <c r="F95" s="1">
        <v>12</v>
      </c>
      <c r="G95" s="89">
        <f>+D95*E95*F95-H94</f>
        <v>-133333</v>
      </c>
      <c r="H95" s="89">
        <f>C95+G95</f>
        <v>900000</v>
      </c>
    </row>
    <row r="96" spans="2:8" x14ac:dyDescent="0.2">
      <c r="C96" s="3"/>
      <c r="E96" s="89"/>
    </row>
    <row r="97" spans="2:6" x14ac:dyDescent="0.2">
      <c r="C97" s="3"/>
      <c r="E97" s="89"/>
    </row>
    <row r="98" spans="2:6" x14ac:dyDescent="0.2">
      <c r="B98" s="1" t="s">
        <v>2692</v>
      </c>
      <c r="E98" s="89">
        <f>-G95</f>
        <v>133333</v>
      </c>
    </row>
    <row r="99" spans="2:6" x14ac:dyDescent="0.2">
      <c r="C99" s="1" t="s">
        <v>2693</v>
      </c>
      <c r="F99" s="89">
        <f>-G95</f>
        <v>133333</v>
      </c>
    </row>
    <row r="100" spans="2:6" x14ac:dyDescent="0.2">
      <c r="B100" s="1" t="s">
        <v>2694</v>
      </c>
    </row>
    <row r="103" spans="2:6" x14ac:dyDescent="0.2">
      <c r="B103" s="1" t="s">
        <v>2695</v>
      </c>
      <c r="E103" s="89">
        <f>+H95</f>
        <v>900000</v>
      </c>
    </row>
    <row r="104" spans="2:6" x14ac:dyDescent="0.2">
      <c r="C104" s="1" t="s">
        <v>2671</v>
      </c>
      <c r="F104" s="89">
        <f>+H95</f>
        <v>900000</v>
      </c>
    </row>
  </sheetData>
  <mergeCells count="2">
    <mergeCell ref="B32:B33"/>
    <mergeCell ref="B34:B35"/>
  </mergeCells>
  <hyperlinks>
    <hyperlink ref="A1" location="Main!A1" display="Main" xr:uid="{EB711FC8-F4EE-4214-894E-6BC271DD53CE}"/>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6D50C-80FE-4F8F-BA94-87CE3E8C5FCD}">
  <sheetPr codeName="Sheet31"/>
  <dimension ref="A1:C28"/>
  <sheetViews>
    <sheetView workbookViewId="0"/>
  </sheetViews>
  <sheetFormatPr defaultRowHeight="12" x14ac:dyDescent="0.2"/>
  <cols>
    <col min="1" max="16384" width="9.140625" style="1"/>
  </cols>
  <sheetData>
    <row r="1" spans="1:3" ht="15" x14ac:dyDescent="0.25">
      <c r="A1" s="2" t="s">
        <v>0</v>
      </c>
    </row>
    <row r="2" spans="1:3" x14ac:dyDescent="0.2">
      <c r="B2" s="1" t="s">
        <v>1775</v>
      </c>
    </row>
    <row r="4" spans="1:3" x14ac:dyDescent="0.2">
      <c r="B4" s="1" t="s">
        <v>1776</v>
      </c>
    </row>
    <row r="5" spans="1:3" x14ac:dyDescent="0.2">
      <c r="B5" s="1">
        <v>1</v>
      </c>
      <c r="C5" s="1" t="s">
        <v>1777</v>
      </c>
    </row>
    <row r="6" spans="1:3" x14ac:dyDescent="0.2">
      <c r="B6" s="1">
        <v>2</v>
      </c>
      <c r="C6" s="1" t="s">
        <v>1778</v>
      </c>
    </row>
    <row r="7" spans="1:3" x14ac:dyDescent="0.2">
      <c r="B7" s="1">
        <v>3</v>
      </c>
      <c r="C7" s="1" t="s">
        <v>1779</v>
      </c>
    </row>
    <row r="11" spans="1:3" x14ac:dyDescent="0.2">
      <c r="B11" s="1" t="s">
        <v>1780</v>
      </c>
    </row>
    <row r="12" spans="1:3" x14ac:dyDescent="0.2">
      <c r="B12" s="1" t="s">
        <v>1781</v>
      </c>
    </row>
    <row r="13" spans="1:3" x14ac:dyDescent="0.2">
      <c r="B13" s="1" t="s">
        <v>1782</v>
      </c>
    </row>
    <row r="16" spans="1:3" x14ac:dyDescent="0.2">
      <c r="B16" s="1" t="s">
        <v>1783</v>
      </c>
    </row>
    <row r="17" spans="2:2" x14ac:dyDescent="0.2">
      <c r="B17" s="1" t="s">
        <v>1784</v>
      </c>
    </row>
    <row r="18" spans="2:2" x14ac:dyDescent="0.2">
      <c r="B18" s="1" t="s">
        <v>1785</v>
      </c>
    </row>
    <row r="20" spans="2:2" x14ac:dyDescent="0.2">
      <c r="B20" s="1" t="s">
        <v>1786</v>
      </c>
    </row>
    <row r="21" spans="2:2" x14ac:dyDescent="0.2">
      <c r="B21" s="1" t="s">
        <v>1787</v>
      </c>
    </row>
    <row r="22" spans="2:2" x14ac:dyDescent="0.2">
      <c r="B22" s="1" t="s">
        <v>1788</v>
      </c>
    </row>
    <row r="23" spans="2:2" x14ac:dyDescent="0.2">
      <c r="B23" s="1" t="s">
        <v>1789</v>
      </c>
    </row>
    <row r="25" spans="2:2" x14ac:dyDescent="0.2">
      <c r="B25" s="1" t="s">
        <v>1790</v>
      </c>
    </row>
    <row r="26" spans="2:2" x14ac:dyDescent="0.2">
      <c r="B26" s="1" t="s">
        <v>1791</v>
      </c>
    </row>
    <row r="27" spans="2:2" x14ac:dyDescent="0.2">
      <c r="B27" s="1" t="s">
        <v>1792</v>
      </c>
    </row>
    <row r="28" spans="2:2" x14ac:dyDescent="0.2">
      <c r="B28" s="1" t="s">
        <v>1793</v>
      </c>
    </row>
  </sheetData>
  <hyperlinks>
    <hyperlink ref="A1" location="Main!A1" display="Main" xr:uid="{DE82373D-8A9D-41BF-9534-5A5E965C6AD5}"/>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8E64D-5150-42F8-A595-2F2D154FA38D}">
  <sheetPr codeName="Sheet33"/>
  <dimension ref="A1:G32"/>
  <sheetViews>
    <sheetView zoomScale="175" zoomScaleNormal="175" workbookViewId="0"/>
  </sheetViews>
  <sheetFormatPr defaultRowHeight="12" x14ac:dyDescent="0.2"/>
  <cols>
    <col min="1" max="16384" width="9.140625" style="1"/>
  </cols>
  <sheetData>
    <row r="1" spans="1:7" ht="15" x14ac:dyDescent="0.25">
      <c r="A1" s="2" t="s">
        <v>0</v>
      </c>
    </row>
    <row r="2" spans="1:7" x14ac:dyDescent="0.2">
      <c r="B2" s="1" t="s">
        <v>1815</v>
      </c>
    </row>
    <row r="4" spans="1:7" x14ac:dyDescent="0.2">
      <c r="B4" s="1" t="s">
        <v>5</v>
      </c>
      <c r="C4" s="3">
        <v>44651</v>
      </c>
    </row>
    <row r="5" spans="1:7" ht="12.75" thickBot="1" x14ac:dyDescent="0.25"/>
    <row r="6" spans="1:7" ht="15" x14ac:dyDescent="0.25">
      <c r="B6" s="107"/>
      <c r="C6" s="108"/>
      <c r="D6" s="108"/>
      <c r="E6" s="108"/>
      <c r="F6" s="108"/>
      <c r="G6" s="109"/>
    </row>
    <row r="7" spans="1:7" ht="15" x14ac:dyDescent="0.25">
      <c r="B7" s="113" t="s">
        <v>1698</v>
      </c>
      <c r="C7" s="147">
        <v>0.25</v>
      </c>
      <c r="D7"/>
      <c r="E7"/>
      <c r="F7"/>
      <c r="G7" s="112"/>
    </row>
    <row r="8" spans="1:7" ht="15" x14ac:dyDescent="0.25">
      <c r="B8" s="113"/>
      <c r="C8" s="94" t="s">
        <v>1066</v>
      </c>
      <c r="D8" s="94" t="s">
        <v>1699</v>
      </c>
      <c r="E8" s="94" t="s">
        <v>1700</v>
      </c>
      <c r="F8" s="94" t="s">
        <v>1701</v>
      </c>
      <c r="G8" s="112"/>
    </row>
    <row r="9" spans="1:7" ht="15" x14ac:dyDescent="0.25">
      <c r="B9" s="113" t="s">
        <v>1702</v>
      </c>
      <c r="C9" s="174">
        <v>1062</v>
      </c>
      <c r="D9" s="174">
        <v>799</v>
      </c>
      <c r="E9" s="164">
        <f t="shared" ref="E9:E15" si="0">C9-D9</f>
        <v>263</v>
      </c>
      <c r="F9" s="163">
        <f t="shared" ref="F9:F15" si="1">E9*$C$7</f>
        <v>65.75</v>
      </c>
      <c r="G9" s="112"/>
    </row>
    <row r="10" spans="1:7" ht="15" x14ac:dyDescent="0.25">
      <c r="B10" s="113" t="s">
        <v>1703</v>
      </c>
      <c r="C10" s="174">
        <v>241</v>
      </c>
      <c r="D10" s="174"/>
      <c r="E10" s="164">
        <f t="shared" si="0"/>
        <v>241</v>
      </c>
      <c r="F10" s="163">
        <f t="shared" si="1"/>
        <v>60.25</v>
      </c>
      <c r="G10" s="112"/>
    </row>
    <row r="11" spans="1:7" ht="15" x14ac:dyDescent="0.25">
      <c r="B11" s="113" t="s">
        <v>1704</v>
      </c>
      <c r="C11" s="174">
        <f>98-114</f>
        <v>-16</v>
      </c>
      <c r="D11" s="174">
        <f>98-132</f>
        <v>-34</v>
      </c>
      <c r="E11" s="164">
        <f t="shared" si="0"/>
        <v>18</v>
      </c>
      <c r="F11" s="163">
        <f t="shared" si="1"/>
        <v>4.5</v>
      </c>
      <c r="G11" s="112"/>
    </row>
    <row r="12" spans="1:7" ht="15" x14ac:dyDescent="0.25">
      <c r="B12" s="113" t="s">
        <v>1705</v>
      </c>
      <c r="C12" s="174">
        <v>-72</v>
      </c>
      <c r="D12" s="174"/>
      <c r="E12" s="164">
        <f>C12-D12</f>
        <v>-72</v>
      </c>
      <c r="F12" s="163">
        <f t="shared" si="1"/>
        <v>-18</v>
      </c>
      <c r="G12" s="112"/>
    </row>
    <row r="13" spans="1:7" ht="15" x14ac:dyDescent="0.25">
      <c r="B13" s="113" t="s">
        <v>1706</v>
      </c>
      <c r="C13" s="174">
        <v>-748</v>
      </c>
      <c r="D13" s="174"/>
      <c r="E13" s="164">
        <f>C13-D13</f>
        <v>-748</v>
      </c>
      <c r="F13" s="163">
        <f t="shared" si="1"/>
        <v>-187</v>
      </c>
      <c r="G13" s="112"/>
    </row>
    <row r="14" spans="1:7" ht="15" x14ac:dyDescent="0.25">
      <c r="B14" s="113" t="s">
        <v>1707</v>
      </c>
      <c r="C14" s="174"/>
      <c r="D14" s="174"/>
      <c r="E14" s="164">
        <f t="shared" si="0"/>
        <v>0</v>
      </c>
      <c r="F14" s="163">
        <f t="shared" si="1"/>
        <v>0</v>
      </c>
      <c r="G14" s="112"/>
    </row>
    <row r="15" spans="1:7" ht="15" x14ac:dyDescent="0.25">
      <c r="B15" s="113" t="s">
        <v>1708</v>
      </c>
      <c r="C15" s="174"/>
      <c r="D15" s="174">
        <f>485-300-20</f>
        <v>165</v>
      </c>
      <c r="E15" s="164">
        <f t="shared" si="0"/>
        <v>-165</v>
      </c>
      <c r="F15" s="163">
        <f t="shared" si="1"/>
        <v>-41.25</v>
      </c>
      <c r="G15" s="112"/>
    </row>
    <row r="16" spans="1:7" ht="15" x14ac:dyDescent="0.25">
      <c r="B16" s="113"/>
      <c r="C16" s="164"/>
      <c r="D16" s="164"/>
      <c r="E16" s="164"/>
      <c r="F16" s="175">
        <f>SUM(F9:F15)</f>
        <v>-115.75</v>
      </c>
      <c r="G16" s="112"/>
    </row>
    <row r="17" spans="2:7" ht="15" x14ac:dyDescent="0.25">
      <c r="B17" s="113"/>
      <c r="C17" s="164"/>
      <c r="D17" s="164"/>
      <c r="E17" s="164"/>
      <c r="F17" s="164"/>
      <c r="G17" s="112"/>
    </row>
    <row r="18" spans="2:7" ht="15" x14ac:dyDescent="0.25">
      <c r="B18" s="113" t="s">
        <v>1709</v>
      </c>
      <c r="C18" s="174">
        <v>109</v>
      </c>
      <c r="D18" s="174"/>
      <c r="E18" s="164">
        <f>C18-D18</f>
        <v>109</v>
      </c>
      <c r="F18" s="176">
        <f>E18*$C$7</f>
        <v>27.25</v>
      </c>
      <c r="G18" s="112"/>
    </row>
    <row r="19" spans="2:7" ht="15" x14ac:dyDescent="0.25">
      <c r="B19" s="113"/>
      <c r="C19" s="164"/>
      <c r="D19" s="164"/>
      <c r="E19" s="164"/>
      <c r="F19" s="164"/>
      <c r="G19" s="112"/>
    </row>
    <row r="20" spans="2:7" ht="15" x14ac:dyDescent="0.25">
      <c r="B20" s="113" t="s">
        <v>1710</v>
      </c>
      <c r="C20" s="164"/>
      <c r="D20" s="166">
        <v>45</v>
      </c>
      <c r="E20" s="164"/>
      <c r="F20" s="164"/>
      <c r="G20" s="112"/>
    </row>
    <row r="21" spans="2:7" ht="15" x14ac:dyDescent="0.25">
      <c r="B21" s="113" t="s">
        <v>1711</v>
      </c>
      <c r="C21" s="164"/>
      <c r="D21" s="177">
        <f>F18-D20</f>
        <v>-17.75</v>
      </c>
      <c r="E21" s="164"/>
      <c r="F21" s="164"/>
      <c r="G21" s="112"/>
    </row>
    <row r="22" spans="2:7" ht="15" x14ac:dyDescent="0.25">
      <c r="B22" s="113"/>
      <c r="C22" s="164"/>
      <c r="D22" s="164"/>
      <c r="E22" s="164"/>
      <c r="F22" s="164"/>
      <c r="G22" s="112"/>
    </row>
    <row r="23" spans="2:7" ht="15" x14ac:dyDescent="0.25">
      <c r="B23" s="113" t="s">
        <v>1712</v>
      </c>
      <c r="C23" s="164"/>
      <c r="D23" s="178">
        <f>F18+F16</f>
        <v>-88.5</v>
      </c>
      <c r="E23" s="164"/>
      <c r="F23" s="164"/>
      <c r="G23" s="112"/>
    </row>
    <row r="24" spans="2:7" ht="15" x14ac:dyDescent="0.25">
      <c r="B24" s="113" t="s">
        <v>1713</v>
      </c>
      <c r="C24" s="164"/>
      <c r="D24" s="174">
        <v>125</v>
      </c>
      <c r="E24" s="164"/>
      <c r="F24" s="164"/>
      <c r="G24" s="112"/>
    </row>
    <row r="25" spans="2:7" ht="15" x14ac:dyDescent="0.25">
      <c r="B25" s="113"/>
      <c r="C25" s="164"/>
      <c r="D25" s="164"/>
      <c r="E25" s="164"/>
      <c r="F25" s="164"/>
      <c r="G25" s="112"/>
    </row>
    <row r="26" spans="2:7" ht="15" x14ac:dyDescent="0.25">
      <c r="B26" s="113" t="s">
        <v>1714</v>
      </c>
      <c r="C26" s="164"/>
      <c r="D26" s="163">
        <f>+D23+D24</f>
        <v>36.5</v>
      </c>
      <c r="E26" s="164"/>
      <c r="F26" s="164"/>
      <c r="G26" s="112"/>
    </row>
    <row r="27" spans="2:7" ht="15" x14ac:dyDescent="0.25">
      <c r="B27" s="113"/>
      <c r="C27" s="164"/>
      <c r="D27" s="164"/>
      <c r="E27" s="164"/>
      <c r="F27" s="164"/>
      <c r="G27" s="112"/>
    </row>
    <row r="28" spans="2:7" ht="15" x14ac:dyDescent="0.25">
      <c r="B28" s="113"/>
      <c r="C28" s="164"/>
      <c r="D28" s="164"/>
      <c r="E28" s="164"/>
      <c r="F28" s="164"/>
      <c r="G28" s="112"/>
    </row>
    <row r="29" spans="2:7" ht="15" x14ac:dyDescent="0.25">
      <c r="B29" s="116" t="str">
        <f>IF(D26&lt;0,"DR DTL/DTA","CR DTL/DTA")</f>
        <v>CR DTL/DTA</v>
      </c>
      <c r="C29" s="164">
        <f>IF(D26&lt;0,-D26,0)</f>
        <v>0</v>
      </c>
      <c r="D29" s="164">
        <f>IF(D26&gt;0,D26,0)</f>
        <v>36.5</v>
      </c>
      <c r="E29" s="164"/>
      <c r="F29" s="164"/>
      <c r="G29" s="112"/>
    </row>
    <row r="30" spans="2:7" ht="15" x14ac:dyDescent="0.25">
      <c r="B30" s="116" t="str">
        <f>IF((F18-D20)&lt;0,"CR Revaluation surplus","DR Revaluation surplus")</f>
        <v>CR Revaluation surplus</v>
      </c>
      <c r="C30" s="164">
        <f>IF((F18-D20)&lt;0,0,F18-D20)</f>
        <v>0</v>
      </c>
      <c r="D30" s="164">
        <f>IF((F18-D20)&gt;0,0,-(F18-D20))</f>
        <v>17.75</v>
      </c>
      <c r="E30" s="164"/>
      <c r="F30" s="164"/>
      <c r="G30" s="112"/>
    </row>
    <row r="31" spans="2:7" ht="15" x14ac:dyDescent="0.25">
      <c r="B31" s="116" t="s">
        <v>1715</v>
      </c>
      <c r="C31" s="166">
        <f>IF(D26&gt;0,D29+D30-C30-C29,0)</f>
        <v>54.25</v>
      </c>
      <c r="D31" s="166">
        <f>IF(D26&lt;0,C29+C30-D29-D30,0)</f>
        <v>0</v>
      </c>
      <c r="E31" s="164"/>
      <c r="F31" s="164"/>
      <c r="G31" s="112"/>
    </row>
    <row r="32" spans="2:7" ht="15.75" thickBot="1" x14ac:dyDescent="0.3">
      <c r="B32" s="118"/>
      <c r="C32" s="119"/>
      <c r="D32" s="119"/>
      <c r="E32" s="119"/>
      <c r="F32" s="119"/>
      <c r="G32" s="120"/>
    </row>
  </sheetData>
  <hyperlinks>
    <hyperlink ref="A1" location="Main!A1" display="Main" xr:uid="{5DD9E7DD-0217-4CCB-867D-FA56E2C60325}"/>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FB688-4932-4D31-ACC3-5AC12715FEF6}">
  <dimension ref="A1:B55"/>
  <sheetViews>
    <sheetView workbookViewId="0"/>
  </sheetViews>
  <sheetFormatPr defaultRowHeight="12" x14ac:dyDescent="0.2"/>
  <cols>
    <col min="1" max="16384" width="9.140625" style="1"/>
  </cols>
  <sheetData>
    <row r="1" spans="1:2" ht="15" x14ac:dyDescent="0.25">
      <c r="A1" s="2" t="s">
        <v>0</v>
      </c>
    </row>
    <row r="2" spans="1:2" x14ac:dyDescent="0.2">
      <c r="B2" s="1" t="s">
        <v>2124</v>
      </c>
    </row>
    <row r="3" spans="1:2" x14ac:dyDescent="0.2">
      <c r="B3" s="1" t="s">
        <v>2125</v>
      </c>
    </row>
    <row r="5" spans="1:2" x14ac:dyDescent="0.2">
      <c r="B5" s="88" t="s">
        <v>2126</v>
      </c>
    </row>
    <row r="6" spans="1:2" x14ac:dyDescent="0.2">
      <c r="B6" s="1" t="s">
        <v>2127</v>
      </c>
    </row>
    <row r="7" spans="1:2" x14ac:dyDescent="0.2">
      <c r="B7" s="1" t="s">
        <v>2128</v>
      </c>
    </row>
    <row r="9" spans="1:2" x14ac:dyDescent="0.2">
      <c r="B9" s="88" t="s">
        <v>2129</v>
      </c>
    </row>
    <row r="10" spans="1:2" x14ac:dyDescent="0.2">
      <c r="B10" s="1" t="s">
        <v>2130</v>
      </c>
    </row>
    <row r="11" spans="1:2" x14ac:dyDescent="0.2">
      <c r="B11" s="1" t="s">
        <v>2131</v>
      </c>
    </row>
    <row r="12" spans="1:2" x14ac:dyDescent="0.2">
      <c r="B12" s="1" t="s">
        <v>2132</v>
      </c>
    </row>
    <row r="14" spans="1:2" x14ac:dyDescent="0.2">
      <c r="B14" s="88" t="s">
        <v>2133</v>
      </c>
    </row>
    <row r="15" spans="1:2" x14ac:dyDescent="0.2">
      <c r="B15" s="1" t="s">
        <v>2134</v>
      </c>
    </row>
    <row r="16" spans="1:2" x14ac:dyDescent="0.2">
      <c r="B16" s="1" t="s">
        <v>2135</v>
      </c>
    </row>
    <row r="17" spans="2:2" x14ac:dyDescent="0.2">
      <c r="B17" s="1" t="s">
        <v>2136</v>
      </c>
    </row>
    <row r="18" spans="2:2" x14ac:dyDescent="0.2">
      <c r="B18" s="1" t="s">
        <v>2137</v>
      </c>
    </row>
    <row r="19" spans="2:2" x14ac:dyDescent="0.2">
      <c r="B19" s="1" t="s">
        <v>2138</v>
      </c>
    </row>
    <row r="20" spans="2:2" x14ac:dyDescent="0.2">
      <c r="B20" s="1" t="s">
        <v>2139</v>
      </c>
    </row>
    <row r="22" spans="2:2" x14ac:dyDescent="0.2">
      <c r="B22" s="88" t="s">
        <v>2140</v>
      </c>
    </row>
    <row r="23" spans="2:2" x14ac:dyDescent="0.2">
      <c r="B23" s="1" t="s">
        <v>2141</v>
      </c>
    </row>
    <row r="24" spans="2:2" x14ac:dyDescent="0.2">
      <c r="B24" s="1" t="s">
        <v>2142</v>
      </c>
    </row>
    <row r="26" spans="2:2" x14ac:dyDescent="0.2">
      <c r="B26" s="88" t="s">
        <v>1223</v>
      </c>
    </row>
    <row r="27" spans="2:2" x14ac:dyDescent="0.2">
      <c r="B27" s="1" t="s">
        <v>2143</v>
      </c>
    </row>
    <row r="28" spans="2:2" x14ac:dyDescent="0.2">
      <c r="B28" s="1" t="s">
        <v>2144</v>
      </c>
    </row>
    <row r="29" spans="2:2" x14ac:dyDescent="0.2">
      <c r="B29" s="1" t="s">
        <v>2145</v>
      </c>
    </row>
    <row r="30" spans="2:2" x14ac:dyDescent="0.2">
      <c r="B30" s="1" t="s">
        <v>2146</v>
      </c>
    </row>
    <row r="31" spans="2:2" x14ac:dyDescent="0.2">
      <c r="B31" s="1" t="s">
        <v>2147</v>
      </c>
    </row>
    <row r="32" spans="2:2" x14ac:dyDescent="0.2">
      <c r="B32" s="1" t="s">
        <v>2148</v>
      </c>
    </row>
    <row r="34" spans="2:2" x14ac:dyDescent="0.2">
      <c r="B34" s="88" t="s">
        <v>2149</v>
      </c>
    </row>
    <row r="35" spans="2:2" x14ac:dyDescent="0.2">
      <c r="B35" s="1" t="s">
        <v>2150</v>
      </c>
    </row>
    <row r="36" spans="2:2" x14ac:dyDescent="0.2">
      <c r="B36" s="1" t="s">
        <v>2151</v>
      </c>
    </row>
    <row r="37" spans="2:2" x14ac:dyDescent="0.2">
      <c r="B37" s="1" t="s">
        <v>2152</v>
      </c>
    </row>
    <row r="38" spans="2:2" x14ac:dyDescent="0.2">
      <c r="B38" s="1" t="s">
        <v>2153</v>
      </c>
    </row>
    <row r="40" spans="2:2" x14ac:dyDescent="0.2">
      <c r="B40" s="88" t="s">
        <v>2154</v>
      </c>
    </row>
    <row r="41" spans="2:2" x14ac:dyDescent="0.2">
      <c r="B41" s="1" t="s">
        <v>2155</v>
      </c>
    </row>
    <row r="42" spans="2:2" x14ac:dyDescent="0.2">
      <c r="B42" s="1" t="s">
        <v>2156</v>
      </c>
    </row>
    <row r="43" spans="2:2" x14ac:dyDescent="0.2">
      <c r="B43" s="1" t="s">
        <v>2157</v>
      </c>
    </row>
    <row r="45" spans="2:2" x14ac:dyDescent="0.2">
      <c r="B45" s="88" t="s">
        <v>2158</v>
      </c>
    </row>
    <row r="46" spans="2:2" x14ac:dyDescent="0.2">
      <c r="B46" s="1" t="s">
        <v>2159</v>
      </c>
    </row>
    <row r="47" spans="2:2" x14ac:dyDescent="0.2">
      <c r="B47" s="1" t="s">
        <v>2160</v>
      </c>
    </row>
    <row r="48" spans="2:2" x14ac:dyDescent="0.2">
      <c r="B48" s="1" t="s">
        <v>2161</v>
      </c>
    </row>
    <row r="49" spans="2:2" x14ac:dyDescent="0.2">
      <c r="B49" s="1" t="s">
        <v>2162</v>
      </c>
    </row>
    <row r="50" spans="2:2" x14ac:dyDescent="0.2">
      <c r="B50" s="1" t="s">
        <v>2163</v>
      </c>
    </row>
    <row r="51" spans="2:2" x14ac:dyDescent="0.2">
      <c r="B51" s="1" t="s">
        <v>2164</v>
      </c>
    </row>
    <row r="52" spans="2:2" x14ac:dyDescent="0.2">
      <c r="B52" s="1" t="s">
        <v>2165</v>
      </c>
    </row>
    <row r="53" spans="2:2" x14ac:dyDescent="0.2">
      <c r="B53" s="1" t="s">
        <v>2166</v>
      </c>
    </row>
    <row r="54" spans="2:2" x14ac:dyDescent="0.2">
      <c r="B54" s="1" t="s">
        <v>2167</v>
      </c>
    </row>
    <row r="55" spans="2:2" x14ac:dyDescent="0.2">
      <c r="B55" s="1" t="s">
        <v>2168</v>
      </c>
    </row>
  </sheetData>
  <hyperlinks>
    <hyperlink ref="A1" location="Main!A1" display="Main" xr:uid="{AB1C1413-96CC-46A3-8872-63F73F0B9AF9}"/>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F74BC-C508-4D78-BAAB-04C99F3BB498}">
  <dimension ref="A1:H45"/>
  <sheetViews>
    <sheetView workbookViewId="0"/>
  </sheetViews>
  <sheetFormatPr defaultRowHeight="12" x14ac:dyDescent="0.2"/>
  <cols>
    <col min="1" max="16384" width="9.140625" style="1"/>
  </cols>
  <sheetData>
    <row r="1" spans="1:8" ht="15" x14ac:dyDescent="0.25">
      <c r="A1" s="2" t="s">
        <v>0</v>
      </c>
    </row>
    <row r="2" spans="1:8" ht="15" x14ac:dyDescent="0.25">
      <c r="B2"/>
      <c r="C2"/>
      <c r="D2"/>
      <c r="E2"/>
      <c r="F2"/>
      <c r="G2" s="103" t="s">
        <v>3191</v>
      </c>
      <c r="H2"/>
    </row>
    <row r="3" spans="1:8" ht="15" x14ac:dyDescent="0.25">
      <c r="B3" t="s">
        <v>3192</v>
      </c>
      <c r="C3"/>
      <c r="D3"/>
      <c r="E3" s="183">
        <v>20000</v>
      </c>
      <c r="F3"/>
      <c r="G3" s="103" t="s">
        <v>3193</v>
      </c>
      <c r="H3"/>
    </row>
    <row r="4" spans="1:8" ht="15" x14ac:dyDescent="0.25">
      <c r="B4" t="s">
        <v>974</v>
      </c>
      <c r="C4"/>
      <c r="D4"/>
      <c r="E4" s="183">
        <v>4000</v>
      </c>
      <c r="F4"/>
      <c r="G4" s="103" t="s">
        <v>3194</v>
      </c>
      <c r="H4"/>
    </row>
    <row r="5" spans="1:8" ht="15" x14ac:dyDescent="0.25">
      <c r="B5" t="s">
        <v>976</v>
      </c>
      <c r="C5"/>
      <c r="D5"/>
      <c r="E5" s="183">
        <v>10302</v>
      </c>
      <c r="F5"/>
      <c r="G5" s="103" t="s">
        <v>3195</v>
      </c>
      <c r="H5"/>
    </row>
    <row r="6" spans="1:8" ht="15" x14ac:dyDescent="0.25">
      <c r="B6" t="s">
        <v>2484</v>
      </c>
      <c r="C6"/>
      <c r="D6"/>
      <c r="E6" s="183">
        <v>30821</v>
      </c>
      <c r="F6"/>
      <c r="G6" s="103" t="s">
        <v>3196</v>
      </c>
      <c r="H6"/>
    </row>
    <row r="7" spans="1:8" ht="15" x14ac:dyDescent="0.25">
      <c r="B7" t="s">
        <v>3197</v>
      </c>
      <c r="C7"/>
      <c r="D7"/>
      <c r="E7" s="183">
        <v>0</v>
      </c>
      <c r="F7"/>
      <c r="G7" s="103" t="s">
        <v>3198</v>
      </c>
      <c r="H7"/>
    </row>
    <row r="8" spans="1:8" ht="15" x14ac:dyDescent="0.25">
      <c r="B8"/>
      <c r="C8"/>
      <c r="D8"/>
      <c r="E8" s="169">
        <f>SUM(E3:E7)</f>
        <v>65123</v>
      </c>
      <c r="F8"/>
      <c r="G8" s="103" t="s">
        <v>3199</v>
      </c>
      <c r="H8"/>
    </row>
    <row r="9" spans="1:8" ht="15" x14ac:dyDescent="0.25">
      <c r="B9"/>
      <c r="C9"/>
      <c r="D9"/>
      <c r="E9" s="164"/>
      <c r="F9"/>
      <c r="G9"/>
      <c r="H9"/>
    </row>
    <row r="10" spans="1:8" ht="15" x14ac:dyDescent="0.25">
      <c r="B10" t="s">
        <v>3200</v>
      </c>
      <c r="C10"/>
      <c r="D10"/>
      <c r="E10" s="166" t="s">
        <v>1126</v>
      </c>
      <c r="F10"/>
      <c r="G10"/>
      <c r="H10"/>
    </row>
    <row r="11" spans="1:8" ht="15" x14ac:dyDescent="0.25">
      <c r="B11"/>
      <c r="C11"/>
      <c r="D11"/>
      <c r="E11" s="164"/>
      <c r="F11"/>
      <c r="G11"/>
      <c r="H11"/>
    </row>
    <row r="12" spans="1:8" ht="15" x14ac:dyDescent="0.25">
      <c r="B12" t="s">
        <v>3201</v>
      </c>
      <c r="C12"/>
      <c r="D12"/>
      <c r="E12" s="164"/>
      <c r="F12"/>
      <c r="G12"/>
      <c r="H12"/>
    </row>
    <row r="13" spans="1:8" ht="15" x14ac:dyDescent="0.25">
      <c r="B13" t="s">
        <v>3202</v>
      </c>
      <c r="C13"/>
      <c r="D13"/>
      <c r="E13" s="183">
        <v>24311</v>
      </c>
      <c r="F13"/>
      <c r="G13" s="103" t="s">
        <v>3203</v>
      </c>
      <c r="H13"/>
    </row>
    <row r="14" spans="1:8" ht="15" x14ac:dyDescent="0.25">
      <c r="B14" t="s">
        <v>3204</v>
      </c>
      <c r="C14"/>
      <c r="D14"/>
      <c r="E14" s="183">
        <v>8145</v>
      </c>
      <c r="F14"/>
      <c r="G14"/>
      <c r="H14"/>
    </row>
    <row r="15" spans="1:8" ht="15" x14ac:dyDescent="0.25">
      <c r="B15" t="s">
        <v>3205</v>
      </c>
      <c r="C15"/>
      <c r="D15"/>
      <c r="E15" s="183">
        <f>-(1800)</f>
        <v>-1800</v>
      </c>
      <c r="F15"/>
      <c r="G15" s="103" t="s">
        <v>3206</v>
      </c>
      <c r="H15"/>
    </row>
    <row r="16" spans="1:8" ht="15" x14ac:dyDescent="0.25">
      <c r="B16" t="s">
        <v>2888</v>
      </c>
      <c r="C16"/>
      <c r="D16"/>
      <c r="E16" s="183"/>
      <c r="F16"/>
      <c r="G16" s="103" t="s">
        <v>3206</v>
      </c>
      <c r="H16"/>
    </row>
    <row r="17" spans="2:8" ht="15" x14ac:dyDescent="0.25">
      <c r="B17" t="s">
        <v>3207</v>
      </c>
      <c r="C17"/>
      <c r="D17"/>
      <c r="E17" s="183">
        <v>-300</v>
      </c>
      <c r="F17"/>
      <c r="G17" s="103" t="s">
        <v>3208</v>
      </c>
      <c r="H17"/>
    </row>
    <row r="18" spans="2:8" ht="15" x14ac:dyDescent="0.25">
      <c r="B18" t="s">
        <v>3209</v>
      </c>
      <c r="C18"/>
      <c r="D18"/>
      <c r="E18" s="183">
        <v>-20</v>
      </c>
      <c r="F18"/>
      <c r="G18" s="103" t="s">
        <v>3210</v>
      </c>
      <c r="H18"/>
    </row>
    <row r="19" spans="2:8" ht="15" x14ac:dyDescent="0.25">
      <c r="B19" t="s">
        <v>3211</v>
      </c>
      <c r="C19"/>
      <c r="D19"/>
      <c r="E19" s="183">
        <f>274-263</f>
        <v>11</v>
      </c>
      <c r="F19"/>
      <c r="G19" s="103" t="s">
        <v>3212</v>
      </c>
      <c r="H19"/>
    </row>
    <row r="20" spans="2:8" ht="15" x14ac:dyDescent="0.25">
      <c r="B20" t="s">
        <v>3213</v>
      </c>
      <c r="C20"/>
      <c r="D20"/>
      <c r="E20" s="183">
        <f>2750-1300</f>
        <v>1450</v>
      </c>
      <c r="F20"/>
      <c r="G20" s="103"/>
      <c r="H20"/>
    </row>
    <row r="21" spans="2:8" ht="15" x14ac:dyDescent="0.25">
      <c r="B21" t="s">
        <v>3214</v>
      </c>
      <c r="C21"/>
      <c r="D21"/>
      <c r="E21" s="183">
        <v>0</v>
      </c>
      <c r="F21"/>
      <c r="G21" s="103" t="s">
        <v>3215</v>
      </c>
      <c r="H21" t="s">
        <v>3216</v>
      </c>
    </row>
    <row r="22" spans="2:8" ht="15" x14ac:dyDescent="0.25">
      <c r="B22" t="s">
        <v>3217</v>
      </c>
      <c r="C22"/>
      <c r="D22"/>
      <c r="E22" s="183">
        <v>165</v>
      </c>
      <c r="F22"/>
      <c r="G22" s="103"/>
      <c r="H22"/>
    </row>
    <row r="23" spans="2:8" ht="15" x14ac:dyDescent="0.25">
      <c r="B23" t="s">
        <v>3218</v>
      </c>
      <c r="C23"/>
      <c r="D23"/>
      <c r="E23" s="164">
        <f>SUM(E13:E22)</f>
        <v>31962</v>
      </c>
      <c r="F23"/>
      <c r="G23"/>
      <c r="H23" t="s">
        <v>3219</v>
      </c>
    </row>
    <row r="24" spans="2:8" ht="15" x14ac:dyDescent="0.25">
      <c r="B24"/>
      <c r="C24"/>
      <c r="D24"/>
      <c r="E24" s="164"/>
      <c r="F24"/>
      <c r="G24"/>
      <c r="H24" t="s">
        <v>3220</v>
      </c>
    </row>
    <row r="31" spans="2:8" x14ac:dyDescent="0.2">
      <c r="B31" s="1" t="s">
        <v>3221</v>
      </c>
    </row>
    <row r="32" spans="2:8" x14ac:dyDescent="0.2">
      <c r="B32" s="1" t="s">
        <v>3222</v>
      </c>
    </row>
    <row r="33" spans="2:2" x14ac:dyDescent="0.2">
      <c r="B33" s="1" t="s">
        <v>3223</v>
      </c>
    </row>
    <row r="34" spans="2:2" x14ac:dyDescent="0.2">
      <c r="B34" s="1" t="s">
        <v>3224</v>
      </c>
    </row>
    <row r="35" spans="2:2" x14ac:dyDescent="0.2">
      <c r="B35" s="1" t="s">
        <v>3225</v>
      </c>
    </row>
    <row r="42" spans="2:2" x14ac:dyDescent="0.2">
      <c r="B42" s="1" t="s">
        <v>3226</v>
      </c>
    </row>
    <row r="43" spans="2:2" x14ac:dyDescent="0.2">
      <c r="B43" s="1" t="s">
        <v>3227</v>
      </c>
    </row>
    <row r="44" spans="2:2" x14ac:dyDescent="0.2">
      <c r="B44" s="1" t="s">
        <v>3228</v>
      </c>
    </row>
    <row r="45" spans="2:2" x14ac:dyDescent="0.2">
      <c r="B45" s="1" t="s">
        <v>3229</v>
      </c>
    </row>
  </sheetData>
  <hyperlinks>
    <hyperlink ref="A1" location="Main!A1" display="Main" xr:uid="{FCD7D9D7-4FA2-4327-BD05-29AC4A9E9A84}"/>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90980-6D63-451D-AEED-EDED12B3484B}">
  <sheetPr codeName="Sheet20"/>
  <dimension ref="A1:F92"/>
  <sheetViews>
    <sheetView zoomScale="145" zoomScaleNormal="145" workbookViewId="0"/>
  </sheetViews>
  <sheetFormatPr defaultRowHeight="12" x14ac:dyDescent="0.2"/>
  <cols>
    <col min="1" max="16384" width="9.140625" style="1"/>
  </cols>
  <sheetData>
    <row r="1" spans="1:3" ht="15" x14ac:dyDescent="0.25">
      <c r="A1" s="2" t="s">
        <v>0</v>
      </c>
      <c r="B1" s="1" t="s">
        <v>1517</v>
      </c>
    </row>
    <row r="2" spans="1:3" x14ac:dyDescent="0.2">
      <c r="B2" s="1" t="s">
        <v>1492</v>
      </c>
    </row>
    <row r="11" spans="1:3" x14ac:dyDescent="0.2">
      <c r="B11" s="1" t="s">
        <v>9</v>
      </c>
    </row>
    <row r="12" spans="1:3" x14ac:dyDescent="0.2">
      <c r="B12" s="1" t="s">
        <v>5</v>
      </c>
      <c r="C12" s="3">
        <v>44651</v>
      </c>
    </row>
    <row r="13" spans="1:3" x14ac:dyDescent="0.2">
      <c r="B13" s="1" t="s">
        <v>1493</v>
      </c>
      <c r="C13" s="4">
        <v>0.19</v>
      </c>
    </row>
    <row r="14" spans="1:3" x14ac:dyDescent="0.2">
      <c r="B14" s="1" t="s">
        <v>263</v>
      </c>
      <c r="C14" s="4">
        <v>0.2</v>
      </c>
    </row>
    <row r="17" spans="2:5" x14ac:dyDescent="0.2">
      <c r="B17" s="88" t="s">
        <v>1493</v>
      </c>
    </row>
    <row r="18" spans="2:5" x14ac:dyDescent="0.2">
      <c r="B18" s="1" t="s">
        <v>5</v>
      </c>
      <c r="C18" s="3">
        <v>44286</v>
      </c>
      <c r="D18" s="6"/>
    </row>
    <row r="19" spans="2:5" x14ac:dyDescent="0.2">
      <c r="B19" s="1" t="s">
        <v>1494</v>
      </c>
      <c r="D19" s="6">
        <v>2000</v>
      </c>
    </row>
    <row r="20" spans="2:5" x14ac:dyDescent="0.2">
      <c r="B20" s="1" t="s">
        <v>1496</v>
      </c>
      <c r="D20" s="6">
        <v>28</v>
      </c>
      <c r="E20" s="1" t="s">
        <v>1497</v>
      </c>
    </row>
    <row r="21" spans="2:5" x14ac:dyDescent="0.2">
      <c r="D21" s="6"/>
    </row>
    <row r="22" spans="2:5" x14ac:dyDescent="0.2">
      <c r="B22" s="1" t="s">
        <v>1558</v>
      </c>
      <c r="D22" s="6"/>
    </row>
    <row r="23" spans="2:5" x14ac:dyDescent="0.2">
      <c r="B23" s="1" t="s">
        <v>1366</v>
      </c>
      <c r="D23" s="6"/>
    </row>
    <row r="24" spans="2:5" x14ac:dyDescent="0.2">
      <c r="D24" s="6"/>
    </row>
    <row r="25" spans="2:5" x14ac:dyDescent="0.2">
      <c r="B25" s="1" t="s">
        <v>5</v>
      </c>
      <c r="C25" s="3">
        <v>44651</v>
      </c>
      <c r="D25" s="6"/>
    </row>
    <row r="26" spans="2:5" x14ac:dyDescent="0.2">
      <c r="B26" s="1" t="s">
        <v>1495</v>
      </c>
      <c r="D26" s="6">
        <v>4500</v>
      </c>
    </row>
    <row r="27" spans="2:5" x14ac:dyDescent="0.2">
      <c r="B27" s="1" t="s">
        <v>1498</v>
      </c>
      <c r="D27" s="6">
        <v>194</v>
      </c>
    </row>
    <row r="28" spans="2:5" x14ac:dyDescent="0.2">
      <c r="B28" s="1" t="s">
        <v>1499</v>
      </c>
      <c r="D28" s="6">
        <f>0.19*D27</f>
        <v>36.86</v>
      </c>
    </row>
    <row r="31" spans="2:5" x14ac:dyDescent="0.2">
      <c r="B31" s="1" t="s">
        <v>1500</v>
      </c>
      <c r="D31" s="1">
        <v>2000</v>
      </c>
    </row>
    <row r="32" spans="2:5" x14ac:dyDescent="0.2">
      <c r="B32" s="1" t="s">
        <v>1501</v>
      </c>
      <c r="D32" s="1">
        <f>4500/2</f>
        <v>2250</v>
      </c>
    </row>
    <row r="33" spans="2:6" x14ac:dyDescent="0.2">
      <c r="B33" s="1" t="s">
        <v>1502</v>
      </c>
      <c r="D33" s="1">
        <f>+D31-D32</f>
        <v>-250</v>
      </c>
    </row>
    <row r="37" spans="2:6" x14ac:dyDescent="0.2">
      <c r="B37" s="1" t="s">
        <v>1503</v>
      </c>
      <c r="E37" s="16">
        <f>-D33</f>
        <v>250</v>
      </c>
    </row>
    <row r="38" spans="2:6" x14ac:dyDescent="0.2">
      <c r="C38" s="1" t="s">
        <v>1504</v>
      </c>
      <c r="F38" s="16">
        <f>+E37</f>
        <v>250</v>
      </c>
    </row>
    <row r="39" spans="2:6" x14ac:dyDescent="0.2">
      <c r="B39" s="1" t="s">
        <v>1505</v>
      </c>
    </row>
    <row r="41" spans="2:6" x14ac:dyDescent="0.2">
      <c r="B41" s="1" t="s">
        <v>1503</v>
      </c>
      <c r="E41" s="1">
        <f>+D31</f>
        <v>2000</v>
      </c>
    </row>
    <row r="42" spans="2:6" x14ac:dyDescent="0.2">
      <c r="C42" s="1" t="s">
        <v>1504</v>
      </c>
      <c r="F42" s="1">
        <f>+E41</f>
        <v>2000</v>
      </c>
    </row>
    <row r="43" spans="2:6" x14ac:dyDescent="0.2">
      <c r="B43" s="1" t="s">
        <v>1516</v>
      </c>
    </row>
    <row r="45" spans="2:6" x14ac:dyDescent="0.2">
      <c r="B45" s="1" t="s">
        <v>1506</v>
      </c>
    </row>
    <row r="46" spans="2:6" x14ac:dyDescent="0.2">
      <c r="B46" s="1" t="s">
        <v>1559</v>
      </c>
    </row>
    <row r="47" spans="2:6" x14ac:dyDescent="0.2">
      <c r="B47" s="1" t="s">
        <v>1366</v>
      </c>
    </row>
    <row r="48" spans="2:6" x14ac:dyDescent="0.2">
      <c r="B48" s="1" t="s">
        <v>1560</v>
      </c>
    </row>
    <row r="49" spans="1:6" x14ac:dyDescent="0.2">
      <c r="B49" s="1" t="s">
        <v>1366</v>
      </c>
    </row>
    <row r="51" spans="1:6" x14ac:dyDescent="0.2">
      <c r="B51" s="1" t="s">
        <v>366</v>
      </c>
      <c r="C51" s="1" t="s">
        <v>1507</v>
      </c>
      <c r="D51" s="1">
        <f>+D26/2</f>
        <v>2250</v>
      </c>
    </row>
    <row r="52" spans="1:6" x14ac:dyDescent="0.2">
      <c r="B52" s="1" t="s">
        <v>1496</v>
      </c>
      <c r="D52" s="1">
        <f>-28</f>
        <v>-28</v>
      </c>
    </row>
    <row r="54" spans="1:6" x14ac:dyDescent="0.2">
      <c r="B54" s="1" t="s">
        <v>1508</v>
      </c>
      <c r="E54" s="16">
        <f>-D52</f>
        <v>28</v>
      </c>
    </row>
    <row r="55" spans="1:6" x14ac:dyDescent="0.2">
      <c r="A55" s="1">
        <v>0.5</v>
      </c>
      <c r="C55" s="1" t="s">
        <v>1509</v>
      </c>
      <c r="F55" s="16">
        <f>+E54</f>
        <v>28</v>
      </c>
    </row>
    <row r="56" spans="1:6" x14ac:dyDescent="0.2">
      <c r="B56" s="1" t="s">
        <v>1510</v>
      </c>
    </row>
    <row r="59" spans="1:6" x14ac:dyDescent="0.2">
      <c r="B59" s="1" t="s">
        <v>1511</v>
      </c>
    </row>
    <row r="61" spans="1:6" x14ac:dyDescent="0.2">
      <c r="B61" s="1" t="s">
        <v>1561</v>
      </c>
    </row>
    <row r="62" spans="1:6" x14ac:dyDescent="0.2">
      <c r="B62" s="1" t="s">
        <v>1563</v>
      </c>
    </row>
    <row r="63" spans="1:6" x14ac:dyDescent="0.2">
      <c r="B63" s="1" t="s">
        <v>1366</v>
      </c>
    </row>
    <row r="64" spans="1:6" x14ac:dyDescent="0.2">
      <c r="B64" s="1" t="s">
        <v>1562</v>
      </c>
    </row>
    <row r="65" spans="2:6" x14ac:dyDescent="0.2">
      <c r="B65" s="1" t="s">
        <v>1366</v>
      </c>
    </row>
    <row r="67" spans="2:6" x14ac:dyDescent="0.2">
      <c r="B67" s="1">
        <v>194</v>
      </c>
    </row>
    <row r="68" spans="2:6" x14ac:dyDescent="0.2">
      <c r="B68" s="6">
        <f>+B67*0.19</f>
        <v>36.86</v>
      </c>
      <c r="C68" s="1" t="s">
        <v>1512</v>
      </c>
    </row>
    <row r="70" spans="2:6" x14ac:dyDescent="0.2">
      <c r="B70" s="1" t="s">
        <v>1513</v>
      </c>
      <c r="E70" s="26">
        <f>+B68</f>
        <v>36.86</v>
      </c>
    </row>
    <row r="71" spans="2:6" x14ac:dyDescent="0.2">
      <c r="C71" s="1" t="s">
        <v>1515</v>
      </c>
      <c r="F71" s="26">
        <f>+B68</f>
        <v>36.86</v>
      </c>
    </row>
    <row r="72" spans="2:6" x14ac:dyDescent="0.2">
      <c r="B72" s="1" t="s">
        <v>1514</v>
      </c>
    </row>
    <row r="75" spans="2:6" x14ac:dyDescent="0.2">
      <c r="B75" s="88" t="s">
        <v>263</v>
      </c>
    </row>
    <row r="76" spans="2:6" x14ac:dyDescent="0.2">
      <c r="B76" s="88" t="s">
        <v>1523</v>
      </c>
      <c r="E76" s="6"/>
    </row>
    <row r="77" spans="2:6" x14ac:dyDescent="0.2">
      <c r="E77" s="6"/>
    </row>
    <row r="78" spans="2:6" x14ac:dyDescent="0.2">
      <c r="E78" s="6"/>
    </row>
    <row r="79" spans="2:6" x14ac:dyDescent="0.2">
      <c r="E79" s="6"/>
    </row>
    <row r="80" spans="2:6" x14ac:dyDescent="0.2">
      <c r="B80" s="1" t="s">
        <v>1518</v>
      </c>
      <c r="E80" s="6">
        <v>64</v>
      </c>
      <c r="F80" s="1" t="s">
        <v>1519</v>
      </c>
    </row>
    <row r="81" spans="2:6" x14ac:dyDescent="0.2">
      <c r="B81" s="1" t="s">
        <v>1524</v>
      </c>
      <c r="E81" s="6">
        <f>+E80*0.2</f>
        <v>12.8</v>
      </c>
      <c r="F81" s="1" t="s">
        <v>263</v>
      </c>
    </row>
    <row r="82" spans="2:6" ht="12.75" thickBot="1" x14ac:dyDescent="0.25">
      <c r="E82" s="14">
        <f>SUM(E76:E81)</f>
        <v>76.8</v>
      </c>
      <c r="F82" s="1" t="s">
        <v>1520</v>
      </c>
    </row>
    <row r="83" spans="2:6" ht="12.75" thickTop="1" x14ac:dyDescent="0.2"/>
    <row r="84" spans="2:6" x14ac:dyDescent="0.2">
      <c r="E84" s="6">
        <f>+E86-E85</f>
        <v>31.666666666666668</v>
      </c>
      <c r="F84" s="1" t="s">
        <v>1522</v>
      </c>
    </row>
    <row r="85" spans="2:6" x14ac:dyDescent="0.2">
      <c r="B85" s="1" t="s">
        <v>1525</v>
      </c>
      <c r="E85" s="6">
        <f>+E86*1/6</f>
        <v>6.333333333333333</v>
      </c>
      <c r="F85" s="1" t="s">
        <v>263</v>
      </c>
    </row>
    <row r="86" spans="2:6" ht="12.75" thickBot="1" x14ac:dyDescent="0.25">
      <c r="B86" s="1" t="s">
        <v>1521</v>
      </c>
      <c r="E86" s="14">
        <v>38</v>
      </c>
      <c r="F86" s="1" t="s">
        <v>1520</v>
      </c>
    </row>
    <row r="87" spans="2:6" ht="12.75" thickTop="1" x14ac:dyDescent="0.2"/>
    <row r="89" spans="2:6" x14ac:dyDescent="0.2">
      <c r="B89" s="1" t="s">
        <v>1526</v>
      </c>
      <c r="E89" s="136">
        <f>+E81</f>
        <v>12.8</v>
      </c>
      <c r="F89" s="136"/>
    </row>
    <row r="90" spans="2:6" x14ac:dyDescent="0.2">
      <c r="C90" s="1" t="s">
        <v>1527</v>
      </c>
      <c r="E90" s="136"/>
      <c r="F90" s="136">
        <f>+E85</f>
        <v>6.333333333333333</v>
      </c>
    </row>
    <row r="91" spans="2:6" x14ac:dyDescent="0.2">
      <c r="C91" s="1" t="s">
        <v>1528</v>
      </c>
      <c r="E91" s="136"/>
      <c r="F91" s="136">
        <f>+E89+-F90</f>
        <v>6.4666666666666677</v>
      </c>
    </row>
    <row r="92" spans="2:6" x14ac:dyDescent="0.2">
      <c r="B92" s="1" t="s">
        <v>1529</v>
      </c>
    </row>
  </sheetData>
  <hyperlinks>
    <hyperlink ref="A1" location="Main!A1" display="Main" xr:uid="{FD9DA429-48FB-409A-B6F2-091B851A6538}"/>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1C23B-E9A0-45EB-840A-E684D232565B}">
  <sheetPr codeName="Sheet21"/>
  <dimension ref="A1:J142"/>
  <sheetViews>
    <sheetView zoomScaleNormal="100" workbookViewId="0"/>
  </sheetViews>
  <sheetFormatPr defaultRowHeight="12" x14ac:dyDescent="0.2"/>
  <cols>
    <col min="1" max="16384" width="9.140625" style="1"/>
  </cols>
  <sheetData>
    <row r="1" spans="1:6" ht="15" x14ac:dyDescent="0.25">
      <c r="A1" s="2" t="s">
        <v>0</v>
      </c>
      <c r="B1" s="1" t="s">
        <v>1316</v>
      </c>
    </row>
    <row r="2" spans="1:6" x14ac:dyDescent="0.2">
      <c r="B2" s="1" t="s">
        <v>1294</v>
      </c>
      <c r="C2" s="1" t="s">
        <v>1361</v>
      </c>
    </row>
    <row r="3" spans="1:6" x14ac:dyDescent="0.2">
      <c r="C3" s="1" t="s">
        <v>1362</v>
      </c>
    </row>
    <row r="4" spans="1:6" x14ac:dyDescent="0.2">
      <c r="B4" s="1" t="s">
        <v>5</v>
      </c>
      <c r="C4" s="3">
        <v>44196</v>
      </c>
    </row>
    <row r="7" spans="1:6" x14ac:dyDescent="0.2">
      <c r="B7" s="88" t="s">
        <v>1315</v>
      </c>
    </row>
    <row r="8" spans="1:6" x14ac:dyDescent="0.2">
      <c r="B8" s="1" t="s">
        <v>1295</v>
      </c>
      <c r="C8" s="6">
        <v>6000</v>
      </c>
    </row>
    <row r="9" spans="1:6" x14ac:dyDescent="0.2">
      <c r="B9" s="1" t="s">
        <v>1296</v>
      </c>
      <c r="C9" s="1">
        <v>1</v>
      </c>
    </row>
    <row r="10" spans="1:6" x14ac:dyDescent="0.2">
      <c r="B10" s="1" t="s">
        <v>1297</v>
      </c>
      <c r="C10" s="33">
        <v>0.05</v>
      </c>
    </row>
    <row r="11" spans="1:6" x14ac:dyDescent="0.2">
      <c r="B11" s="1" t="s">
        <v>302</v>
      </c>
      <c r="C11" s="1">
        <v>6168</v>
      </c>
    </row>
    <row r="12" spans="1:6" x14ac:dyDescent="0.2">
      <c r="B12" s="1" t="s">
        <v>1298</v>
      </c>
      <c r="C12" s="33">
        <v>8.2000000000000003E-2</v>
      </c>
      <c r="D12" s="1" t="s">
        <v>371</v>
      </c>
    </row>
    <row r="13" spans="1:6" x14ac:dyDescent="0.2">
      <c r="B13" s="1" t="s">
        <v>1299</v>
      </c>
    </row>
    <row r="15" spans="1:6" x14ac:dyDescent="0.2">
      <c r="C15" s="1" t="s">
        <v>1300</v>
      </c>
      <c r="D15" s="1" t="s">
        <v>1301</v>
      </c>
      <c r="E15" s="1" t="s">
        <v>1302</v>
      </c>
    </row>
    <row r="16" spans="1:6" x14ac:dyDescent="0.2">
      <c r="B16" s="3">
        <v>44196</v>
      </c>
      <c r="C16" s="1">
        <f>+C11</f>
        <v>6168</v>
      </c>
      <c r="D16" s="1">
        <f>+C16*C12</f>
        <v>505.77600000000001</v>
      </c>
      <c r="E16" s="1">
        <f>+C8*C10*-1</f>
        <v>-300</v>
      </c>
      <c r="F16" s="1">
        <f>SUM(C16:E16)</f>
        <v>6373.7759999999998</v>
      </c>
    </row>
    <row r="18" spans="2:6" x14ac:dyDescent="0.2">
      <c r="B18" s="1" t="s">
        <v>748</v>
      </c>
      <c r="E18" s="1">
        <f>+D16+E16</f>
        <v>205.77600000000001</v>
      </c>
    </row>
    <row r="19" spans="2:6" x14ac:dyDescent="0.2">
      <c r="C19" s="1" t="s">
        <v>1305</v>
      </c>
      <c r="F19" s="1">
        <f>+E18</f>
        <v>205.77600000000001</v>
      </c>
    </row>
    <row r="20" spans="2:6" x14ac:dyDescent="0.2">
      <c r="B20" s="1" t="s">
        <v>1306</v>
      </c>
    </row>
    <row r="22" spans="2:6" x14ac:dyDescent="0.2">
      <c r="B22" s="1" t="s">
        <v>1307</v>
      </c>
    </row>
    <row r="23" spans="2:6" x14ac:dyDescent="0.2">
      <c r="B23" s="1" t="s">
        <v>1308</v>
      </c>
    </row>
    <row r="25" spans="2:6" x14ac:dyDescent="0.2">
      <c r="B25" s="1" t="s">
        <v>1303</v>
      </c>
      <c r="C25" s="89">
        <v>4000</v>
      </c>
    </row>
    <row r="26" spans="2:6" x14ac:dyDescent="0.2">
      <c r="B26" s="1" t="s">
        <v>1304</v>
      </c>
      <c r="C26" s="1">
        <v>1.05</v>
      </c>
    </row>
    <row r="27" spans="2:6" x14ac:dyDescent="0.2">
      <c r="B27" s="1" t="s">
        <v>1309</v>
      </c>
      <c r="C27" s="89">
        <f>+C25*C26</f>
        <v>4200</v>
      </c>
    </row>
    <row r="28" spans="2:6" x14ac:dyDescent="0.2">
      <c r="B28" s="1" t="s">
        <v>302</v>
      </c>
      <c r="C28" s="89">
        <f>+C25/C8*F16</f>
        <v>4249.1839999999993</v>
      </c>
    </row>
    <row r="29" spans="2:6" x14ac:dyDescent="0.2">
      <c r="B29" s="1" t="s">
        <v>1310</v>
      </c>
      <c r="C29" s="89">
        <f>+C27-C28</f>
        <v>-49.183999999999287</v>
      </c>
    </row>
    <row r="32" spans="2:6" x14ac:dyDescent="0.2">
      <c r="B32" s="1" t="s">
        <v>1311</v>
      </c>
      <c r="E32" s="89">
        <f>+C28</f>
        <v>4249.1839999999993</v>
      </c>
      <c r="F32" s="89"/>
    </row>
    <row r="33" spans="2:6" x14ac:dyDescent="0.2">
      <c r="C33" s="1" t="s">
        <v>1312</v>
      </c>
      <c r="E33" s="89"/>
      <c r="F33" s="89">
        <f>-C29</f>
        <v>49.183999999999287</v>
      </c>
    </row>
    <row r="34" spans="2:6" x14ac:dyDescent="0.2">
      <c r="C34" s="1" t="s">
        <v>1313</v>
      </c>
      <c r="E34" s="89"/>
      <c r="F34" s="89">
        <f>+C27</f>
        <v>4200</v>
      </c>
    </row>
    <row r="35" spans="2:6" x14ac:dyDescent="0.2">
      <c r="B35" s="1" t="s">
        <v>1314</v>
      </c>
      <c r="E35" s="89"/>
      <c r="F35" s="89"/>
    </row>
    <row r="38" spans="2:6" x14ac:dyDescent="0.2">
      <c r="B38" s="88" t="s">
        <v>1317</v>
      </c>
    </row>
    <row r="39" spans="2:6" x14ac:dyDescent="0.2">
      <c r="B39" s="1" t="s">
        <v>1318</v>
      </c>
      <c r="C39" s="6">
        <v>750</v>
      </c>
      <c r="D39" s="1" t="s">
        <v>1319</v>
      </c>
    </row>
    <row r="40" spans="2:6" x14ac:dyDescent="0.2">
      <c r="B40" s="1" t="s">
        <v>1320</v>
      </c>
      <c r="C40" s="1">
        <v>1.25</v>
      </c>
    </row>
    <row r="41" spans="2:6" x14ac:dyDescent="0.2">
      <c r="C41" s="1">
        <f>+C39/C40</f>
        <v>600</v>
      </c>
      <c r="D41" s="1" t="s">
        <v>476</v>
      </c>
    </row>
    <row r="42" spans="2:6" x14ac:dyDescent="0.2">
      <c r="B42" s="1" t="s">
        <v>1379</v>
      </c>
    </row>
    <row r="43" spans="2:6" x14ac:dyDescent="0.2">
      <c r="B43" s="1" t="s">
        <v>1321</v>
      </c>
    </row>
    <row r="45" spans="2:6" x14ac:dyDescent="0.2">
      <c r="B45" s="1" t="s">
        <v>1322</v>
      </c>
      <c r="E45" s="1">
        <v>50</v>
      </c>
    </row>
    <row r="46" spans="2:6" x14ac:dyDescent="0.2">
      <c r="C46" s="1" t="s">
        <v>1323</v>
      </c>
      <c r="F46" s="1">
        <f>+E45</f>
        <v>50</v>
      </c>
    </row>
    <row r="47" spans="2:6" x14ac:dyDescent="0.2">
      <c r="B47" s="1" t="s">
        <v>1324</v>
      </c>
    </row>
    <row r="49" spans="2:6" x14ac:dyDescent="0.2">
      <c r="B49" s="1" t="s">
        <v>1380</v>
      </c>
    </row>
    <row r="51" spans="2:6" x14ac:dyDescent="0.2">
      <c r="B51" s="1" t="s">
        <v>1326</v>
      </c>
      <c r="E51" s="1">
        <f>+F52</f>
        <v>231</v>
      </c>
    </row>
    <row r="52" spans="2:6" x14ac:dyDescent="0.2">
      <c r="C52" s="1" t="s">
        <v>1327</v>
      </c>
      <c r="F52" s="1">
        <v>231</v>
      </c>
    </row>
    <row r="53" spans="2:6" x14ac:dyDescent="0.2">
      <c r="B53" s="1" t="s">
        <v>1325</v>
      </c>
    </row>
    <row r="56" spans="2:6" x14ac:dyDescent="0.2">
      <c r="B56" s="88" t="s">
        <v>1328</v>
      </c>
    </row>
    <row r="57" spans="2:6" x14ac:dyDescent="0.2">
      <c r="B57" s="1" t="s">
        <v>1329</v>
      </c>
      <c r="C57" s="1">
        <v>8000</v>
      </c>
    </row>
    <row r="58" spans="2:6" x14ac:dyDescent="0.2">
      <c r="B58" s="1" t="s">
        <v>1330</v>
      </c>
      <c r="C58" s="1">
        <v>0.5</v>
      </c>
    </row>
    <row r="59" spans="2:6" x14ac:dyDescent="0.2">
      <c r="B59" s="1" t="s">
        <v>1331</v>
      </c>
      <c r="C59" s="4">
        <v>0.08</v>
      </c>
    </row>
    <row r="60" spans="2:6" x14ac:dyDescent="0.2">
      <c r="B60" s="1" t="s">
        <v>32</v>
      </c>
      <c r="C60" s="1">
        <v>0.47</v>
      </c>
    </row>
    <row r="62" spans="2:6" x14ac:dyDescent="0.2">
      <c r="B62" s="1" t="s">
        <v>302</v>
      </c>
      <c r="C62" s="1">
        <f>+C57*C58</f>
        <v>4000</v>
      </c>
    </row>
    <row r="63" spans="2:6" x14ac:dyDescent="0.2">
      <c r="B63" s="1" t="s">
        <v>32</v>
      </c>
      <c r="C63" s="1">
        <f>+C60*C57</f>
        <v>3760</v>
      </c>
    </row>
    <row r="64" spans="2:6" x14ac:dyDescent="0.2">
      <c r="C64" s="1">
        <f>+C63-C62</f>
        <v>-240</v>
      </c>
    </row>
    <row r="67" spans="2:6" x14ac:dyDescent="0.2">
      <c r="B67" s="1" t="s">
        <v>1333</v>
      </c>
      <c r="E67" s="1">
        <f>+C62</f>
        <v>4000</v>
      </c>
    </row>
    <row r="68" spans="2:6" x14ac:dyDescent="0.2">
      <c r="C68" s="1" t="s">
        <v>1332</v>
      </c>
      <c r="F68" s="1">
        <f>+C63</f>
        <v>3760</v>
      </c>
    </row>
    <row r="69" spans="2:6" x14ac:dyDescent="0.2">
      <c r="C69" s="1" t="s">
        <v>1335</v>
      </c>
      <c r="F69" s="1">
        <f>-C64</f>
        <v>240</v>
      </c>
    </row>
    <row r="70" spans="2:6" x14ac:dyDescent="0.2">
      <c r="B70" s="1" t="s">
        <v>1334</v>
      </c>
    </row>
    <row r="72" spans="2:6" x14ac:dyDescent="0.2">
      <c r="B72" s="88" t="s">
        <v>394</v>
      </c>
    </row>
    <row r="74" spans="2:6" x14ac:dyDescent="0.2">
      <c r="C74" s="1" t="s">
        <v>1337</v>
      </c>
      <c r="D74" s="1" t="s">
        <v>1336</v>
      </c>
    </row>
    <row r="75" spans="2:6" x14ac:dyDescent="0.2">
      <c r="B75" s="3">
        <v>42736</v>
      </c>
      <c r="C75" s="1">
        <v>2000</v>
      </c>
      <c r="D75" s="1">
        <v>1.05</v>
      </c>
      <c r="E75" s="1">
        <f>+C75*D75</f>
        <v>2100</v>
      </c>
    </row>
    <row r="76" spans="2:6" x14ac:dyDescent="0.2">
      <c r="B76" s="3">
        <v>43830</v>
      </c>
      <c r="E76" s="1">
        <v>2488</v>
      </c>
      <c r="F76" s="1">
        <f>+E76-E75</f>
        <v>388</v>
      </c>
    </row>
    <row r="77" spans="2:6" x14ac:dyDescent="0.2">
      <c r="B77" s="1" t="s">
        <v>1338</v>
      </c>
      <c r="E77" s="1">
        <v>7000</v>
      </c>
      <c r="F77" s="1">
        <f>+E77-E76</f>
        <v>4512</v>
      </c>
    </row>
    <row r="78" spans="2:6" x14ac:dyDescent="0.2">
      <c r="E78" s="1">
        <f>+E77-E76</f>
        <v>4512</v>
      </c>
      <c r="F78" s="1">
        <f>SUM(F76:F77)</f>
        <v>4900</v>
      </c>
    </row>
    <row r="80" spans="2:6" x14ac:dyDescent="0.2">
      <c r="B80" s="1" t="s">
        <v>1339</v>
      </c>
      <c r="E80" s="1">
        <f>+F76</f>
        <v>388</v>
      </c>
    </row>
    <row r="81" spans="2:6" x14ac:dyDescent="0.2">
      <c r="C81" s="1" t="s">
        <v>1340</v>
      </c>
      <c r="F81" s="1">
        <f>+E80</f>
        <v>388</v>
      </c>
    </row>
    <row r="83" spans="2:6" x14ac:dyDescent="0.2">
      <c r="B83" s="1" t="s">
        <v>1339</v>
      </c>
      <c r="E83" s="1">
        <f>+F77</f>
        <v>4512</v>
      </c>
    </row>
    <row r="84" spans="2:6" x14ac:dyDescent="0.2">
      <c r="C84" s="1" t="s">
        <v>1340</v>
      </c>
      <c r="F84" s="1">
        <f>+E83</f>
        <v>4512</v>
      </c>
    </row>
    <row r="86" spans="2:6" x14ac:dyDescent="0.2">
      <c r="B86" s="1" t="s">
        <v>1341</v>
      </c>
      <c r="E86" s="1">
        <f>+F84+F81</f>
        <v>4900</v>
      </c>
    </row>
    <row r="87" spans="2:6" x14ac:dyDescent="0.2">
      <c r="B87" s="1" t="s">
        <v>1343</v>
      </c>
      <c r="E87" s="1">
        <v>7000</v>
      </c>
    </row>
    <row r="88" spans="2:6" x14ac:dyDescent="0.2">
      <c r="C88" s="1" t="s">
        <v>1342</v>
      </c>
      <c r="F88" s="1">
        <f>+E75+E80+E83</f>
        <v>7000</v>
      </c>
    </row>
    <row r="89" spans="2:6" x14ac:dyDescent="0.2">
      <c r="C89" s="1" t="s">
        <v>1105</v>
      </c>
      <c r="F89" s="1">
        <f>+E86</f>
        <v>4900</v>
      </c>
    </row>
    <row r="90" spans="2:6" x14ac:dyDescent="0.2">
      <c r="B90" s="1" t="s">
        <v>1344</v>
      </c>
    </row>
    <row r="93" spans="2:6" x14ac:dyDescent="0.2">
      <c r="B93" s="1" t="s">
        <v>1384</v>
      </c>
    </row>
    <row r="94" spans="2:6" x14ac:dyDescent="0.2">
      <c r="B94" s="16" t="s">
        <v>1381</v>
      </c>
    </row>
    <row r="95" spans="2:6" x14ac:dyDescent="0.2">
      <c r="B95" s="16" t="s">
        <v>1382</v>
      </c>
    </row>
    <row r="96" spans="2:6" x14ac:dyDescent="0.2">
      <c r="B96" s="16" t="s">
        <v>1383</v>
      </c>
    </row>
    <row r="99" spans="2:10" x14ac:dyDescent="0.2">
      <c r="B99" s="88" t="s">
        <v>1345</v>
      </c>
    </row>
    <row r="100" spans="2:10" x14ac:dyDescent="0.2">
      <c r="B100" s="1" t="s">
        <v>1346</v>
      </c>
    </row>
    <row r="101" spans="2:10" x14ac:dyDescent="0.2">
      <c r="B101" s="1" t="s">
        <v>1347</v>
      </c>
      <c r="C101" s="1">
        <v>2000</v>
      </c>
    </row>
    <row r="102" spans="2:10" x14ac:dyDescent="0.2">
      <c r="B102" s="1" t="s">
        <v>1348</v>
      </c>
      <c r="C102" s="3">
        <v>43466</v>
      </c>
    </row>
    <row r="103" spans="2:10" x14ac:dyDescent="0.2">
      <c r="B103" s="1" t="s">
        <v>1349</v>
      </c>
      <c r="C103" s="3">
        <v>44561</v>
      </c>
    </row>
    <row r="104" spans="2:10" x14ac:dyDescent="0.2">
      <c r="B104" s="1" t="s">
        <v>740</v>
      </c>
      <c r="C104" s="1">
        <f>YEARFRAC(C102,C103)</f>
        <v>3</v>
      </c>
    </row>
    <row r="105" spans="2:10" x14ac:dyDescent="0.2">
      <c r="B105" s="1" t="s">
        <v>1352</v>
      </c>
      <c r="C105" s="33">
        <v>4.4999999999999998E-2</v>
      </c>
    </row>
    <row r="106" spans="2:10" x14ac:dyDescent="0.2">
      <c r="B106" s="1" t="s">
        <v>1350</v>
      </c>
      <c r="C106" s="1">
        <v>10</v>
      </c>
      <c r="D106" s="3">
        <v>43830</v>
      </c>
    </row>
    <row r="110" spans="2:10" x14ac:dyDescent="0.2">
      <c r="C110" s="1" t="s">
        <v>828</v>
      </c>
      <c r="D110" s="1" t="s">
        <v>1351</v>
      </c>
      <c r="E110" s="1" t="s">
        <v>63</v>
      </c>
      <c r="G110" s="1" t="s">
        <v>1353</v>
      </c>
      <c r="H110" s="1" t="s">
        <v>62</v>
      </c>
    </row>
    <row r="111" spans="2:10" x14ac:dyDescent="0.2">
      <c r="B111" s="3">
        <v>43830</v>
      </c>
      <c r="C111" s="89">
        <f>+C101</f>
        <v>2000</v>
      </c>
      <c r="D111" s="89">
        <f>+C111*$C$105</f>
        <v>90</v>
      </c>
      <c r="E111" s="89">
        <v>-90</v>
      </c>
      <c r="F111" s="89">
        <f>SUM(C111:E111)</f>
        <v>2000</v>
      </c>
      <c r="G111" s="89">
        <v>10</v>
      </c>
      <c r="H111" s="89"/>
      <c r="I111" s="4"/>
      <c r="J111" s="89">
        <f>+G111*I111</f>
        <v>0</v>
      </c>
    </row>
    <row r="112" spans="2:10" x14ac:dyDescent="0.2">
      <c r="B112" s="3">
        <v>44196</v>
      </c>
      <c r="C112" s="89">
        <f>+F111</f>
        <v>2000</v>
      </c>
      <c r="D112" s="89">
        <f>+C112*$C$105</f>
        <v>90</v>
      </c>
      <c r="E112" s="89">
        <v>-90</v>
      </c>
      <c r="F112" s="89">
        <f>SUM(C112:E112)</f>
        <v>2000</v>
      </c>
      <c r="G112" s="89">
        <v>34</v>
      </c>
      <c r="H112" s="89">
        <f>+G112/(1+$C$105)^0</f>
        <v>34</v>
      </c>
      <c r="I112" s="4">
        <v>0.5</v>
      </c>
      <c r="J112" s="89">
        <v>0</v>
      </c>
    </row>
    <row r="113" spans="2:10" x14ac:dyDescent="0.2">
      <c r="B113" s="3">
        <v>44561</v>
      </c>
      <c r="C113" s="89">
        <f>+F112</f>
        <v>2000</v>
      </c>
      <c r="D113" s="89">
        <f>+C113*$C$105</f>
        <v>90</v>
      </c>
      <c r="E113" s="89">
        <v>-2090</v>
      </c>
      <c r="F113" s="89">
        <f>SUM(C113:E113)</f>
        <v>0</v>
      </c>
      <c r="G113" s="89">
        <v>34</v>
      </c>
      <c r="H113" s="89">
        <f>+G113/(1+$C$105)^1</f>
        <v>32.535885167464116</v>
      </c>
      <c r="I113" s="4">
        <v>0.5</v>
      </c>
      <c r="J113" s="91">
        <f>+H113*I113</f>
        <v>16.267942583732058</v>
      </c>
    </row>
    <row r="114" spans="2:10" x14ac:dyDescent="0.2">
      <c r="J114" s="89">
        <f>SUM(J111:J113)</f>
        <v>16.267942583732058</v>
      </c>
    </row>
    <row r="115" spans="2:10" x14ac:dyDescent="0.2">
      <c r="B115" s="1" t="s">
        <v>1356</v>
      </c>
      <c r="J115" s="89">
        <v>10</v>
      </c>
    </row>
    <row r="116" spans="2:10" ht="12.75" thickBot="1" x14ac:dyDescent="0.25">
      <c r="B116" s="1" t="s">
        <v>1357</v>
      </c>
      <c r="J116" s="90">
        <f>+J114-J115</f>
        <v>6.2679425837320579</v>
      </c>
    </row>
    <row r="117" spans="2:10" ht="12.75" thickTop="1" x14ac:dyDescent="0.2"/>
    <row r="118" spans="2:10" x14ac:dyDescent="0.2">
      <c r="B118" s="1" t="s">
        <v>36</v>
      </c>
      <c r="E118" s="89">
        <f>+J116</f>
        <v>6.2679425837320579</v>
      </c>
      <c r="F118" s="89"/>
    </row>
    <row r="119" spans="2:10" x14ac:dyDescent="0.2">
      <c r="C119" s="1" t="s">
        <v>1354</v>
      </c>
      <c r="E119" s="89"/>
      <c r="F119" s="89">
        <f>+J116</f>
        <v>6.2679425837320579</v>
      </c>
    </row>
    <row r="120" spans="2:10" x14ac:dyDescent="0.2">
      <c r="B120" s="1" t="s">
        <v>1355</v>
      </c>
    </row>
    <row r="122" spans="2:10" x14ac:dyDescent="0.2">
      <c r="B122" s="1" t="s">
        <v>1358</v>
      </c>
      <c r="D122" s="89">
        <f>+C113</f>
        <v>2000</v>
      </c>
    </row>
    <row r="123" spans="2:10" x14ac:dyDescent="0.2">
      <c r="B123" s="1" t="s">
        <v>1359</v>
      </c>
      <c r="D123" s="89">
        <f>-J113</f>
        <v>-16.267942583732058</v>
      </c>
    </row>
    <row r="124" spans="2:10" ht="12.75" thickBot="1" x14ac:dyDescent="0.25">
      <c r="B124" s="1" t="s">
        <v>1360</v>
      </c>
      <c r="D124" s="90">
        <f>SUM(D122:D123)</f>
        <v>1983.7320574162679</v>
      </c>
    </row>
    <row r="125" spans="2:10" ht="12.75" thickTop="1" x14ac:dyDescent="0.2"/>
    <row r="127" spans="2:10" x14ac:dyDescent="0.2">
      <c r="B127" s="88" t="s">
        <v>1363</v>
      </c>
    </row>
    <row r="128" spans="2:10" x14ac:dyDescent="0.2">
      <c r="B128" s="1" t="s">
        <v>1364</v>
      </c>
    </row>
    <row r="129" spans="2:2" x14ac:dyDescent="0.2">
      <c r="B129" s="1" t="s">
        <v>1365</v>
      </c>
    </row>
    <row r="130" spans="2:2" x14ac:dyDescent="0.2">
      <c r="B130" s="1" t="s">
        <v>1366</v>
      </c>
    </row>
    <row r="131" spans="2:2" x14ac:dyDescent="0.2">
      <c r="B131" s="1" t="s">
        <v>1367</v>
      </c>
    </row>
    <row r="132" spans="2:2" x14ac:dyDescent="0.2">
      <c r="B132" s="1" t="s">
        <v>1366</v>
      </c>
    </row>
    <row r="133" spans="2:2" x14ac:dyDescent="0.2">
      <c r="B133" s="1" t="s">
        <v>1368</v>
      </c>
    </row>
    <row r="134" spans="2:2" x14ac:dyDescent="0.2">
      <c r="B134" s="1" t="s">
        <v>1366</v>
      </c>
    </row>
    <row r="135" spans="2:2" x14ac:dyDescent="0.2">
      <c r="B135" s="1" t="s">
        <v>1369</v>
      </c>
    </row>
    <row r="136" spans="2:2" x14ac:dyDescent="0.2">
      <c r="B136" s="1" t="s">
        <v>1370</v>
      </c>
    </row>
    <row r="137" spans="2:2" x14ac:dyDescent="0.2">
      <c r="B137" s="1" t="s">
        <v>1371</v>
      </c>
    </row>
    <row r="138" spans="2:2" x14ac:dyDescent="0.2">
      <c r="B138" s="1" t="s">
        <v>1372</v>
      </c>
    </row>
    <row r="139" spans="2:2" x14ac:dyDescent="0.2">
      <c r="B139" s="1" t="s">
        <v>1366</v>
      </c>
    </row>
    <row r="140" spans="2:2" x14ac:dyDescent="0.2">
      <c r="B140" s="1" t="s">
        <v>1373</v>
      </c>
    </row>
    <row r="141" spans="2:2" x14ac:dyDescent="0.2">
      <c r="B141" s="1" t="s">
        <v>1366</v>
      </c>
    </row>
    <row r="142" spans="2:2" x14ac:dyDescent="0.2">
      <c r="B142" s="1" t="s">
        <v>1374</v>
      </c>
    </row>
  </sheetData>
  <hyperlinks>
    <hyperlink ref="A1" location="Main!A1" display="Main" xr:uid="{45AD64EB-F29F-4988-9ECD-BCDC37B652B3}"/>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88E87-83A0-4E03-B0AE-1821DB7D3977}">
  <sheetPr codeName="Sheet22"/>
  <dimension ref="A1:I189"/>
  <sheetViews>
    <sheetView zoomScaleNormal="100" workbookViewId="0"/>
  </sheetViews>
  <sheetFormatPr defaultRowHeight="12" x14ac:dyDescent="0.2"/>
  <cols>
    <col min="1" max="1" width="9.140625" style="1"/>
    <col min="2" max="2" width="10.7109375" style="1" bestFit="1" customWidth="1"/>
    <col min="3" max="3" width="11.7109375" style="1" bestFit="1" customWidth="1"/>
    <col min="4" max="4" width="9.5703125" style="1" bestFit="1" customWidth="1"/>
    <col min="5" max="5" width="10.5703125" style="1" bestFit="1" customWidth="1"/>
    <col min="6" max="7" width="9.140625" style="1"/>
    <col min="8" max="8" width="10.140625" style="1" bestFit="1" customWidth="1"/>
    <col min="9" max="9" width="9.5703125" style="1" bestFit="1" customWidth="1"/>
    <col min="10" max="16384" width="9.140625" style="1"/>
  </cols>
  <sheetData>
    <row r="1" spans="1:3" ht="15" x14ac:dyDescent="0.25">
      <c r="A1" s="2" t="s">
        <v>0</v>
      </c>
    </row>
    <row r="3" spans="1:3" x14ac:dyDescent="0.2">
      <c r="B3" s="1" t="s">
        <v>148</v>
      </c>
      <c r="C3" s="16" t="s">
        <v>290</v>
      </c>
    </row>
    <row r="4" spans="1:3" x14ac:dyDescent="0.2">
      <c r="C4" s="16" t="s">
        <v>683</v>
      </c>
    </row>
    <row r="5" spans="1:3" x14ac:dyDescent="0.2">
      <c r="B5" s="1" t="s">
        <v>5</v>
      </c>
      <c r="C5" s="3">
        <v>45016</v>
      </c>
    </row>
    <row r="7" spans="1:3" x14ac:dyDescent="0.2">
      <c r="B7" s="1" t="s">
        <v>182</v>
      </c>
    </row>
    <row r="9" spans="1:3" x14ac:dyDescent="0.2">
      <c r="B9" s="1" t="s">
        <v>9</v>
      </c>
    </row>
    <row r="11" spans="1:3" x14ac:dyDescent="0.2">
      <c r="A11" s="1">
        <v>0.5</v>
      </c>
      <c r="B11" s="1" t="s">
        <v>680</v>
      </c>
    </row>
    <row r="13" spans="1:3" x14ac:dyDescent="0.2">
      <c r="A13" s="1">
        <v>0.5</v>
      </c>
      <c r="B13" s="1" t="s">
        <v>254</v>
      </c>
    </row>
    <row r="14" spans="1:3" x14ac:dyDescent="0.2">
      <c r="A14" s="1">
        <v>0.5</v>
      </c>
      <c r="B14" s="1" t="s">
        <v>255</v>
      </c>
    </row>
    <row r="15" spans="1:3" x14ac:dyDescent="0.2">
      <c r="A15" s="1">
        <v>0.5</v>
      </c>
      <c r="B15" s="1" t="s">
        <v>256</v>
      </c>
    </row>
    <row r="16" spans="1:3" x14ac:dyDescent="0.2">
      <c r="B16" s="1" t="s">
        <v>679</v>
      </c>
    </row>
    <row r="18" spans="2:5" x14ac:dyDescent="0.2">
      <c r="B18" s="1" t="s">
        <v>183</v>
      </c>
      <c r="C18" s="6">
        <v>980</v>
      </c>
    </row>
    <row r="19" spans="2:5" x14ac:dyDescent="0.2">
      <c r="B19" s="1" t="s">
        <v>184</v>
      </c>
      <c r="C19" s="6"/>
    </row>
    <row r="20" spans="2:5" x14ac:dyDescent="0.2">
      <c r="B20" s="1" t="s">
        <v>185</v>
      </c>
      <c r="C20" s="6">
        <v>62</v>
      </c>
      <c r="D20" s="1" t="s">
        <v>678</v>
      </c>
      <c r="E20" s="6"/>
    </row>
    <row r="21" spans="2:5" x14ac:dyDescent="0.2">
      <c r="B21" s="1" t="s">
        <v>186</v>
      </c>
      <c r="C21" s="6">
        <v>50</v>
      </c>
      <c r="D21" s="1" t="s">
        <v>678</v>
      </c>
      <c r="E21" s="6"/>
    </row>
    <row r="22" spans="2:5" ht="12.75" thickBot="1" x14ac:dyDescent="0.25">
      <c r="B22" s="1" t="s">
        <v>195</v>
      </c>
      <c r="C22" s="14">
        <f>+C18-C20-C21</f>
        <v>868</v>
      </c>
    </row>
    <row r="23" spans="2:5" ht="12.75" thickTop="1" x14ac:dyDescent="0.2">
      <c r="C23" s="18"/>
    </row>
    <row r="24" spans="2:5" x14ac:dyDescent="0.2">
      <c r="B24" s="1" t="s">
        <v>257</v>
      </c>
      <c r="C24" s="89">
        <f>+D64*1.5/5</f>
        <v>63.333333333333329</v>
      </c>
    </row>
    <row r="25" spans="2:5" x14ac:dyDescent="0.2">
      <c r="C25" s="89">
        <f>-D65*1000/G67</f>
        <v>-13.548387096774194</v>
      </c>
    </row>
    <row r="26" spans="2:5" x14ac:dyDescent="0.2">
      <c r="C26" s="89">
        <f>-D66*1000/(F66*C70)</f>
        <v>-4.7619047619047619</v>
      </c>
      <c r="D26" s="16" t="s">
        <v>260</v>
      </c>
    </row>
    <row r="27" spans="2:5" ht="12.75" thickBot="1" x14ac:dyDescent="0.25">
      <c r="C27" s="14">
        <f>SUM(C22:C26)</f>
        <v>913.02304147465441</v>
      </c>
    </row>
    <row r="28" spans="2:5" ht="12.75" thickTop="1" x14ac:dyDescent="0.2">
      <c r="C28" s="18"/>
    </row>
    <row r="29" spans="2:5" x14ac:dyDescent="0.2">
      <c r="B29" s="1" t="s">
        <v>258</v>
      </c>
      <c r="C29" s="18"/>
    </row>
    <row r="30" spans="2:5" x14ac:dyDescent="0.2">
      <c r="B30" s="1" t="s">
        <v>259</v>
      </c>
      <c r="C30" s="18">
        <f>+F64</f>
        <v>5</v>
      </c>
      <c r="D30" s="1">
        <f>+C69</f>
        <v>200</v>
      </c>
      <c r="E30" s="1">
        <f>+C30*D30</f>
        <v>1000</v>
      </c>
    </row>
    <row r="31" spans="2:5" x14ac:dyDescent="0.2">
      <c r="C31" s="18">
        <f>+F66</f>
        <v>7</v>
      </c>
      <c r="D31" s="1">
        <f>+C70</f>
        <v>300</v>
      </c>
      <c r="E31" s="1">
        <f>+C31*D31</f>
        <v>2100</v>
      </c>
    </row>
    <row r="32" spans="2:5" x14ac:dyDescent="0.2">
      <c r="C32" s="18"/>
      <c r="E32" s="6">
        <f>-C56</f>
        <v>-450</v>
      </c>
    </row>
    <row r="33" spans="2:5" x14ac:dyDescent="0.2">
      <c r="B33" s="1" t="s">
        <v>259</v>
      </c>
      <c r="C33" s="18"/>
      <c r="E33" s="1">
        <f>SUM(E30:E32)</f>
        <v>2650</v>
      </c>
    </row>
    <row r="34" spans="2:5" x14ac:dyDescent="0.2">
      <c r="B34" s="1" t="s">
        <v>186</v>
      </c>
      <c r="C34" s="18">
        <f>+C21</f>
        <v>50</v>
      </c>
    </row>
    <row r="35" spans="2:5" x14ac:dyDescent="0.2">
      <c r="B35" s="1" t="s">
        <v>261</v>
      </c>
      <c r="C35" s="18">
        <f>-+D67*1000/E33</f>
        <v>-5.6603773584905657</v>
      </c>
    </row>
    <row r="36" spans="2:5" x14ac:dyDescent="0.2">
      <c r="C36" s="18">
        <f>SUM(C34:C35)</f>
        <v>44.339622641509436</v>
      </c>
    </row>
    <row r="37" spans="2:5" x14ac:dyDescent="0.2">
      <c r="C37" s="18"/>
    </row>
    <row r="38" spans="2:5" x14ac:dyDescent="0.2">
      <c r="B38" s="1" t="s">
        <v>214</v>
      </c>
      <c r="C38" s="18"/>
    </row>
    <row r="39" spans="2:5" x14ac:dyDescent="0.2">
      <c r="B39" s="1" t="s">
        <v>262</v>
      </c>
      <c r="C39" s="18">
        <v>1500</v>
      </c>
    </row>
    <row r="40" spans="2:5" x14ac:dyDescent="0.2">
      <c r="B40" s="18" t="s">
        <v>263</v>
      </c>
      <c r="C40" s="1">
        <f>-C39/6</f>
        <v>-250</v>
      </c>
    </row>
    <row r="41" spans="2:5" x14ac:dyDescent="0.2">
      <c r="B41" s="1" t="s">
        <v>264</v>
      </c>
      <c r="C41" s="18">
        <f>-C36</f>
        <v>-44.339622641509436</v>
      </c>
    </row>
    <row r="42" spans="2:5" ht="12.75" thickBot="1" x14ac:dyDescent="0.25">
      <c r="C42" s="14">
        <f>SUM(C39:C41)</f>
        <v>1205.6603773584907</v>
      </c>
    </row>
    <row r="43" spans="2:5" ht="12.75" thickTop="1" x14ac:dyDescent="0.2">
      <c r="C43" s="18"/>
    </row>
    <row r="44" spans="2:5" x14ac:dyDescent="0.2">
      <c r="B44" s="1" t="s">
        <v>681</v>
      </c>
      <c r="C44" s="18"/>
    </row>
    <row r="45" spans="2:5" x14ac:dyDescent="0.2">
      <c r="C45" s="6"/>
    </row>
    <row r="46" spans="2:5" x14ac:dyDescent="0.2">
      <c r="B46" s="1" t="s">
        <v>187</v>
      </c>
      <c r="C46" s="6"/>
    </row>
    <row r="47" spans="2:5" x14ac:dyDescent="0.2">
      <c r="B47" s="1" t="s">
        <v>188</v>
      </c>
      <c r="C47" s="6">
        <v>350</v>
      </c>
      <c r="E47" s="6">
        <f>SUM(C47:D47)</f>
        <v>350</v>
      </c>
    </row>
    <row r="48" spans="2:5" x14ac:dyDescent="0.2">
      <c r="B48" s="1" t="s">
        <v>189</v>
      </c>
      <c r="C48" s="6">
        <v>120</v>
      </c>
      <c r="E48" s="6">
        <f t="shared" ref="E48:E49" si="0">SUM(C48:D48)</f>
        <v>120</v>
      </c>
    </row>
    <row r="49" spans="2:7" x14ac:dyDescent="0.2">
      <c r="B49" s="1" t="s">
        <v>190</v>
      </c>
      <c r="C49" s="6">
        <v>150</v>
      </c>
      <c r="E49" s="6">
        <f t="shared" si="0"/>
        <v>150</v>
      </c>
    </row>
    <row r="50" spans="2:7" ht="12.75" thickBot="1" x14ac:dyDescent="0.25">
      <c r="C50" s="14">
        <f>SUM(C47:C49)</f>
        <v>620</v>
      </c>
      <c r="E50" s="14">
        <f>SUM(E47:E49)</f>
        <v>620</v>
      </c>
    </row>
    <row r="51" spans="2:7" ht="12.75" thickTop="1" x14ac:dyDescent="0.2">
      <c r="C51" s="6"/>
    </row>
    <row r="52" spans="2:7" x14ac:dyDescent="0.2">
      <c r="B52" s="1" t="s">
        <v>191</v>
      </c>
      <c r="C52" s="6"/>
    </row>
    <row r="53" spans="2:7" x14ac:dyDescent="0.2">
      <c r="B53" s="1" t="s">
        <v>192</v>
      </c>
      <c r="C53" s="25">
        <v>248</v>
      </c>
      <c r="E53" s="25">
        <f>+C53</f>
        <v>248</v>
      </c>
    </row>
    <row r="54" spans="2:7" ht="12.75" thickBot="1" x14ac:dyDescent="0.25">
      <c r="C54" s="14">
        <f>+C50+C53</f>
        <v>868</v>
      </c>
      <c r="E54" s="14">
        <f>+E50+E53</f>
        <v>868</v>
      </c>
    </row>
    <row r="55" spans="2:7" ht="12.75" thickTop="1" x14ac:dyDescent="0.2">
      <c r="C55" s="18"/>
    </row>
    <row r="56" spans="2:7" x14ac:dyDescent="0.2">
      <c r="B56" s="1" t="s">
        <v>193</v>
      </c>
      <c r="C56" s="6">
        <v>450</v>
      </c>
      <c r="E56" s="6">
        <v>450</v>
      </c>
    </row>
    <row r="57" spans="2:7" x14ac:dyDescent="0.2">
      <c r="B57" s="1" t="s">
        <v>194</v>
      </c>
      <c r="C57" s="6">
        <v>980</v>
      </c>
      <c r="E57" s="6">
        <v>980</v>
      </c>
    </row>
    <row r="58" spans="2:7" x14ac:dyDescent="0.2">
      <c r="B58" s="1" t="s">
        <v>195</v>
      </c>
      <c r="C58" s="6">
        <f>+C27</f>
        <v>913.02304147465441</v>
      </c>
      <c r="E58" s="6">
        <f>+E50+E53</f>
        <v>868</v>
      </c>
    </row>
    <row r="59" spans="2:7" ht="12.75" thickBot="1" x14ac:dyDescent="0.25">
      <c r="B59" s="1" t="s">
        <v>196</v>
      </c>
      <c r="C59" s="14">
        <f>+(C57-C58)*C56</f>
        <v>30139.631336405517</v>
      </c>
      <c r="E59" s="14">
        <f>+(E57-E58)*E56</f>
        <v>50400</v>
      </c>
    </row>
    <row r="60" spans="2:7" ht="12.75" thickTop="1" x14ac:dyDescent="0.2"/>
    <row r="61" spans="2:7" x14ac:dyDescent="0.2">
      <c r="B61" s="1" t="s">
        <v>198</v>
      </c>
      <c r="D61" s="1" t="s">
        <v>204</v>
      </c>
    </row>
    <row r="62" spans="2:7" x14ac:dyDescent="0.2">
      <c r="B62" s="1" t="s">
        <v>206</v>
      </c>
      <c r="C62" s="1" t="s">
        <v>199</v>
      </c>
      <c r="D62" s="6">
        <v>277.77777777777777</v>
      </c>
    </row>
    <row r="63" spans="2:7" x14ac:dyDescent="0.2">
      <c r="B63" s="1" t="s">
        <v>205</v>
      </c>
      <c r="D63" s="24">
        <f>-30000/C56</f>
        <v>-66.666666666666671</v>
      </c>
    </row>
    <row r="64" spans="2:7" x14ac:dyDescent="0.2">
      <c r="B64" s="1" t="s">
        <v>207</v>
      </c>
      <c r="C64" s="3"/>
      <c r="D64" s="6">
        <f>SUM(D62:D63)</f>
        <v>211.11111111111109</v>
      </c>
      <c r="E64" s="3">
        <v>44866</v>
      </c>
      <c r="F64" s="1">
        <f>+YEARFRAC(E64,C5)*12</f>
        <v>5</v>
      </c>
      <c r="G64" s="1">
        <f>+F64*C69</f>
        <v>1000</v>
      </c>
    </row>
    <row r="65" spans="2:7" x14ac:dyDescent="0.2">
      <c r="B65" s="1" t="s">
        <v>202</v>
      </c>
      <c r="C65" s="1" t="s">
        <v>200</v>
      </c>
      <c r="D65" s="6">
        <v>42</v>
      </c>
      <c r="E65" s="1" t="s">
        <v>208</v>
      </c>
    </row>
    <row r="66" spans="2:7" x14ac:dyDescent="0.2">
      <c r="B66" s="1" t="s">
        <v>203</v>
      </c>
      <c r="C66" s="1" t="s">
        <v>200</v>
      </c>
      <c r="D66" s="6">
        <v>10</v>
      </c>
      <c r="E66" s="3">
        <v>44805</v>
      </c>
      <c r="F66" s="1">
        <f>+YEARFRAC(E66,C5)*12</f>
        <v>7</v>
      </c>
      <c r="G66" s="1">
        <f>+F66*C70</f>
        <v>2100</v>
      </c>
    </row>
    <row r="67" spans="2:7" x14ac:dyDescent="0.2">
      <c r="B67" s="1" t="s">
        <v>186</v>
      </c>
      <c r="C67" s="1" t="s">
        <v>200</v>
      </c>
      <c r="D67" s="6">
        <v>15</v>
      </c>
      <c r="E67" s="1" t="s">
        <v>209</v>
      </c>
      <c r="G67" s="1">
        <f>SUM(G64:G66)</f>
        <v>3100</v>
      </c>
    </row>
    <row r="69" spans="2:7" x14ac:dyDescent="0.2">
      <c r="B69" s="1" t="s">
        <v>210</v>
      </c>
      <c r="C69" s="1">
        <v>200</v>
      </c>
    </row>
    <row r="70" spans="2:7" x14ac:dyDescent="0.2">
      <c r="B70" s="1" t="s">
        <v>211</v>
      </c>
      <c r="C70" s="1">
        <v>300</v>
      </c>
    </row>
    <row r="71" spans="2:7" x14ac:dyDescent="0.2">
      <c r="B71" s="1" t="s">
        <v>212</v>
      </c>
    </row>
    <row r="73" spans="2:7" x14ac:dyDescent="0.2">
      <c r="B73" s="1" t="s">
        <v>213</v>
      </c>
      <c r="C73" s="6">
        <f>+E56*E58</f>
        <v>390600</v>
      </c>
    </row>
    <row r="74" spans="2:7" x14ac:dyDescent="0.2">
      <c r="B74" s="1" t="s">
        <v>214</v>
      </c>
    </row>
    <row r="75" spans="2:7" x14ac:dyDescent="0.2">
      <c r="B75" s="1" t="s">
        <v>215</v>
      </c>
      <c r="C75" s="6">
        <v>1500</v>
      </c>
      <c r="D75" s="1" t="s">
        <v>216</v>
      </c>
    </row>
    <row r="76" spans="2:7" x14ac:dyDescent="0.2">
      <c r="B76" s="1" t="s">
        <v>217</v>
      </c>
      <c r="C76" s="6">
        <f>+C75*C56</f>
        <v>675000</v>
      </c>
    </row>
    <row r="78" spans="2:7" x14ac:dyDescent="0.2">
      <c r="B78" s="1" t="s">
        <v>218</v>
      </c>
      <c r="C78" s="6">
        <f>+C73</f>
        <v>390600</v>
      </c>
    </row>
    <row r="79" spans="2:7" x14ac:dyDescent="0.2">
      <c r="B79" s="1" t="s">
        <v>219</v>
      </c>
    </row>
    <row r="81" spans="1:6" x14ac:dyDescent="0.2">
      <c r="B81" s="1" t="s">
        <v>220</v>
      </c>
    </row>
    <row r="82" spans="1:6" x14ac:dyDescent="0.2">
      <c r="B82" s="1" t="s">
        <v>221</v>
      </c>
      <c r="E82" s="6">
        <f>+C59</f>
        <v>30139.631336405517</v>
      </c>
      <c r="F82" s="6"/>
    </row>
    <row r="83" spans="1:6" x14ac:dyDescent="0.2">
      <c r="C83" s="1" t="s">
        <v>197</v>
      </c>
      <c r="E83" s="6"/>
      <c r="F83" s="6">
        <f>+E59</f>
        <v>50400</v>
      </c>
    </row>
    <row r="84" spans="1:6" x14ac:dyDescent="0.2">
      <c r="B84" s="1" t="s">
        <v>222</v>
      </c>
      <c r="E84" s="6"/>
      <c r="F84" s="6"/>
    </row>
    <row r="86" spans="1:6" x14ac:dyDescent="0.2">
      <c r="B86" s="5" t="s">
        <v>49</v>
      </c>
      <c r="C86" s="9"/>
    </row>
    <row r="87" spans="1:6" x14ac:dyDescent="0.2">
      <c r="B87" s="1" t="s">
        <v>223</v>
      </c>
    </row>
    <row r="89" spans="1:6" x14ac:dyDescent="0.2">
      <c r="B89" s="1" t="s">
        <v>201</v>
      </c>
      <c r="C89" s="6">
        <v>2450</v>
      </c>
    </row>
    <row r="90" spans="1:6" x14ac:dyDescent="0.2">
      <c r="B90" s="1" t="s">
        <v>202</v>
      </c>
      <c r="C90" s="6">
        <v>1660</v>
      </c>
    </row>
    <row r="91" spans="1:6" x14ac:dyDescent="0.2">
      <c r="B91" s="1" t="s">
        <v>229</v>
      </c>
      <c r="C91" s="6">
        <v>1170</v>
      </c>
    </row>
    <row r="92" spans="1:6" x14ac:dyDescent="0.2">
      <c r="B92" s="1" t="s">
        <v>225</v>
      </c>
      <c r="C92" s="6">
        <v>130</v>
      </c>
    </row>
    <row r="93" spans="1:6" x14ac:dyDescent="0.2">
      <c r="B93" s="1" t="s">
        <v>226</v>
      </c>
      <c r="C93" s="6">
        <v>340</v>
      </c>
    </row>
    <row r="94" spans="1:6" x14ac:dyDescent="0.2">
      <c r="A94" s="1">
        <v>0.5</v>
      </c>
      <c r="B94" s="1" t="s">
        <v>224</v>
      </c>
      <c r="C94" s="6">
        <v>640</v>
      </c>
      <c r="D94" s="1" t="s">
        <v>682</v>
      </c>
    </row>
    <row r="95" spans="1:6" x14ac:dyDescent="0.2">
      <c r="A95" s="1">
        <v>0.5</v>
      </c>
      <c r="B95" s="1" t="s">
        <v>228</v>
      </c>
      <c r="C95" s="6">
        <v>290</v>
      </c>
    </row>
    <row r="96" spans="1:6" x14ac:dyDescent="0.2">
      <c r="B96" s="1" t="s">
        <v>236</v>
      </c>
      <c r="C96" s="6">
        <v>830</v>
      </c>
      <c r="D96" s="1" t="s">
        <v>682</v>
      </c>
    </row>
    <row r="97" spans="2:4" ht="12.75" thickBot="1" x14ac:dyDescent="0.25">
      <c r="C97" s="14">
        <f>SUM(C89:C96)</f>
        <v>7510</v>
      </c>
    </row>
    <row r="98" spans="2:4" ht="12.75" thickTop="1" x14ac:dyDescent="0.2">
      <c r="B98" s="1" t="s">
        <v>230</v>
      </c>
      <c r="C98" s="6"/>
    </row>
    <row r="99" spans="2:4" x14ac:dyDescent="0.2">
      <c r="B99" s="1" t="s">
        <v>236</v>
      </c>
      <c r="C99" s="6">
        <f>-C95</f>
        <v>-290</v>
      </c>
    </row>
    <row r="100" spans="2:4" x14ac:dyDescent="0.2">
      <c r="B100" s="1" t="s">
        <v>224</v>
      </c>
      <c r="C100" s="6">
        <v>-260</v>
      </c>
      <c r="D100" s="1" t="s">
        <v>234</v>
      </c>
    </row>
    <row r="101" spans="2:4" x14ac:dyDescent="0.2">
      <c r="B101" s="1" t="s">
        <v>225</v>
      </c>
      <c r="C101" s="6">
        <f>-0.05*C92</f>
        <v>-6.5</v>
      </c>
      <c r="D101" s="1" t="s">
        <v>231</v>
      </c>
    </row>
    <row r="102" spans="2:4" x14ac:dyDescent="0.2">
      <c r="B102" s="1" t="s">
        <v>232</v>
      </c>
      <c r="C102" s="6">
        <f>-0.1*C93</f>
        <v>-34</v>
      </c>
      <c r="D102" s="1" t="s">
        <v>233</v>
      </c>
    </row>
    <row r="103" spans="2:4" x14ac:dyDescent="0.2">
      <c r="C103" s="6">
        <f>SUM(C97:C102)</f>
        <v>6919.5</v>
      </c>
    </row>
    <row r="104" spans="2:4" x14ac:dyDescent="0.2">
      <c r="C104" s="6"/>
    </row>
    <row r="105" spans="2:4" x14ac:dyDescent="0.2">
      <c r="B105" s="1" t="s">
        <v>187</v>
      </c>
      <c r="C105" s="6"/>
    </row>
    <row r="106" spans="2:4" x14ac:dyDescent="0.2">
      <c r="B106" s="1" t="s">
        <v>201</v>
      </c>
      <c r="C106" s="26">
        <f>+C89</f>
        <v>2450</v>
      </c>
    </row>
    <row r="107" spans="2:4" x14ac:dyDescent="0.2">
      <c r="B107" s="1" t="s">
        <v>227</v>
      </c>
      <c r="C107" s="26">
        <f>+C95*0.9</f>
        <v>261</v>
      </c>
    </row>
    <row r="108" spans="2:4" x14ac:dyDescent="0.2">
      <c r="B108" s="1" t="s">
        <v>202</v>
      </c>
      <c r="C108" s="26">
        <f>0.4*C90</f>
        <v>664</v>
      </c>
    </row>
    <row r="109" spans="2:4" ht="12.75" thickBot="1" x14ac:dyDescent="0.25">
      <c r="B109" s="1" t="s">
        <v>237</v>
      </c>
      <c r="C109" s="14">
        <f>SUM(C106:C108)</f>
        <v>3375</v>
      </c>
    </row>
    <row r="110" spans="2:4" ht="12.75" thickTop="1" x14ac:dyDescent="0.2">
      <c r="C110" s="6"/>
    </row>
    <row r="111" spans="2:4" x14ac:dyDescent="0.2">
      <c r="B111" s="1" t="s">
        <v>191</v>
      </c>
      <c r="C111" s="6"/>
    </row>
    <row r="112" spans="2:4" x14ac:dyDescent="0.2">
      <c r="B112" s="1" t="s">
        <v>225</v>
      </c>
      <c r="C112" s="26">
        <f>+C92+C101</f>
        <v>123.5</v>
      </c>
    </row>
    <row r="113" spans="2:4" x14ac:dyDescent="0.2">
      <c r="B113" s="1" t="s">
        <v>226</v>
      </c>
      <c r="C113" s="26">
        <f>+C93+C102</f>
        <v>306</v>
      </c>
    </row>
    <row r="114" spans="2:4" x14ac:dyDescent="0.2">
      <c r="B114" s="1" t="s">
        <v>202</v>
      </c>
      <c r="C114" s="26">
        <f>0.6*C90</f>
        <v>996</v>
      </c>
    </row>
    <row r="115" spans="2:4" x14ac:dyDescent="0.2">
      <c r="B115" s="1" t="s">
        <v>235</v>
      </c>
      <c r="C115" s="26">
        <f>+C91</f>
        <v>1170</v>
      </c>
    </row>
    <row r="116" spans="2:4" x14ac:dyDescent="0.2">
      <c r="B116" s="1" t="s">
        <v>224</v>
      </c>
      <c r="C116" s="6">
        <f>+C94+C100</f>
        <v>380</v>
      </c>
    </row>
    <row r="117" spans="2:4" ht="12.75" thickBot="1" x14ac:dyDescent="0.25">
      <c r="B117" s="1" t="s">
        <v>68</v>
      </c>
      <c r="C117" s="14">
        <f>SUM(C112:C116)</f>
        <v>2975.5</v>
      </c>
    </row>
    <row r="118" spans="2:4" ht="12.75" thickTop="1" x14ac:dyDescent="0.2">
      <c r="C118" s="18"/>
    </row>
    <row r="119" spans="2:4" x14ac:dyDescent="0.2">
      <c r="B119" s="1" t="s">
        <v>265</v>
      </c>
      <c r="C119" s="18">
        <f>+C123/C124*C117</f>
        <v>2826.7249999999999</v>
      </c>
    </row>
    <row r="120" spans="2:4" x14ac:dyDescent="0.2">
      <c r="C120" s="18"/>
    </row>
    <row r="121" spans="2:4" ht="12.75" thickBot="1" x14ac:dyDescent="0.25">
      <c r="B121" s="1" t="s">
        <v>266</v>
      </c>
      <c r="C121" s="14">
        <f>+C119+C109</f>
        <v>6201.7250000000004</v>
      </c>
    </row>
    <row r="122" spans="2:4" ht="12.75" thickTop="1" x14ac:dyDescent="0.2">
      <c r="C122" s="6"/>
    </row>
    <row r="123" spans="2:4" x14ac:dyDescent="0.2">
      <c r="B123" s="1" t="s">
        <v>238</v>
      </c>
      <c r="C123" s="6">
        <v>58900</v>
      </c>
    </row>
    <row r="124" spans="2:4" x14ac:dyDescent="0.2">
      <c r="B124" s="1" t="s">
        <v>239</v>
      </c>
      <c r="C124" s="6">
        <v>62000</v>
      </c>
    </row>
    <row r="125" spans="2:4" x14ac:dyDescent="0.2">
      <c r="C125" s="6"/>
    </row>
    <row r="126" spans="2:4" x14ac:dyDescent="0.2">
      <c r="C126" s="6" t="s">
        <v>248</v>
      </c>
    </row>
    <row r="127" spans="2:4" x14ac:dyDescent="0.2">
      <c r="B127" s="1" t="s">
        <v>247</v>
      </c>
      <c r="C127" s="26">
        <f>+C121*1000/C123</f>
        <v>105.29244482173175</v>
      </c>
      <c r="D127" s="1" t="s">
        <v>240</v>
      </c>
    </row>
    <row r="128" spans="2:4" x14ac:dyDescent="0.2">
      <c r="C128" s="6"/>
    </row>
    <row r="129" spans="2:4" x14ac:dyDescent="0.2">
      <c r="B129" s="1" t="s">
        <v>214</v>
      </c>
      <c r="C129" s="6"/>
    </row>
    <row r="130" spans="2:4" x14ac:dyDescent="0.2">
      <c r="B130" s="1" t="s">
        <v>215</v>
      </c>
      <c r="C130" s="6">
        <v>130</v>
      </c>
      <c r="D130" s="1" t="s">
        <v>241</v>
      </c>
    </row>
    <row r="131" spans="2:4" x14ac:dyDescent="0.2">
      <c r="B131" s="1" t="s">
        <v>242</v>
      </c>
      <c r="C131" s="6">
        <f>0.9*C130</f>
        <v>117</v>
      </c>
      <c r="D131" s="1" t="s">
        <v>243</v>
      </c>
    </row>
    <row r="132" spans="2:4" x14ac:dyDescent="0.2">
      <c r="B132" s="1" t="s">
        <v>267</v>
      </c>
      <c r="C132" s="6">
        <f>+C96*1000/(C123-C135)</f>
        <v>14.459930313588851</v>
      </c>
    </row>
    <row r="133" spans="2:4" ht="12.75" thickBot="1" x14ac:dyDescent="0.25">
      <c r="C133" s="14">
        <f>+C131-C132</f>
        <v>102.54006968641114</v>
      </c>
    </row>
    <row r="134" spans="2:4" ht="12.75" thickTop="1" x14ac:dyDescent="0.2">
      <c r="C134" s="6"/>
    </row>
    <row r="135" spans="2:4" x14ac:dyDescent="0.2">
      <c r="B135" s="1" t="s">
        <v>193</v>
      </c>
      <c r="C135" s="6">
        <v>1500</v>
      </c>
      <c r="D135" s="1" t="s">
        <v>244</v>
      </c>
    </row>
    <row r="136" spans="2:4" x14ac:dyDescent="0.2">
      <c r="B136" s="1" t="s">
        <v>245</v>
      </c>
      <c r="C136" s="6">
        <f>+C123/12</f>
        <v>4908.333333333333</v>
      </c>
    </row>
    <row r="137" spans="2:4" x14ac:dyDescent="0.2">
      <c r="C137" s="6"/>
    </row>
    <row r="138" spans="2:4" x14ac:dyDescent="0.2">
      <c r="B138" s="1" t="s">
        <v>246</v>
      </c>
      <c r="C138" s="6"/>
    </row>
    <row r="139" spans="2:4" x14ac:dyDescent="0.2">
      <c r="C139" s="6"/>
    </row>
    <row r="140" spans="2:4" x14ac:dyDescent="0.2">
      <c r="B140" s="1" t="s">
        <v>213</v>
      </c>
      <c r="C140" s="6">
        <f>+C135*C133</f>
        <v>153810.10452961671</v>
      </c>
    </row>
    <row r="141" spans="2:4" x14ac:dyDescent="0.2">
      <c r="B141" s="1" t="s">
        <v>214</v>
      </c>
      <c r="C141" s="6">
        <f>+C131*C135</f>
        <v>175500</v>
      </c>
    </row>
    <row r="143" spans="2:4" x14ac:dyDescent="0.2">
      <c r="B143" s="1" t="s">
        <v>249</v>
      </c>
      <c r="C143" s="6">
        <f>+C140</f>
        <v>153810.10452961671</v>
      </c>
    </row>
    <row r="145" spans="2:6" x14ac:dyDescent="0.2">
      <c r="B145" s="1" t="s">
        <v>268</v>
      </c>
      <c r="E145" s="6">
        <f>+C143</f>
        <v>153810.10452961671</v>
      </c>
    </row>
    <row r="146" spans="2:6" x14ac:dyDescent="0.2">
      <c r="C146" s="1" t="s">
        <v>269</v>
      </c>
      <c r="F146" s="6">
        <f>+E145</f>
        <v>153810.10452961671</v>
      </c>
    </row>
    <row r="147" spans="2:6" x14ac:dyDescent="0.2">
      <c r="B147" s="1" t="s">
        <v>250</v>
      </c>
    </row>
    <row r="148" spans="2:6" x14ac:dyDescent="0.2">
      <c r="C148" s="9"/>
    </row>
    <row r="151" spans="2:6" x14ac:dyDescent="0.2">
      <c r="B151" s="5" t="s">
        <v>72</v>
      </c>
      <c r="C151" s="9"/>
    </row>
    <row r="152" spans="2:6" x14ac:dyDescent="0.2">
      <c r="B152" s="1" t="s">
        <v>5</v>
      </c>
      <c r="C152" s="1" t="s">
        <v>252</v>
      </c>
    </row>
    <row r="153" spans="2:6" x14ac:dyDescent="0.2">
      <c r="B153" s="1" t="s">
        <v>251</v>
      </c>
      <c r="C153" s="3">
        <v>44773</v>
      </c>
      <c r="D153" s="1">
        <v>0</v>
      </c>
    </row>
    <row r="154" spans="2:6" x14ac:dyDescent="0.2">
      <c r="C154" s="3"/>
    </row>
    <row r="155" spans="2:6" x14ac:dyDescent="0.2">
      <c r="B155" s="1" t="s">
        <v>270</v>
      </c>
      <c r="C155" s="3"/>
    </row>
    <row r="156" spans="2:6" x14ac:dyDescent="0.2">
      <c r="C156" s="3"/>
    </row>
    <row r="157" spans="2:6" x14ac:dyDescent="0.2">
      <c r="C157" s="3"/>
    </row>
    <row r="159" spans="2:6" x14ac:dyDescent="0.2">
      <c r="B159" s="5" t="s">
        <v>253</v>
      </c>
    </row>
    <row r="161" spans="2:9" x14ac:dyDescent="0.2">
      <c r="B161" s="1" t="s">
        <v>271</v>
      </c>
      <c r="C161" s="7">
        <v>3200</v>
      </c>
      <c r="D161" s="1" t="s">
        <v>272</v>
      </c>
    </row>
    <row r="163" spans="2:9" x14ac:dyDescent="0.2">
      <c r="B163" s="1" t="s">
        <v>273</v>
      </c>
      <c r="C163" s="1" t="s">
        <v>274</v>
      </c>
      <c r="D163" s="1" t="s">
        <v>275</v>
      </c>
      <c r="E163" s="1" t="s">
        <v>276</v>
      </c>
      <c r="F163" s="1" t="s">
        <v>277</v>
      </c>
      <c r="G163" s="1" t="s">
        <v>278</v>
      </c>
      <c r="H163" s="1" t="s">
        <v>279</v>
      </c>
      <c r="I163" s="1" t="s">
        <v>280</v>
      </c>
    </row>
    <row r="164" spans="2:9" x14ac:dyDescent="0.2">
      <c r="B164" s="27">
        <v>44777</v>
      </c>
      <c r="C164" s="8">
        <v>4500</v>
      </c>
      <c r="D164" s="7">
        <v>170</v>
      </c>
      <c r="E164" s="28">
        <f>+C164*D164</f>
        <v>765000</v>
      </c>
      <c r="F164" s="26">
        <f>+MIN(C164,$C$161-SUM($F$163:F163))</f>
        <v>3200</v>
      </c>
      <c r="G164" s="26">
        <f>+C164-F164</f>
        <v>1300</v>
      </c>
      <c r="H164" s="28">
        <f>+F164*D164</f>
        <v>544000</v>
      </c>
      <c r="I164" s="28">
        <f>+G164*D164</f>
        <v>221000</v>
      </c>
    </row>
    <row r="165" spans="2:9" x14ac:dyDescent="0.2">
      <c r="B165" s="27">
        <v>44807</v>
      </c>
      <c r="C165" s="8">
        <v>5000</v>
      </c>
      <c r="D165" s="7">
        <v>174</v>
      </c>
      <c r="E165" s="28">
        <f t="shared" ref="E165:E171" si="1">+C165*D165</f>
        <v>870000</v>
      </c>
      <c r="F165" s="26">
        <f>+MIN(C165,$C$161-SUM($F$163:F164))</f>
        <v>0</v>
      </c>
      <c r="G165" s="26">
        <f t="shared" ref="G165:G171" si="2">+C165-F165</f>
        <v>5000</v>
      </c>
      <c r="H165" s="28">
        <f t="shared" ref="H165:H171" si="3">+F165*D165</f>
        <v>0</v>
      </c>
      <c r="I165" s="28">
        <f t="shared" ref="I165:I171" si="4">+G165*D165</f>
        <v>870000</v>
      </c>
    </row>
    <row r="166" spans="2:9" x14ac:dyDescent="0.2">
      <c r="B166" s="27">
        <v>44819</v>
      </c>
      <c r="C166" s="8">
        <v>6000</v>
      </c>
      <c r="D166" s="7">
        <v>175</v>
      </c>
      <c r="E166" s="28">
        <f t="shared" si="1"/>
        <v>1050000</v>
      </c>
      <c r="F166" s="26">
        <f>+MIN(C166,$C$161-SUM($F$163:F165))</f>
        <v>0</v>
      </c>
      <c r="G166" s="26">
        <f t="shared" si="2"/>
        <v>6000</v>
      </c>
      <c r="H166" s="28">
        <f t="shared" si="3"/>
        <v>0</v>
      </c>
      <c r="I166" s="28">
        <f t="shared" si="4"/>
        <v>1050000</v>
      </c>
    </row>
    <row r="167" spans="2:9" x14ac:dyDescent="0.2">
      <c r="B167" s="27"/>
      <c r="C167" s="8"/>
      <c r="D167" s="7"/>
      <c r="E167" s="28">
        <f t="shared" si="1"/>
        <v>0</v>
      </c>
      <c r="F167" s="26">
        <f>+MIN(C167,$C$161-SUM($F$163:F166))</f>
        <v>0</v>
      </c>
      <c r="G167" s="26">
        <f t="shared" si="2"/>
        <v>0</v>
      </c>
      <c r="H167" s="28">
        <f t="shared" si="3"/>
        <v>0</v>
      </c>
      <c r="I167" s="28">
        <f t="shared" si="4"/>
        <v>0</v>
      </c>
    </row>
    <row r="168" spans="2:9" x14ac:dyDescent="0.2">
      <c r="B168" s="27"/>
      <c r="C168" s="8"/>
      <c r="D168" s="7"/>
      <c r="E168" s="28">
        <f t="shared" si="1"/>
        <v>0</v>
      </c>
      <c r="F168" s="26">
        <f>+MIN(C168,$C$161-SUM($F$163:F167))</f>
        <v>0</v>
      </c>
      <c r="G168" s="26">
        <f t="shared" si="2"/>
        <v>0</v>
      </c>
      <c r="H168" s="28">
        <f t="shared" si="3"/>
        <v>0</v>
      </c>
      <c r="I168" s="28">
        <f t="shared" si="4"/>
        <v>0</v>
      </c>
    </row>
    <row r="169" spans="2:9" x14ac:dyDescent="0.2">
      <c r="B169" s="27"/>
      <c r="C169" s="8"/>
      <c r="D169" s="7"/>
      <c r="E169" s="28">
        <f t="shared" si="1"/>
        <v>0</v>
      </c>
      <c r="F169" s="26">
        <f>+MIN(C169,$C$161-SUM($F$163:F168))</f>
        <v>0</v>
      </c>
      <c r="G169" s="26">
        <f t="shared" si="2"/>
        <v>0</v>
      </c>
      <c r="H169" s="28">
        <f t="shared" si="3"/>
        <v>0</v>
      </c>
      <c r="I169" s="28">
        <f t="shared" si="4"/>
        <v>0</v>
      </c>
    </row>
    <row r="170" spans="2:9" x14ac:dyDescent="0.2">
      <c r="B170" s="27"/>
      <c r="C170" s="8"/>
      <c r="D170" s="7"/>
      <c r="E170" s="28">
        <f t="shared" si="1"/>
        <v>0</v>
      </c>
      <c r="F170" s="26">
        <f>+MIN(C170,$C$161-SUM($F$163:F169))</f>
        <v>0</v>
      </c>
      <c r="G170" s="26">
        <f t="shared" si="2"/>
        <v>0</v>
      </c>
      <c r="H170" s="28">
        <f t="shared" si="3"/>
        <v>0</v>
      </c>
      <c r="I170" s="28">
        <f t="shared" si="4"/>
        <v>0</v>
      </c>
    </row>
    <row r="171" spans="2:9" x14ac:dyDescent="0.2">
      <c r="B171" s="27"/>
      <c r="C171" s="8"/>
      <c r="D171" s="7"/>
      <c r="E171" s="28">
        <f t="shared" si="1"/>
        <v>0</v>
      </c>
      <c r="F171" s="26">
        <f>+MIN(C171,$C$161-SUM($F$163:F170))</f>
        <v>0</v>
      </c>
      <c r="G171" s="26">
        <f t="shared" si="2"/>
        <v>0</v>
      </c>
      <c r="H171" s="28">
        <f t="shared" si="3"/>
        <v>0</v>
      </c>
      <c r="I171" s="28">
        <f t="shared" si="4"/>
        <v>0</v>
      </c>
    </row>
    <row r="172" spans="2:9" x14ac:dyDescent="0.2">
      <c r="B172" s="1" t="s">
        <v>281</v>
      </c>
      <c r="C172" s="26">
        <f>SUM(C164:C171)</f>
        <v>15500</v>
      </c>
      <c r="D172" s="16"/>
      <c r="E172" s="28">
        <f>SUM(E164:E171)</f>
        <v>2685000</v>
      </c>
      <c r="F172" s="26">
        <f>SUM(F164:F171)</f>
        <v>3200</v>
      </c>
      <c r="G172" s="26">
        <f t="shared" ref="G172:I172" si="5">SUM(G164:G171)</f>
        <v>12300</v>
      </c>
      <c r="H172" s="28">
        <f t="shared" si="5"/>
        <v>544000</v>
      </c>
      <c r="I172" s="28">
        <f t="shared" si="5"/>
        <v>2141000</v>
      </c>
    </row>
    <row r="174" spans="2:9" x14ac:dyDescent="0.2">
      <c r="I174" s="29"/>
    </row>
    <row r="177" spans="2:6" x14ac:dyDescent="0.2">
      <c r="B177" s="5" t="s">
        <v>282</v>
      </c>
    </row>
    <row r="178" spans="2:6" x14ac:dyDescent="0.2">
      <c r="B178" s="1" t="s">
        <v>283</v>
      </c>
      <c r="D178" s="28">
        <f>+E172</f>
        <v>2685000</v>
      </c>
    </row>
    <row r="179" spans="2:6" x14ac:dyDescent="0.2">
      <c r="B179" s="1" t="s">
        <v>284</v>
      </c>
      <c r="D179" s="26">
        <f>+C172</f>
        <v>15500</v>
      </c>
    </row>
    <row r="180" spans="2:6" x14ac:dyDescent="0.2">
      <c r="B180" s="1" t="s">
        <v>282</v>
      </c>
      <c r="D180" s="28">
        <f>+D178/D179</f>
        <v>173.2258064516129</v>
      </c>
    </row>
    <row r="181" spans="2:6" x14ac:dyDescent="0.2">
      <c r="B181" s="1" t="s">
        <v>285</v>
      </c>
      <c r="D181" s="26">
        <f>+C172-C161</f>
        <v>12300</v>
      </c>
    </row>
    <row r="182" spans="2:6" x14ac:dyDescent="0.2">
      <c r="B182" s="1" t="s">
        <v>282</v>
      </c>
      <c r="D182" s="28">
        <f>+D181*D180</f>
        <v>2130677.4193548388</v>
      </c>
    </row>
    <row r="184" spans="2:6" x14ac:dyDescent="0.2">
      <c r="B184" s="1" t="s">
        <v>253</v>
      </c>
      <c r="D184" s="26">
        <f>+I172/D181</f>
        <v>174.0650406504065</v>
      </c>
    </row>
    <row r="186" spans="2:6" x14ac:dyDescent="0.2">
      <c r="B186" s="1" t="s">
        <v>286</v>
      </c>
      <c r="D186" s="28">
        <f>+D184*D181</f>
        <v>2141000</v>
      </c>
      <c r="E186" s="1" t="s">
        <v>287</v>
      </c>
    </row>
    <row r="188" spans="2:6" x14ac:dyDescent="0.2">
      <c r="B188" s="1" t="s">
        <v>288</v>
      </c>
      <c r="E188" s="30">
        <f>+D186</f>
        <v>2141000</v>
      </c>
    </row>
    <row r="189" spans="2:6" x14ac:dyDescent="0.2">
      <c r="C189" s="1" t="s">
        <v>289</v>
      </c>
      <c r="F189" s="30">
        <f>+E188</f>
        <v>2141000</v>
      </c>
    </row>
  </sheetData>
  <hyperlinks>
    <hyperlink ref="A1" location="Main!A1" display="Main" xr:uid="{7EF9C9F9-63FF-4FB0-858D-1361188AC9D3}"/>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83CEBB-80CA-4AE1-A90C-7A4D3EF43F23}">
  <dimension ref="A1:G56"/>
  <sheetViews>
    <sheetView zoomScale="190" zoomScaleNormal="190" workbookViewId="0"/>
  </sheetViews>
  <sheetFormatPr defaultRowHeight="12" x14ac:dyDescent="0.2"/>
  <cols>
    <col min="1" max="1" width="9.140625" style="1"/>
    <col min="2" max="2" width="10.85546875" style="1" bestFit="1" customWidth="1"/>
    <col min="3" max="3" width="9.5703125" style="1" bestFit="1" customWidth="1"/>
    <col min="4" max="5" width="11.7109375" style="1" bestFit="1" customWidth="1"/>
    <col min="6" max="16384" width="9.140625" style="1"/>
  </cols>
  <sheetData>
    <row r="1" spans="1:6" ht="15" x14ac:dyDescent="0.25">
      <c r="A1" s="2" t="s">
        <v>0</v>
      </c>
    </row>
    <row r="2" spans="1:6" x14ac:dyDescent="0.2">
      <c r="B2" s="1" t="s">
        <v>1899</v>
      </c>
    </row>
    <row r="3" spans="1:6" x14ac:dyDescent="0.2">
      <c r="B3" s="1" t="s">
        <v>5</v>
      </c>
      <c r="C3" s="3">
        <v>45016</v>
      </c>
    </row>
    <row r="4" spans="1:6" x14ac:dyDescent="0.2">
      <c r="C4" s="3"/>
    </row>
    <row r="5" spans="1:6" x14ac:dyDescent="0.2">
      <c r="B5" s="1" t="s">
        <v>1819</v>
      </c>
      <c r="C5" s="3"/>
    </row>
    <row r="6" spans="1:6" x14ac:dyDescent="0.2">
      <c r="C6" s="3"/>
    </row>
    <row r="7" spans="1:6" x14ac:dyDescent="0.2">
      <c r="B7" s="1" t="s">
        <v>1912</v>
      </c>
      <c r="C7" s="3"/>
    </row>
    <row r="8" spans="1:6" x14ac:dyDescent="0.2">
      <c r="B8" s="1" t="s">
        <v>1913</v>
      </c>
      <c r="C8" s="3"/>
    </row>
    <row r="9" spans="1:6" x14ac:dyDescent="0.2">
      <c r="B9" s="1" t="s">
        <v>1914</v>
      </c>
      <c r="C9" s="3"/>
    </row>
    <row r="10" spans="1:6" x14ac:dyDescent="0.2">
      <c r="B10" s="1" t="s">
        <v>1915</v>
      </c>
      <c r="C10" s="3"/>
    </row>
    <row r="11" spans="1:6" x14ac:dyDescent="0.2">
      <c r="B11" s="1" t="s">
        <v>1916</v>
      </c>
      <c r="C11" s="3"/>
    </row>
    <row r="12" spans="1:6" x14ac:dyDescent="0.2">
      <c r="B12" s="1" t="s">
        <v>1917</v>
      </c>
      <c r="C12" s="3"/>
    </row>
    <row r="13" spans="1:6" x14ac:dyDescent="0.2">
      <c r="B13" s="1" t="s">
        <v>1918</v>
      </c>
      <c r="C13" s="3"/>
    </row>
    <row r="14" spans="1:6" x14ac:dyDescent="0.2">
      <c r="C14" s="3"/>
    </row>
    <row r="15" spans="1:6" ht="12.75" thickBot="1" x14ac:dyDescent="0.25"/>
    <row r="16" spans="1:6" ht="15" x14ac:dyDescent="0.25">
      <c r="B16" s="126" t="s">
        <v>1818</v>
      </c>
      <c r="C16" s="108"/>
      <c r="D16" s="196"/>
      <c r="E16" s="109"/>
      <c r="F16" s="103" t="s">
        <v>1819</v>
      </c>
    </row>
    <row r="17" spans="2:7" ht="15" x14ac:dyDescent="0.25">
      <c r="B17" s="113"/>
      <c r="C17"/>
      <c r="D17"/>
      <c r="E17" s="189" t="s">
        <v>1820</v>
      </c>
      <c r="F17" s="103" t="s">
        <v>1821</v>
      </c>
    </row>
    <row r="18" spans="2:7" ht="15" x14ac:dyDescent="0.25">
      <c r="B18" s="113" t="s">
        <v>183</v>
      </c>
      <c r="C18"/>
      <c r="D18"/>
      <c r="E18" s="197">
        <f>36-2-3</f>
        <v>31</v>
      </c>
      <c r="F18" s="103" t="s">
        <v>1822</v>
      </c>
    </row>
    <row r="19" spans="2:7" ht="15" x14ac:dyDescent="0.25">
      <c r="B19" s="113"/>
      <c r="C19"/>
      <c r="D19"/>
      <c r="E19" s="112"/>
      <c r="F19" s="103" t="s">
        <v>1823</v>
      </c>
    </row>
    <row r="20" spans="2:7" ht="15" x14ac:dyDescent="0.25">
      <c r="B20" s="113" t="s">
        <v>1824</v>
      </c>
      <c r="C20"/>
      <c r="D20"/>
      <c r="E20" s="197">
        <v>4.3</v>
      </c>
      <c r="F20" s="103" t="s">
        <v>1825</v>
      </c>
    </row>
    <row r="21" spans="2:7" ht="15" x14ac:dyDescent="0.25">
      <c r="B21" s="113" t="s">
        <v>1826</v>
      </c>
      <c r="C21"/>
      <c r="D21"/>
      <c r="E21" s="197">
        <f>31*12</f>
        <v>372</v>
      </c>
      <c r="F21"/>
    </row>
    <row r="22" spans="2:7" ht="15" x14ac:dyDescent="0.25">
      <c r="B22" s="113"/>
      <c r="C22"/>
      <c r="D22"/>
      <c r="E22" s="112"/>
      <c r="F22" s="103" t="s">
        <v>1827</v>
      </c>
    </row>
    <row r="23" spans="2:7" ht="15" x14ac:dyDescent="0.25">
      <c r="B23" s="113" t="s">
        <v>1828</v>
      </c>
      <c r="C23" t="s">
        <v>261</v>
      </c>
      <c r="D23" t="s">
        <v>1829</v>
      </c>
      <c r="E23" s="112"/>
      <c r="F23"/>
    </row>
    <row r="24" spans="2:7" ht="15" x14ac:dyDescent="0.25">
      <c r="B24" s="116" t="s">
        <v>1901</v>
      </c>
      <c r="C24" s="193">
        <v>840</v>
      </c>
      <c r="D24" s="193">
        <f>+E21*7/12</f>
        <v>217</v>
      </c>
      <c r="E24" s="199">
        <f>IF(C24&lt;&gt;0,C24/D24,0)</f>
        <v>3.870967741935484</v>
      </c>
      <c r="F24"/>
      <c r="G24" s="3">
        <v>44835</v>
      </c>
    </row>
    <row r="25" spans="2:7" ht="15" x14ac:dyDescent="0.25">
      <c r="B25" s="116" t="s">
        <v>1900</v>
      </c>
      <c r="C25" s="193">
        <f>-900</f>
        <v>-900</v>
      </c>
      <c r="D25" s="193">
        <f>+E21*4/12</f>
        <v>124</v>
      </c>
      <c r="E25" s="199">
        <f>IF(C25&lt;&gt;0,C25/D25,0)</f>
        <v>-7.258064516129032</v>
      </c>
      <c r="F25" s="102"/>
      <c r="G25" s="38">
        <f>YEARFRAC(G24,C3)*12</f>
        <v>6</v>
      </c>
    </row>
    <row r="26" spans="2:7" ht="15" x14ac:dyDescent="0.25">
      <c r="B26" s="116" t="s">
        <v>1903</v>
      </c>
      <c r="C26" s="193">
        <f>-106</f>
        <v>-106</v>
      </c>
      <c r="D26" s="193">
        <f>+E21*11/12</f>
        <v>341</v>
      </c>
      <c r="E26" s="199">
        <f>IF(C26&lt;&gt;0,C26/D26,0)</f>
        <v>-0.31085043988269795</v>
      </c>
      <c r="F26" s="102"/>
    </row>
    <row r="27" spans="2:7" ht="15" x14ac:dyDescent="0.25">
      <c r="B27" s="116"/>
      <c r="C27" s="193"/>
      <c r="D27" s="193"/>
      <c r="E27" s="199">
        <f>IF(C27&lt;&gt;0,C27/D27,0)</f>
        <v>0</v>
      </c>
      <c r="F27" s="102"/>
    </row>
    <row r="28" spans="2:7" ht="15" x14ac:dyDescent="0.25">
      <c r="B28" s="116"/>
      <c r="C28" s="193"/>
      <c r="D28" s="193"/>
      <c r="E28" s="199">
        <f>IF(C28&lt;&gt;0,C28/D28,0)</f>
        <v>0</v>
      </c>
      <c r="F28" s="103" t="s">
        <v>1835</v>
      </c>
    </row>
    <row r="29" spans="2:7" ht="15" x14ac:dyDescent="0.25">
      <c r="B29" s="113"/>
      <c r="C29"/>
      <c r="D29"/>
      <c r="E29" s="199">
        <f>SUM(E24:E28)</f>
        <v>-3.6979472140762462</v>
      </c>
      <c r="F29"/>
    </row>
    <row r="30" spans="2:7" ht="15" x14ac:dyDescent="0.25">
      <c r="B30" s="113"/>
      <c r="C30"/>
      <c r="D30"/>
      <c r="E30" s="112"/>
      <c r="F30"/>
    </row>
    <row r="31" spans="2:7" ht="15" x14ac:dyDescent="0.25">
      <c r="B31" s="113" t="s">
        <v>1836</v>
      </c>
      <c r="C31"/>
      <c r="D31"/>
      <c r="E31" s="114">
        <f>E18+E29</f>
        <v>27.302052785923753</v>
      </c>
      <c r="F31"/>
    </row>
    <row r="32" spans="2:7" ht="15.75" thickBot="1" x14ac:dyDescent="0.3">
      <c r="B32" s="118" t="s">
        <v>1824</v>
      </c>
      <c r="C32" s="119"/>
      <c r="D32" s="119"/>
      <c r="E32" s="201">
        <f>E31*E20</f>
        <v>117.39882697947213</v>
      </c>
      <c r="F32"/>
    </row>
    <row r="36" spans="2:5" x14ac:dyDescent="0.2">
      <c r="B36" s="1" t="s">
        <v>1902</v>
      </c>
      <c r="E36" s="1">
        <v>200</v>
      </c>
    </row>
    <row r="37" spans="2:5" x14ac:dyDescent="0.2">
      <c r="B37" s="1" t="s">
        <v>1904</v>
      </c>
      <c r="E37" s="222">
        <f>3*E21*6/12</f>
        <v>558</v>
      </c>
    </row>
    <row r="38" spans="2:5" x14ac:dyDescent="0.2">
      <c r="B38" s="1" t="s">
        <v>1905</v>
      </c>
      <c r="E38" s="222">
        <f>+E37+20</f>
        <v>578</v>
      </c>
    </row>
    <row r="39" spans="2:5" x14ac:dyDescent="0.2">
      <c r="B39" s="1" t="s">
        <v>1906</v>
      </c>
      <c r="E39" s="222">
        <f>+E32</f>
        <v>117.39882697947213</v>
      </c>
    </row>
    <row r="41" spans="2:5" x14ac:dyDescent="0.2">
      <c r="B41" s="1" t="s">
        <v>1919</v>
      </c>
    </row>
    <row r="42" spans="2:5" x14ac:dyDescent="0.2">
      <c r="B42" s="1" t="s">
        <v>1920</v>
      </c>
    </row>
    <row r="44" spans="2:5" x14ac:dyDescent="0.2">
      <c r="B44" s="1" t="s">
        <v>775</v>
      </c>
    </row>
    <row r="45" spans="2:5" x14ac:dyDescent="0.2">
      <c r="B45" s="1" t="s">
        <v>259</v>
      </c>
      <c r="C45" s="1">
        <f>6*31</f>
        <v>186</v>
      </c>
    </row>
    <row r="46" spans="2:5" x14ac:dyDescent="0.2">
      <c r="C46" s="1">
        <v>-4.3</v>
      </c>
    </row>
    <row r="47" spans="2:5" x14ac:dyDescent="0.2">
      <c r="C47" s="1">
        <f>SUM(C45:C46)</f>
        <v>181.7</v>
      </c>
    </row>
    <row r="49" spans="2:5" x14ac:dyDescent="0.2">
      <c r="D49" s="1" t="s">
        <v>1907</v>
      </c>
      <c r="E49" s="1" t="s">
        <v>1908</v>
      </c>
    </row>
    <row r="50" spans="2:5" x14ac:dyDescent="0.2">
      <c r="B50" s="1" t="s">
        <v>693</v>
      </c>
      <c r="D50" s="1">
        <v>55</v>
      </c>
      <c r="E50" s="1">
        <v>55</v>
      </c>
    </row>
    <row r="51" spans="2:5" x14ac:dyDescent="0.2">
      <c r="B51" s="1" t="s">
        <v>1909</v>
      </c>
      <c r="D51" s="1">
        <v>-2</v>
      </c>
      <c r="E51" s="1">
        <v>-2</v>
      </c>
    </row>
    <row r="52" spans="2:5" x14ac:dyDescent="0.2">
      <c r="B52" s="1" t="s">
        <v>1796</v>
      </c>
      <c r="E52" s="223">
        <f>-81/C47</f>
        <v>-0.44578976334617504</v>
      </c>
    </row>
    <row r="53" spans="2:5" x14ac:dyDescent="0.2">
      <c r="B53" s="1" t="s">
        <v>214</v>
      </c>
      <c r="E53" s="89">
        <f>SUM(E50:E52)</f>
        <v>52.554210236653823</v>
      </c>
    </row>
    <row r="54" spans="2:5" x14ac:dyDescent="0.2">
      <c r="B54" s="1" t="s">
        <v>1910</v>
      </c>
    </row>
    <row r="56" spans="2:5" x14ac:dyDescent="0.2">
      <c r="B56" s="1" t="s">
        <v>1911</v>
      </c>
    </row>
  </sheetData>
  <hyperlinks>
    <hyperlink ref="A1" location="Main!A1" display="Main" xr:uid="{8D4052FB-A5D7-4625-8EB6-FE8F6180ACB3}"/>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5FAE-1159-47E4-A6E8-A5BD1FD447B0}">
  <sheetPr codeName="Sheet23">
    <tabColor rgb="FFFFFF00"/>
  </sheetPr>
  <dimension ref="A1:R279"/>
  <sheetViews>
    <sheetView zoomScale="115" zoomScaleNormal="115" workbookViewId="0"/>
  </sheetViews>
  <sheetFormatPr defaultRowHeight="12" x14ac:dyDescent="0.2"/>
  <cols>
    <col min="1" max="1" width="9.140625" style="1"/>
    <col min="2" max="2" width="13.140625" style="1" bestFit="1" customWidth="1"/>
    <col min="3" max="3" width="15.85546875" style="1" bestFit="1" customWidth="1"/>
    <col min="4" max="4" width="16.42578125" style="1" bestFit="1" customWidth="1"/>
    <col min="5" max="5" width="6.7109375" style="1" bestFit="1" customWidth="1"/>
    <col min="6" max="6" width="12" style="1" bestFit="1" customWidth="1"/>
    <col min="7" max="16384" width="9.140625" style="1"/>
  </cols>
  <sheetData>
    <row r="1" spans="1:6" ht="15" x14ac:dyDescent="0.25">
      <c r="A1" s="2" t="s">
        <v>0</v>
      </c>
    </row>
    <row r="2" spans="1:6" x14ac:dyDescent="0.2">
      <c r="B2" s="1" t="s">
        <v>1619</v>
      </c>
    </row>
    <row r="11" spans="1:6" x14ac:dyDescent="0.2">
      <c r="B11" s="88" t="s">
        <v>1685</v>
      </c>
    </row>
    <row r="12" spans="1:6" customFormat="1" ht="15" x14ac:dyDescent="0.25">
      <c r="B12" s="94" t="s">
        <v>1645</v>
      </c>
    </row>
    <row r="13" spans="1:6" customFormat="1" ht="15" x14ac:dyDescent="0.25">
      <c r="B13" t="s">
        <v>1646</v>
      </c>
    </row>
    <row r="14" spans="1:6" customFormat="1" ht="15" x14ac:dyDescent="0.25">
      <c r="B14" t="s">
        <v>1647</v>
      </c>
      <c r="C14" s="162">
        <v>5000</v>
      </c>
      <c r="D14" s="102"/>
      <c r="E14" s="102"/>
      <c r="F14" s="106"/>
    </row>
    <row r="15" spans="1:6" customFormat="1" ht="15" x14ac:dyDescent="0.25">
      <c r="B15" t="s">
        <v>1648</v>
      </c>
      <c r="C15" s="162">
        <v>5030</v>
      </c>
      <c r="D15" s="102"/>
      <c r="F15" s="106"/>
    </row>
    <row r="16" spans="1:6" customFormat="1" ht="15" x14ac:dyDescent="0.25">
      <c r="B16" t="s">
        <v>1649</v>
      </c>
      <c r="C16" s="150"/>
      <c r="D16" s="102"/>
      <c r="F16" s="106"/>
    </row>
    <row r="17" spans="2:6" customFormat="1" ht="15" x14ac:dyDescent="0.25">
      <c r="B17" t="s">
        <v>1650</v>
      </c>
      <c r="C17" s="151">
        <v>3.5000000000000003E-2</v>
      </c>
      <c r="D17" s="103" t="s">
        <v>1651</v>
      </c>
      <c r="F17" s="102"/>
    </row>
    <row r="18" spans="2:6" customFormat="1" ht="15" x14ac:dyDescent="0.25">
      <c r="B18" t="s">
        <v>1652</v>
      </c>
      <c r="C18" s="151">
        <v>2.8799999999999999E-2</v>
      </c>
      <c r="D18" s="103" t="s">
        <v>1653</v>
      </c>
    </row>
    <row r="19" spans="2:6" customFormat="1" ht="15" x14ac:dyDescent="0.25">
      <c r="B19" t="s">
        <v>1654</v>
      </c>
      <c r="C19" s="122" t="s">
        <v>1655</v>
      </c>
      <c r="D19" s="103" t="s">
        <v>1656</v>
      </c>
    </row>
    <row r="20" spans="2:6" customFormat="1" ht="15.75" thickBot="1" x14ac:dyDescent="0.3"/>
    <row r="21" spans="2:6" customFormat="1" ht="15.75" thickBot="1" x14ac:dyDescent="0.3">
      <c r="B21" s="152" t="s">
        <v>1657</v>
      </c>
      <c r="C21" s="153" t="s">
        <v>1658</v>
      </c>
      <c r="D21" s="153" t="s">
        <v>1652</v>
      </c>
      <c r="E21" s="153" t="s">
        <v>1659</v>
      </c>
      <c r="F21" s="154" t="s">
        <v>1660</v>
      </c>
    </row>
    <row r="22" spans="2:6" customFormat="1" ht="15" x14ac:dyDescent="0.25">
      <c r="B22" s="155"/>
      <c r="C22" s="156" t="s">
        <v>248</v>
      </c>
      <c r="D22" s="156" t="s">
        <v>248</v>
      </c>
      <c r="E22" s="156" t="s">
        <v>248</v>
      </c>
      <c r="F22" s="157" t="s">
        <v>248</v>
      </c>
    </row>
    <row r="23" spans="2:6" customFormat="1" ht="15" x14ac:dyDescent="0.25">
      <c r="B23" s="158">
        <v>44316</v>
      </c>
      <c r="C23" s="163">
        <f>C15-C16</f>
        <v>5030</v>
      </c>
      <c r="D23" s="163">
        <f>IF($C$19="arrears",C23*$C$18,(C23+E23)*$C$18)</f>
        <v>144.864</v>
      </c>
      <c r="E23" s="164">
        <f>IF($C$19="ADVANCE",0,-$C$14*$C$17)</f>
        <v>-175.00000000000003</v>
      </c>
      <c r="F23" s="165">
        <f t="shared" ref="F23:F28" si="0">C23+D23+E23</f>
        <v>4999.8639999999996</v>
      </c>
    </row>
    <row r="24" spans="2:6" customFormat="1" ht="15" x14ac:dyDescent="0.25">
      <c r="B24" s="158">
        <f>B23+365</f>
        <v>44681</v>
      </c>
      <c r="C24" s="163">
        <f>F23</f>
        <v>4999.8639999999996</v>
      </c>
      <c r="D24" s="163">
        <f t="shared" ref="D24:D28" si="1">IF($C$19="arrears",C24*$C$18,(C24+E24)*$C$18)</f>
        <v>143.99608319999999</v>
      </c>
      <c r="E24" s="164">
        <f>(-$C$14*$C$17)</f>
        <v>-175.00000000000003</v>
      </c>
      <c r="F24" s="165">
        <f t="shared" si="0"/>
        <v>4968.8600831999993</v>
      </c>
    </row>
    <row r="25" spans="2:6" customFormat="1" ht="15" x14ac:dyDescent="0.25">
      <c r="B25" s="158">
        <f>B24+365</f>
        <v>45046</v>
      </c>
      <c r="C25" s="163">
        <f>F24</f>
        <v>4968.8600831999993</v>
      </c>
      <c r="D25" s="163">
        <f t="shared" si="1"/>
        <v>143.10317039615998</v>
      </c>
      <c r="E25" s="164">
        <f>(-$C$14*$C$17)</f>
        <v>-175.00000000000003</v>
      </c>
      <c r="F25" s="165">
        <f t="shared" si="0"/>
        <v>4936.9632535961591</v>
      </c>
    </row>
    <row r="26" spans="2:6" customFormat="1" ht="15" x14ac:dyDescent="0.25">
      <c r="B26" s="158">
        <f>B25+365</f>
        <v>45411</v>
      </c>
      <c r="C26" s="164">
        <f>F25</f>
        <v>4936.9632535961591</v>
      </c>
      <c r="D26" s="163">
        <f t="shared" si="1"/>
        <v>142.18454170356938</v>
      </c>
      <c r="E26" s="164">
        <f>(-$C$14*$C$17)</f>
        <v>-175.00000000000003</v>
      </c>
      <c r="F26" s="165">
        <f t="shared" si="0"/>
        <v>4904.1477952997284</v>
      </c>
    </row>
    <row r="27" spans="2:6" customFormat="1" ht="15" x14ac:dyDescent="0.25">
      <c r="B27" s="158">
        <f>B26+365</f>
        <v>45776</v>
      </c>
      <c r="C27" s="164">
        <f>F26</f>
        <v>4904.1477952997284</v>
      </c>
      <c r="D27" s="163">
        <f t="shared" si="1"/>
        <v>141.23945650463219</v>
      </c>
      <c r="E27" s="164">
        <f>(-$C$14*$C$17)</f>
        <v>-175.00000000000003</v>
      </c>
      <c r="F27" s="165">
        <f t="shared" si="0"/>
        <v>4870.3872518043609</v>
      </c>
    </row>
    <row r="28" spans="2:6" customFormat="1" ht="15" x14ac:dyDescent="0.25">
      <c r="B28" s="158">
        <f>B27+365</f>
        <v>46141</v>
      </c>
      <c r="C28" s="164">
        <f>F27</f>
        <v>4870.3872518043609</v>
      </c>
      <c r="D28" s="163">
        <f t="shared" si="1"/>
        <v>140.26715285196559</v>
      </c>
      <c r="E28" s="164">
        <f>(-$C$14*$C$17)</f>
        <v>-175.00000000000003</v>
      </c>
      <c r="F28" s="165">
        <f t="shared" si="0"/>
        <v>4835.6544046563267</v>
      </c>
    </row>
    <row r="29" spans="2:6" customFormat="1" ht="15" x14ac:dyDescent="0.25">
      <c r="B29" s="113"/>
      <c r="C29" s="164"/>
      <c r="D29" s="164"/>
      <c r="E29" s="164"/>
      <c r="F29" s="165"/>
    </row>
    <row r="30" spans="2:6" customFormat="1" ht="15" x14ac:dyDescent="0.25">
      <c r="B30" s="113"/>
      <c r="C30" s="164"/>
      <c r="D30" s="164"/>
      <c r="E30" s="164"/>
      <c r="F30" s="165"/>
    </row>
    <row r="31" spans="2:6" customFormat="1" ht="15" x14ac:dyDescent="0.25">
      <c r="B31" s="113" t="s">
        <v>1661</v>
      </c>
      <c r="C31" s="164">
        <f>F24</f>
        <v>4968.8600831999993</v>
      </c>
      <c r="D31" s="164"/>
      <c r="E31" s="164"/>
      <c r="F31" s="165"/>
    </row>
    <row r="32" spans="2:6" customFormat="1" ht="15" x14ac:dyDescent="0.25">
      <c r="B32" s="113" t="s">
        <v>1662</v>
      </c>
      <c r="C32" s="164">
        <f>F23-F24</f>
        <v>31.003916800000297</v>
      </c>
      <c r="D32" s="166" t="s">
        <v>1663</v>
      </c>
      <c r="E32" s="164"/>
      <c r="F32" s="165"/>
    </row>
    <row r="33" spans="2:12" customFormat="1" ht="18.600000000000001" customHeight="1" thickBot="1" x14ac:dyDescent="0.3">
      <c r="B33" s="111" t="str">
        <f>"Lease payable at year end"</f>
        <v>Lease payable at year end</v>
      </c>
      <c r="C33" s="167">
        <f>C31+C32</f>
        <v>4999.8639999999996</v>
      </c>
      <c r="D33" s="164"/>
      <c r="E33" s="164"/>
      <c r="F33" s="165"/>
    </row>
    <row r="34" spans="2:12" customFormat="1" ht="15.75" thickBot="1" x14ac:dyDescent="0.3">
      <c r="B34" s="118"/>
      <c r="C34" s="119"/>
      <c r="D34" s="119"/>
      <c r="E34" s="119"/>
      <c r="F34" s="120"/>
    </row>
    <row r="35" spans="2:12" customFormat="1" ht="15" x14ac:dyDescent="0.25"/>
    <row r="36" spans="2:12" customFormat="1" ht="15" x14ac:dyDescent="0.25">
      <c r="B36" s="103" t="s">
        <v>1664</v>
      </c>
      <c r="C36" s="159" t="str">
        <f>D23&amp;E23&amp;" = £"&amp;(D23+E23)</f>
        <v>144.864-175 = £-30.136</v>
      </c>
    </row>
    <row r="37" spans="2:12" customFormat="1" ht="15" x14ac:dyDescent="0.25"/>
    <row r="38" spans="2:12" customFormat="1" ht="15" x14ac:dyDescent="0.25"/>
    <row r="39" spans="2:12" customFormat="1" ht="15" x14ac:dyDescent="0.25">
      <c r="B39" s="104" t="s">
        <v>1665</v>
      </c>
      <c r="C39" s="164"/>
      <c r="D39" s="168">
        <f>D23</f>
        <v>144.864</v>
      </c>
      <c r="L39" s="106"/>
    </row>
    <row r="40" spans="2:12" customFormat="1" ht="15" x14ac:dyDescent="0.25">
      <c r="B40" t="s">
        <v>1666</v>
      </c>
      <c r="C40" s="164">
        <f>D23</f>
        <v>144.864</v>
      </c>
      <c r="D40" s="164"/>
      <c r="K40" s="106"/>
      <c r="L40" s="106"/>
    </row>
    <row r="41" spans="2:12" customFormat="1" ht="15" x14ac:dyDescent="0.25">
      <c r="C41" s="164"/>
      <c r="D41" s="164"/>
      <c r="F41" s="103" t="s">
        <v>1667</v>
      </c>
      <c r="K41" s="106"/>
      <c r="L41" s="106"/>
    </row>
    <row r="42" spans="2:12" customFormat="1" ht="15" x14ac:dyDescent="0.25">
      <c r="B42" s="104" t="s">
        <v>1668</v>
      </c>
      <c r="C42" s="164">
        <f>-E23</f>
        <v>175.00000000000003</v>
      </c>
      <c r="D42" s="164"/>
      <c r="K42" s="106"/>
      <c r="L42" s="106"/>
    </row>
    <row r="43" spans="2:12" customFormat="1" ht="15" x14ac:dyDescent="0.25">
      <c r="B43" t="s">
        <v>1669</v>
      </c>
      <c r="C43" s="164"/>
      <c r="D43" s="164">
        <f>-E23</f>
        <v>175.00000000000003</v>
      </c>
      <c r="K43" s="106"/>
      <c r="L43" s="106"/>
    </row>
    <row r="44" spans="2:12" customFormat="1" ht="15" x14ac:dyDescent="0.25">
      <c r="C44" s="164"/>
      <c r="D44" s="164"/>
      <c r="K44" s="106"/>
      <c r="L44" s="106"/>
    </row>
    <row r="45" spans="2:12" customFormat="1" ht="15" x14ac:dyDescent="0.25">
      <c r="B45" t="s">
        <v>1670</v>
      </c>
      <c r="C45" s="164"/>
      <c r="D45" s="164"/>
      <c r="F45" s="103"/>
      <c r="G45" s="106"/>
      <c r="H45" s="106"/>
      <c r="K45" s="106"/>
      <c r="L45" s="106"/>
    </row>
    <row r="46" spans="2:12" customFormat="1" ht="15" x14ac:dyDescent="0.25">
      <c r="B46" t="s">
        <v>1668</v>
      </c>
      <c r="C46" s="169"/>
      <c r="D46" s="169">
        <f>1.05*4000000</f>
        <v>4200000</v>
      </c>
    </row>
    <row r="47" spans="2:12" customFormat="1" ht="15" x14ac:dyDescent="0.25">
      <c r="B47" t="s">
        <v>1671</v>
      </c>
      <c r="C47" s="169">
        <v>4249184</v>
      </c>
      <c r="D47" s="164"/>
    </row>
    <row r="48" spans="2:12" customFormat="1" ht="15" x14ac:dyDescent="0.25">
      <c r="B48" t="s">
        <v>1672</v>
      </c>
      <c r="C48" s="164"/>
      <c r="D48" s="164">
        <f>C47-D46</f>
        <v>49184</v>
      </c>
    </row>
    <row r="49" spans="2:10" customFormat="1" ht="15" x14ac:dyDescent="0.25"/>
    <row r="50" spans="2:10" customFormat="1" ht="15" x14ac:dyDescent="0.25">
      <c r="B50" s="103" t="s">
        <v>1673</v>
      </c>
      <c r="C50" s="160"/>
    </row>
    <row r="51" spans="2:10" customFormat="1" ht="15" x14ac:dyDescent="0.25">
      <c r="B51" s="103" t="s">
        <v>1674</v>
      </c>
      <c r="D51" s="161"/>
    </row>
    <row r="53" spans="2:10" x14ac:dyDescent="0.2">
      <c r="C53" s="1" t="s">
        <v>1328</v>
      </c>
    </row>
    <row r="54" spans="2:10" x14ac:dyDescent="0.2">
      <c r="C54" s="11" t="s">
        <v>44</v>
      </c>
    </row>
    <row r="55" spans="2:10" x14ac:dyDescent="0.2">
      <c r="B55" s="1" t="s">
        <v>1620</v>
      </c>
      <c r="C55" s="146">
        <v>40725</v>
      </c>
    </row>
    <row r="56" spans="2:10" x14ac:dyDescent="0.2">
      <c r="B56" s="1" t="s">
        <v>1348</v>
      </c>
      <c r="C56" s="89">
        <v>5000</v>
      </c>
    </row>
    <row r="57" spans="2:10" x14ac:dyDescent="0.2">
      <c r="B57" s="1" t="s">
        <v>1330</v>
      </c>
      <c r="C57" s="1">
        <v>1</v>
      </c>
    </row>
    <row r="58" spans="2:10" x14ac:dyDescent="0.2">
      <c r="C58" s="89">
        <f>C56*C57</f>
        <v>5000</v>
      </c>
    </row>
    <row r="59" spans="2:10" x14ac:dyDescent="0.2">
      <c r="B59" s="1" t="s">
        <v>1621</v>
      </c>
      <c r="C59" s="3">
        <v>44742</v>
      </c>
    </row>
    <row r="60" spans="2:10" x14ac:dyDescent="0.2">
      <c r="B60" s="1" t="s">
        <v>1622</v>
      </c>
      <c r="C60" s="1">
        <v>0.2</v>
      </c>
    </row>
    <row r="61" spans="2:10" x14ac:dyDescent="0.2">
      <c r="B61" s="1" t="s">
        <v>1623</v>
      </c>
      <c r="C61" s="1">
        <v>1.1000000000000001</v>
      </c>
      <c r="D61" s="1" t="s">
        <v>1624</v>
      </c>
    </row>
    <row r="63" spans="2:10" customFormat="1" ht="15" x14ac:dyDescent="0.25">
      <c r="B63" s="94" t="s">
        <v>1625</v>
      </c>
      <c r="C63" s="102"/>
    </row>
    <row r="64" spans="2:10" customFormat="1" ht="15" x14ac:dyDescent="0.25">
      <c r="J64" s="94"/>
    </row>
    <row r="65" spans="2:4" customFormat="1" ht="15" x14ac:dyDescent="0.25">
      <c r="B65" s="103" t="s">
        <v>1626</v>
      </c>
    </row>
    <row r="66" spans="2:4" customFormat="1" ht="15" x14ac:dyDescent="0.25">
      <c r="B66" s="103" t="s">
        <v>1627</v>
      </c>
    </row>
    <row r="67" spans="2:4" customFormat="1" ht="15" x14ac:dyDescent="0.25"/>
    <row r="68" spans="2:4" customFormat="1" ht="15" x14ac:dyDescent="0.25">
      <c r="B68" t="s">
        <v>1628</v>
      </c>
      <c r="C68" s="100">
        <f>0.1*5000</f>
        <v>500</v>
      </c>
      <c r="D68" s="103" t="s">
        <v>1629</v>
      </c>
    </row>
    <row r="69" spans="2:4" customFormat="1" ht="15" x14ac:dyDescent="0.25">
      <c r="B69" t="s">
        <v>1630</v>
      </c>
      <c r="C69" s="100">
        <f>0.7*C14</f>
        <v>3500</v>
      </c>
      <c r="D69" s="103" t="s">
        <v>1631</v>
      </c>
    </row>
    <row r="70" spans="2:4" customFormat="1" ht="15" x14ac:dyDescent="0.25">
      <c r="B70" t="s">
        <v>1632</v>
      </c>
      <c r="C70" s="147">
        <v>0.7</v>
      </c>
      <c r="D70" s="103" t="s">
        <v>1633</v>
      </c>
    </row>
    <row r="71" spans="2:4" customFormat="1" ht="15" x14ac:dyDescent="0.25">
      <c r="B71" t="str">
        <f ca="1">"Shares redeemed "&amp;IFERROR(_xlfn.FORMULATEXT(C71)," ")</f>
        <v>Shares redeemed =3/5*5000*0.7</v>
      </c>
      <c r="C71" s="100">
        <f>3/5*5000*0.7</f>
        <v>2100</v>
      </c>
      <c r="D71" s="103" t="s">
        <v>1634</v>
      </c>
    </row>
    <row r="72" spans="2:4" customFormat="1" ht="15" x14ac:dyDescent="0.25">
      <c r="B72" t="s">
        <v>1635</v>
      </c>
      <c r="C72" s="104">
        <v>0.5</v>
      </c>
      <c r="D72" s="103" t="s">
        <v>1636</v>
      </c>
    </row>
    <row r="73" spans="2:4" customFormat="1" ht="15" x14ac:dyDescent="0.25">
      <c r="C73" s="102"/>
    </row>
    <row r="74" spans="2:4" customFormat="1" ht="15" x14ac:dyDescent="0.25"/>
    <row r="75" spans="2:4" customFormat="1" ht="15" x14ac:dyDescent="0.25">
      <c r="B75" s="148" t="s">
        <v>1637</v>
      </c>
      <c r="C75" s="106"/>
      <c r="D75" s="106"/>
    </row>
    <row r="76" spans="2:4" customFormat="1" ht="15" x14ac:dyDescent="0.25">
      <c r="B76" s="148" t="s">
        <v>1638</v>
      </c>
      <c r="C76" s="106"/>
      <c r="D76" s="106"/>
    </row>
    <row r="77" spans="2:4" customFormat="1" ht="15" x14ac:dyDescent="0.25">
      <c r="B77" s="106" t="s">
        <v>1639</v>
      </c>
      <c r="C77" s="169">
        <f>C69*(1-C70)</f>
        <v>1050.0000000000002</v>
      </c>
      <c r="D77" s="169"/>
    </row>
    <row r="78" spans="2:4" customFormat="1" ht="15" x14ac:dyDescent="0.25">
      <c r="B78" s="149" t="s">
        <v>1681</v>
      </c>
      <c r="C78" s="169"/>
      <c r="D78" s="169">
        <f>C77</f>
        <v>1050.0000000000002</v>
      </c>
    </row>
    <row r="79" spans="2:4" customFormat="1" ht="15" x14ac:dyDescent="0.25">
      <c r="B79" s="148"/>
      <c r="C79" s="169"/>
      <c r="D79" s="169"/>
    </row>
    <row r="80" spans="2:4" customFormat="1" ht="15" x14ac:dyDescent="0.25">
      <c r="B80" s="106" t="s">
        <v>1639</v>
      </c>
      <c r="C80" s="169">
        <f>C69*C70</f>
        <v>2450</v>
      </c>
      <c r="D80" s="164"/>
    </row>
    <row r="81" spans="2:6" customFormat="1" ht="15" x14ac:dyDescent="0.25">
      <c r="B81" t="s">
        <v>1640</v>
      </c>
      <c r="C81" s="169"/>
      <c r="D81" s="169">
        <f>C71*C72</f>
        <v>1050</v>
      </c>
    </row>
    <row r="82" spans="2:6" customFormat="1" ht="15" x14ac:dyDescent="0.25">
      <c r="B82" t="s">
        <v>1641</v>
      </c>
      <c r="C82" s="169"/>
      <c r="D82" s="169">
        <f>C80-D81</f>
        <v>1400</v>
      </c>
    </row>
    <row r="83" spans="2:6" customFormat="1" ht="15" x14ac:dyDescent="0.25">
      <c r="C83" s="164"/>
      <c r="D83" s="164"/>
    </row>
    <row r="84" spans="2:6" customFormat="1" ht="15" x14ac:dyDescent="0.25">
      <c r="B84" s="103" t="s">
        <v>1642</v>
      </c>
      <c r="C84" s="164"/>
      <c r="D84" s="164"/>
    </row>
    <row r="85" spans="2:6" customFormat="1" ht="15" x14ac:dyDescent="0.25">
      <c r="B85" t="s">
        <v>1643</v>
      </c>
      <c r="C85" s="169">
        <f>C68</f>
        <v>500</v>
      </c>
      <c r="D85" s="169"/>
    </row>
    <row r="86" spans="2:6" customFormat="1" ht="15" x14ac:dyDescent="0.25">
      <c r="B86" t="s">
        <v>1644</v>
      </c>
      <c r="C86" s="169"/>
      <c r="D86" s="169">
        <f>C68</f>
        <v>500</v>
      </c>
    </row>
    <row r="89" spans="2:6" x14ac:dyDescent="0.2">
      <c r="B89" s="88" t="s">
        <v>1686</v>
      </c>
    </row>
    <row r="90" spans="2:6" customFormat="1" ht="15" x14ac:dyDescent="0.25">
      <c r="B90" s="94" t="s">
        <v>1645</v>
      </c>
    </row>
    <row r="91" spans="2:6" customFormat="1" ht="15" x14ac:dyDescent="0.25">
      <c r="B91" t="s">
        <v>1646</v>
      </c>
    </row>
    <row r="92" spans="2:6" customFormat="1" ht="15" x14ac:dyDescent="0.25">
      <c r="B92" t="s">
        <v>1647</v>
      </c>
      <c r="C92" s="162">
        <v>2500</v>
      </c>
      <c r="D92" s="102"/>
      <c r="E92" s="102"/>
      <c r="F92" s="106"/>
    </row>
    <row r="93" spans="2:6" customFormat="1" ht="15" x14ac:dyDescent="0.25">
      <c r="B93" t="s">
        <v>1648</v>
      </c>
      <c r="C93" s="162">
        <f>+C92+12.8</f>
        <v>2512.8000000000002</v>
      </c>
      <c r="D93" s="102"/>
      <c r="F93" s="106"/>
    </row>
    <row r="94" spans="2:6" customFormat="1" ht="15" x14ac:dyDescent="0.25">
      <c r="B94" t="s">
        <v>1649</v>
      </c>
      <c r="C94" s="150"/>
      <c r="D94" s="102"/>
      <c r="F94" s="106"/>
    </row>
    <row r="95" spans="2:6" customFormat="1" ht="15" x14ac:dyDescent="0.25">
      <c r="B95" t="s">
        <v>1650</v>
      </c>
      <c r="C95" s="151">
        <v>0.04</v>
      </c>
      <c r="D95" s="103" t="s">
        <v>1651</v>
      </c>
      <c r="F95" s="102"/>
    </row>
    <row r="96" spans="2:6" customFormat="1" ht="15" x14ac:dyDescent="0.25">
      <c r="B96" t="s">
        <v>1652</v>
      </c>
      <c r="C96" s="151">
        <v>0.02</v>
      </c>
      <c r="D96" s="103" t="s">
        <v>1653</v>
      </c>
    </row>
    <row r="97" spans="2:8" customFormat="1" ht="15" x14ac:dyDescent="0.25">
      <c r="B97" t="s">
        <v>1654</v>
      </c>
      <c r="C97" s="122" t="s">
        <v>1655</v>
      </c>
      <c r="D97" s="103" t="s">
        <v>1656</v>
      </c>
    </row>
    <row r="98" spans="2:8" s="170" customFormat="1" ht="15" x14ac:dyDescent="0.25">
      <c r="C98" s="171"/>
      <c r="D98" s="172"/>
    </row>
    <row r="99" spans="2:8" s="170" customFormat="1" ht="15" x14ac:dyDescent="0.25">
      <c r="B99" s="170" t="s">
        <v>1689</v>
      </c>
      <c r="C99" s="171"/>
      <c r="D99" s="172"/>
    </row>
    <row r="100" spans="2:8" s="170" customFormat="1" ht="15" x14ac:dyDescent="0.25">
      <c r="B100" s="170" t="s">
        <v>1366</v>
      </c>
      <c r="C100" s="171"/>
      <c r="D100" s="172"/>
    </row>
    <row r="101" spans="2:8" s="170" customFormat="1" ht="15" x14ac:dyDescent="0.25">
      <c r="B101" s="170" t="s">
        <v>1690</v>
      </c>
      <c r="C101" s="171"/>
      <c r="D101" s="172"/>
    </row>
    <row r="102" spans="2:8" s="170" customFormat="1" ht="15" x14ac:dyDescent="0.25">
      <c r="B102" s="170" t="s">
        <v>1366</v>
      </c>
      <c r="C102" s="171"/>
      <c r="D102" s="172"/>
    </row>
    <row r="103" spans="2:8" s="170" customFormat="1" ht="15" x14ac:dyDescent="0.25">
      <c r="B103" s="170" t="s">
        <v>1691</v>
      </c>
      <c r="C103" s="171"/>
      <c r="D103" s="172"/>
    </row>
    <row r="104" spans="2:8" s="170" customFormat="1" ht="15" x14ac:dyDescent="0.25">
      <c r="B104" t="s">
        <v>1366</v>
      </c>
      <c r="C104" s="171"/>
      <c r="D104" s="172"/>
    </row>
    <row r="105" spans="2:8" s="170" customFormat="1" ht="15" x14ac:dyDescent="0.25">
      <c r="B105" t="s">
        <v>1692</v>
      </c>
      <c r="C105" s="171"/>
      <c r="D105" s="172"/>
    </row>
    <row r="106" spans="2:8" customFormat="1" ht="15.75" thickBot="1" x14ac:dyDescent="0.3">
      <c r="H106" s="1"/>
    </row>
    <row r="107" spans="2:8" customFormat="1" ht="15.75" thickBot="1" x14ac:dyDescent="0.3">
      <c r="B107" s="152" t="s">
        <v>1657</v>
      </c>
      <c r="C107" s="153" t="s">
        <v>1658</v>
      </c>
      <c r="D107" s="153" t="s">
        <v>1652</v>
      </c>
      <c r="E107" s="153" t="s">
        <v>1659</v>
      </c>
      <c r="F107" s="154" t="s">
        <v>1660</v>
      </c>
      <c r="H107" s="1"/>
    </row>
    <row r="108" spans="2:8" customFormat="1" ht="15" x14ac:dyDescent="0.25">
      <c r="B108" s="155"/>
      <c r="C108" s="156" t="s">
        <v>248</v>
      </c>
      <c r="D108" s="156" t="s">
        <v>248</v>
      </c>
      <c r="E108" s="156" t="s">
        <v>248</v>
      </c>
      <c r="F108" s="157" t="s">
        <v>248</v>
      </c>
    </row>
    <row r="109" spans="2:8" customFormat="1" ht="15" x14ac:dyDescent="0.25">
      <c r="B109" s="158">
        <v>44316</v>
      </c>
      <c r="C109" s="163">
        <f>C93-C94</f>
        <v>2512.8000000000002</v>
      </c>
      <c r="D109" s="163">
        <f t="shared" ref="D109:D114" si="2">IF($C$97="arrears",C109*$C$96,(C109+E109)*$C$96)</f>
        <v>50.256000000000007</v>
      </c>
      <c r="E109" s="164">
        <f>IF($C$97="ADVANCE",0,-$C$92*$C$95)</f>
        <v>-100</v>
      </c>
      <c r="F109" s="165">
        <f t="shared" ref="F109:F114" si="3">C109+D109+E109</f>
        <v>2463.056</v>
      </c>
    </row>
    <row r="110" spans="2:8" customFormat="1" ht="15" x14ac:dyDescent="0.25">
      <c r="B110" s="158">
        <f>B109+365</f>
        <v>44681</v>
      </c>
      <c r="C110" s="163">
        <f>F109</f>
        <v>2463.056</v>
      </c>
      <c r="D110" s="163">
        <f t="shared" si="2"/>
        <v>49.261120000000005</v>
      </c>
      <c r="E110" s="164">
        <f>(-$C$92*$C$95)</f>
        <v>-100</v>
      </c>
      <c r="F110" s="165">
        <f t="shared" si="3"/>
        <v>2412.3171200000002</v>
      </c>
    </row>
    <row r="111" spans="2:8" customFormat="1" ht="15" x14ac:dyDescent="0.25">
      <c r="B111" s="158">
        <f>B110+365</f>
        <v>45046</v>
      </c>
      <c r="C111" s="163">
        <f>F110</f>
        <v>2412.3171200000002</v>
      </c>
      <c r="D111" s="163">
        <f t="shared" si="2"/>
        <v>48.246342400000003</v>
      </c>
      <c r="E111" s="164">
        <f>(-$C$92*$C$95)</f>
        <v>-100</v>
      </c>
      <c r="F111" s="165">
        <f t="shared" si="3"/>
        <v>2360.5634624000004</v>
      </c>
    </row>
    <row r="112" spans="2:8" customFormat="1" ht="15" x14ac:dyDescent="0.25">
      <c r="B112" s="158">
        <f>B111+365</f>
        <v>45411</v>
      </c>
      <c r="C112" s="164">
        <f>F111</f>
        <v>2360.5634624000004</v>
      </c>
      <c r="D112" s="163">
        <f t="shared" si="2"/>
        <v>47.211269248000008</v>
      </c>
      <c r="E112" s="164">
        <f>(-$C$92*$C$95)</f>
        <v>-100</v>
      </c>
      <c r="F112" s="165">
        <f t="shared" si="3"/>
        <v>2307.7747316480004</v>
      </c>
    </row>
    <row r="113" spans="2:12" customFormat="1" ht="15" x14ac:dyDescent="0.25">
      <c r="B113" s="158">
        <f>B112+365</f>
        <v>45776</v>
      </c>
      <c r="C113" s="164">
        <f>F112</f>
        <v>2307.7747316480004</v>
      </c>
      <c r="D113" s="163">
        <f t="shared" si="2"/>
        <v>46.155494632960007</v>
      </c>
      <c r="E113" s="164">
        <f>(-$C$92*$C$95)</f>
        <v>-100</v>
      </c>
      <c r="F113" s="165">
        <f t="shared" si="3"/>
        <v>2253.9302262809606</v>
      </c>
    </row>
    <row r="114" spans="2:12" customFormat="1" ht="15" x14ac:dyDescent="0.25">
      <c r="B114" s="158">
        <f>B113+365</f>
        <v>46141</v>
      </c>
      <c r="C114" s="164">
        <f>F113</f>
        <v>2253.9302262809606</v>
      </c>
      <c r="D114" s="163">
        <f t="shared" si="2"/>
        <v>45.078604525619212</v>
      </c>
      <c r="E114" s="164">
        <f>(-$C$92*$C$95)</f>
        <v>-100</v>
      </c>
      <c r="F114" s="165">
        <f t="shared" si="3"/>
        <v>2199.0088308065797</v>
      </c>
    </row>
    <row r="115" spans="2:12" customFormat="1" ht="15" x14ac:dyDescent="0.25">
      <c r="B115" s="113"/>
      <c r="C115" s="164"/>
      <c r="F115" s="112"/>
    </row>
    <row r="116" spans="2:12" customFormat="1" ht="15" x14ac:dyDescent="0.25">
      <c r="B116" s="113"/>
      <c r="C116" s="164"/>
      <c r="F116" s="112"/>
    </row>
    <row r="117" spans="2:12" customFormat="1" ht="15" x14ac:dyDescent="0.25">
      <c r="B117" s="113" t="s">
        <v>1661</v>
      </c>
      <c r="C117" s="164">
        <f>F110</f>
        <v>2412.3171200000002</v>
      </c>
      <c r="F117" s="112"/>
    </row>
    <row r="118" spans="2:12" customFormat="1" ht="15" x14ac:dyDescent="0.25">
      <c r="B118" s="113" t="s">
        <v>1662</v>
      </c>
      <c r="C118" s="164">
        <f>F109-F110</f>
        <v>50.738879999999881</v>
      </c>
      <c r="D118" s="104" t="s">
        <v>1688</v>
      </c>
      <c r="E118" s="102"/>
      <c r="F118" s="112"/>
    </row>
    <row r="119" spans="2:12" customFormat="1" ht="18.600000000000001" customHeight="1" thickBot="1" x14ac:dyDescent="0.3">
      <c r="B119" s="111" t="str">
        <f>"Lease payable at year end"</f>
        <v>Lease payable at year end</v>
      </c>
      <c r="C119" s="167">
        <f>C117+C118</f>
        <v>2463.056</v>
      </c>
      <c r="F119" s="112"/>
    </row>
    <row r="120" spans="2:12" customFormat="1" ht="15.75" thickBot="1" x14ac:dyDescent="0.3">
      <c r="B120" s="118"/>
      <c r="C120" s="119"/>
      <c r="D120" s="119"/>
      <c r="E120" s="119"/>
      <c r="F120" s="120"/>
    </row>
    <row r="121" spans="2:12" customFormat="1" ht="15" x14ac:dyDescent="0.25"/>
    <row r="122" spans="2:12" customFormat="1" ht="15" x14ac:dyDescent="0.25"/>
    <row r="123" spans="2:12" customFormat="1" ht="15" x14ac:dyDescent="0.25">
      <c r="B123" s="104" t="s">
        <v>1392</v>
      </c>
      <c r="C123" s="168">
        <f>D109</f>
        <v>50.256000000000007</v>
      </c>
      <c r="D123" s="89"/>
      <c r="L123" s="106"/>
    </row>
    <row r="124" spans="2:12" customFormat="1" ht="15" x14ac:dyDescent="0.25">
      <c r="B124" t="s">
        <v>1683</v>
      </c>
      <c r="C124" s="89"/>
      <c r="D124" s="164">
        <f>D109</f>
        <v>50.256000000000007</v>
      </c>
      <c r="K124" s="106"/>
      <c r="L124" s="106"/>
    </row>
    <row r="125" spans="2:12" customFormat="1" ht="15" x14ac:dyDescent="0.25">
      <c r="C125" s="164"/>
      <c r="D125" s="164"/>
      <c r="F125" s="103" t="s">
        <v>1667</v>
      </c>
      <c r="K125" s="106"/>
      <c r="L125" s="106"/>
    </row>
    <row r="126" spans="2:12" customFormat="1" ht="15" x14ac:dyDescent="0.25">
      <c r="B126" s="104" t="s">
        <v>1682</v>
      </c>
      <c r="C126" s="164">
        <f>-E109</f>
        <v>100</v>
      </c>
      <c r="D126" s="164"/>
      <c r="K126" s="106"/>
      <c r="L126" s="106"/>
    </row>
    <row r="127" spans="2:12" customFormat="1" ht="15" x14ac:dyDescent="0.25">
      <c r="B127" t="s">
        <v>1684</v>
      </c>
      <c r="C127" s="164"/>
      <c r="D127" s="164">
        <f>-E109</f>
        <v>100</v>
      </c>
      <c r="K127" s="106"/>
      <c r="L127" s="106"/>
    </row>
    <row r="128" spans="2:12" customFormat="1" ht="15" x14ac:dyDescent="0.25">
      <c r="C128" s="164"/>
      <c r="D128" s="164"/>
      <c r="K128" s="106"/>
      <c r="L128" s="106"/>
    </row>
    <row r="129" spans="2:6" x14ac:dyDescent="0.2">
      <c r="C129" s="89"/>
      <c r="D129" s="89"/>
    </row>
    <row r="130" spans="2:6" x14ac:dyDescent="0.2">
      <c r="C130" s="89"/>
      <c r="D130" s="89"/>
    </row>
    <row r="131" spans="2:6" x14ac:dyDescent="0.2">
      <c r="B131" s="88" t="s">
        <v>1687</v>
      </c>
      <c r="C131" s="89"/>
      <c r="D131" s="89"/>
    </row>
    <row r="132" spans="2:6" x14ac:dyDescent="0.2">
      <c r="B132" s="1" t="s">
        <v>1694</v>
      </c>
      <c r="C132" s="89"/>
      <c r="D132" s="89"/>
    </row>
    <row r="133" spans="2:6" x14ac:dyDescent="0.2">
      <c r="B133" s="1" t="s">
        <v>1366</v>
      </c>
      <c r="C133" s="89"/>
      <c r="D133" s="89"/>
    </row>
    <row r="134" spans="2:6" x14ac:dyDescent="0.2">
      <c r="B134" s="1" t="s">
        <v>1695</v>
      </c>
      <c r="C134" s="89"/>
      <c r="D134" s="89"/>
    </row>
    <row r="135" spans="2:6" x14ac:dyDescent="0.2">
      <c r="B135" s="1" t="s">
        <v>1366</v>
      </c>
      <c r="C135" s="89"/>
      <c r="D135" s="89"/>
    </row>
    <row r="136" spans="2:6" x14ac:dyDescent="0.2">
      <c r="C136" s="89"/>
      <c r="D136" s="89"/>
    </row>
    <row r="137" spans="2:6" x14ac:dyDescent="0.2">
      <c r="C137" s="89" t="s">
        <v>475</v>
      </c>
      <c r="D137" s="89" t="s">
        <v>476</v>
      </c>
    </row>
    <row r="138" spans="2:6" x14ac:dyDescent="0.2">
      <c r="B138" s="3">
        <v>44814</v>
      </c>
      <c r="C138" s="89">
        <v>125</v>
      </c>
      <c r="D138" s="89">
        <f>+C138/1.14</f>
        <v>109.64912280701755</v>
      </c>
    </row>
    <row r="139" spans="2:6" x14ac:dyDescent="0.2">
      <c r="B139" s="3">
        <v>44926</v>
      </c>
      <c r="C139" s="89">
        <v>125</v>
      </c>
      <c r="D139" s="89">
        <f>+C139/1.2</f>
        <v>104.16666666666667</v>
      </c>
    </row>
    <row r="140" spans="2:6" x14ac:dyDescent="0.2">
      <c r="C140" s="89"/>
      <c r="D140" s="89">
        <f>+D139-D138</f>
        <v>-5.4824561403508767</v>
      </c>
    </row>
    <row r="141" spans="2:6" x14ac:dyDescent="0.2">
      <c r="B141" s="1" t="s">
        <v>1675</v>
      </c>
    </row>
    <row r="142" spans="2:6" x14ac:dyDescent="0.2">
      <c r="B142" s="1" t="s">
        <v>29</v>
      </c>
      <c r="E142" s="89">
        <v>8</v>
      </c>
      <c r="F142" s="89"/>
    </row>
    <row r="143" spans="2:6" x14ac:dyDescent="0.2">
      <c r="C143" s="1" t="s">
        <v>1677</v>
      </c>
      <c r="E143" s="89"/>
      <c r="F143" s="89">
        <f>+E142</f>
        <v>8</v>
      </c>
    </row>
    <row r="144" spans="2:6" x14ac:dyDescent="0.2">
      <c r="B144" s="1" t="s">
        <v>1676</v>
      </c>
      <c r="E144" s="89"/>
      <c r="F144" s="89"/>
    </row>
    <row r="145" spans="2:6" x14ac:dyDescent="0.2">
      <c r="E145" s="89"/>
      <c r="F145" s="89"/>
    </row>
    <row r="146" spans="2:6" x14ac:dyDescent="0.2">
      <c r="B146" s="1" t="s">
        <v>1693</v>
      </c>
      <c r="E146" s="89"/>
      <c r="F146" s="89"/>
    </row>
    <row r="147" spans="2:6" x14ac:dyDescent="0.2">
      <c r="B147" s="1" t="s">
        <v>1696</v>
      </c>
      <c r="E147" s="89"/>
      <c r="F147" s="89"/>
    </row>
    <row r="148" spans="2:6" x14ac:dyDescent="0.2">
      <c r="E148" s="89"/>
      <c r="F148" s="89"/>
    </row>
    <row r="149" spans="2:6" x14ac:dyDescent="0.2">
      <c r="B149" s="1" t="s">
        <v>1679</v>
      </c>
      <c r="E149" s="89">
        <f>+F150</f>
        <v>5.4824561403508767</v>
      </c>
      <c r="F149" s="89"/>
    </row>
    <row r="150" spans="2:6" x14ac:dyDescent="0.2">
      <c r="C150" s="1" t="s">
        <v>1678</v>
      </c>
      <c r="E150" s="89"/>
      <c r="F150" s="89">
        <f>-D140</f>
        <v>5.4824561403508767</v>
      </c>
    </row>
    <row r="151" spans="2:6" x14ac:dyDescent="0.2">
      <c r="B151" s="1" t="s">
        <v>1680</v>
      </c>
      <c r="E151" s="89"/>
      <c r="F151" s="89"/>
    </row>
    <row r="161" spans="2:18" x14ac:dyDescent="0.2">
      <c r="B161" s="88" t="s">
        <v>49</v>
      </c>
    </row>
    <row r="162" spans="2:18" s="332" customFormat="1" ht="18.75" customHeight="1" x14ac:dyDescent="0.25">
      <c r="B162" s="333" t="s">
        <v>2793</v>
      </c>
      <c r="C162" s="334" t="s">
        <v>2794</v>
      </c>
      <c r="D162" s="335"/>
      <c r="E162" s="335"/>
      <c r="I162" s="420"/>
      <c r="J162" s="420"/>
      <c r="K162" s="421" t="s">
        <v>1506</v>
      </c>
      <c r="L162" s="421" t="s">
        <v>1970</v>
      </c>
    </row>
    <row r="163" spans="2:18" s="332" customFormat="1" ht="18.75" customHeight="1" x14ac:dyDescent="0.25">
      <c r="B163" s="336" t="s">
        <v>1223</v>
      </c>
      <c r="C163" s="337"/>
      <c r="D163" s="335"/>
      <c r="E163" s="335"/>
      <c r="I163" s="422" t="s">
        <v>972</v>
      </c>
      <c r="J163" s="420"/>
      <c r="K163" s="423" t="s">
        <v>44</v>
      </c>
      <c r="L163" s="423" t="s">
        <v>44</v>
      </c>
    </row>
    <row r="164" spans="2:18" s="332" customFormat="1" ht="18.75" customHeight="1" thickBot="1" x14ac:dyDescent="0.3">
      <c r="B164" s="338" t="s">
        <v>2795</v>
      </c>
      <c r="C164" s="339"/>
      <c r="D164" s="335"/>
      <c r="E164" s="335"/>
      <c r="I164" s="420" t="s">
        <v>2800</v>
      </c>
      <c r="J164" s="420"/>
      <c r="K164" s="166">
        <v>21082</v>
      </c>
      <c r="L164" s="166">
        <v>22798</v>
      </c>
    </row>
    <row r="165" spans="2:18" s="332" customFormat="1" ht="18.75" customHeight="1" x14ac:dyDescent="0.25">
      <c r="B165" s="340"/>
      <c r="C165" s="341" t="s">
        <v>2796</v>
      </c>
      <c r="D165" s="342" t="s">
        <v>44</v>
      </c>
      <c r="E165" s="342" t="s">
        <v>44</v>
      </c>
      <c r="I165" s="420" t="s">
        <v>2804</v>
      </c>
      <c r="J165" s="420"/>
      <c r="K165" s="166">
        <v>0</v>
      </c>
      <c r="L165" s="166">
        <v>0</v>
      </c>
    </row>
    <row r="166" spans="2:18" s="332" customFormat="1" ht="18.75" customHeight="1" thickBot="1" x14ac:dyDescent="0.3">
      <c r="B166" s="336" t="s">
        <v>2798</v>
      </c>
      <c r="C166" s="343"/>
      <c r="D166" s="344"/>
      <c r="E166" s="344"/>
      <c r="I166" s="420"/>
      <c r="J166" s="420"/>
      <c r="K166" s="424">
        <f>SUM(K164:K165)</f>
        <v>21082</v>
      </c>
      <c r="L166" s="424">
        <f>SUM(L164:L165)</f>
        <v>22798</v>
      </c>
    </row>
    <row r="167" spans="2:18" s="332" customFormat="1" ht="18.75" customHeight="1" thickTop="1" x14ac:dyDescent="0.25">
      <c r="B167" s="340" t="s">
        <v>3162</v>
      </c>
      <c r="C167" s="343" t="s">
        <v>3163</v>
      </c>
      <c r="D167" s="345">
        <v>14782</v>
      </c>
      <c r="E167" s="346"/>
    </row>
    <row r="168" spans="2:18" s="332" customFormat="1" ht="18.75" customHeight="1" x14ac:dyDescent="0.25">
      <c r="B168" s="340" t="s">
        <v>3164</v>
      </c>
      <c r="C168" s="343"/>
      <c r="D168" s="425"/>
      <c r="E168" s="346"/>
      <c r="I168" s="422" t="s">
        <v>2815</v>
      </c>
      <c r="J168" s="420"/>
      <c r="K168" s="420"/>
      <c r="L168" s="420"/>
      <c r="M168" s="420"/>
      <c r="N168" s="420"/>
    </row>
    <row r="169" spans="2:18" s="332" customFormat="1" ht="18.75" customHeight="1" x14ac:dyDescent="0.25">
      <c r="B169" s="426" t="s">
        <v>3165</v>
      </c>
      <c r="C169" s="343" t="s">
        <v>3166</v>
      </c>
      <c r="D169" s="427">
        <v>5683</v>
      </c>
      <c r="E169" s="346"/>
      <c r="I169" s="420"/>
      <c r="J169" s="420" t="s">
        <v>969</v>
      </c>
      <c r="K169" s="420" t="s">
        <v>2819</v>
      </c>
      <c r="L169" s="420" t="s">
        <v>980</v>
      </c>
      <c r="M169" s="420" t="s">
        <v>3167</v>
      </c>
      <c r="N169" s="420"/>
    </row>
    <row r="170" spans="2:18" s="332" customFormat="1" ht="18.75" customHeight="1" x14ac:dyDescent="0.25">
      <c r="B170" s="426" t="s">
        <v>3168</v>
      </c>
      <c r="C170" s="343" t="s">
        <v>3166</v>
      </c>
      <c r="D170" s="427">
        <v>6</v>
      </c>
      <c r="E170" s="346"/>
      <c r="I170" s="420"/>
      <c r="J170" s="423" t="s">
        <v>44</v>
      </c>
      <c r="K170" s="423" t="s">
        <v>44</v>
      </c>
      <c r="L170" s="423" t="s">
        <v>44</v>
      </c>
      <c r="M170" s="423" t="s">
        <v>44</v>
      </c>
      <c r="N170" s="420"/>
      <c r="R170" s="359" t="s">
        <v>3169</v>
      </c>
    </row>
    <row r="171" spans="2:18" s="332" customFormat="1" ht="18.75" customHeight="1" x14ac:dyDescent="0.25">
      <c r="B171" s="426" t="s">
        <v>3170</v>
      </c>
      <c r="C171" s="343" t="s">
        <v>3166</v>
      </c>
      <c r="D171" s="427"/>
      <c r="E171" s="346"/>
      <c r="I171" s="420" t="s">
        <v>2822</v>
      </c>
      <c r="J171" s="183">
        <v>10460</v>
      </c>
      <c r="K171" s="183">
        <v>2440</v>
      </c>
      <c r="L171" s="183">
        <f>1654-165</f>
        <v>1489</v>
      </c>
      <c r="M171" s="166">
        <v>0</v>
      </c>
      <c r="N171" s="420"/>
      <c r="R171" s="359" t="s">
        <v>3171</v>
      </c>
    </row>
    <row r="172" spans="2:18" s="332" customFormat="1" ht="18.75" customHeight="1" x14ac:dyDescent="0.25">
      <c r="B172" s="426" t="s">
        <v>3172</v>
      </c>
      <c r="C172" s="343" t="s">
        <v>3166</v>
      </c>
      <c r="D172" s="427"/>
      <c r="E172" s="346"/>
      <c r="I172" s="420" t="s">
        <v>3173</v>
      </c>
      <c r="J172" s="183"/>
      <c r="K172" s="183"/>
      <c r="L172" s="183"/>
      <c r="M172" s="166"/>
      <c r="N172" s="420"/>
    </row>
    <row r="173" spans="2:18" s="332" customFormat="1" ht="18.75" customHeight="1" x14ac:dyDescent="0.25">
      <c r="B173" s="426" t="s">
        <v>3174</v>
      </c>
      <c r="C173" s="343" t="s">
        <v>3166</v>
      </c>
      <c r="D173" s="427"/>
      <c r="E173" s="346"/>
      <c r="I173" s="420" t="s">
        <v>2837</v>
      </c>
      <c r="J173" s="183">
        <v>11835</v>
      </c>
      <c r="K173" s="183">
        <v>5817</v>
      </c>
      <c r="L173" s="183">
        <f>1493-220</f>
        <v>1273</v>
      </c>
      <c r="M173" s="166">
        <v>0</v>
      </c>
      <c r="N173" s="420"/>
    </row>
    <row r="174" spans="2:18" s="332" customFormat="1" ht="18.75" customHeight="1" thickBot="1" x14ac:dyDescent="0.3">
      <c r="B174" s="426" t="s">
        <v>3175</v>
      </c>
      <c r="C174" s="343" t="s">
        <v>3166</v>
      </c>
      <c r="D174" s="427"/>
      <c r="E174" s="346"/>
      <c r="I174" s="420" t="s">
        <v>2839</v>
      </c>
      <c r="J174" s="424">
        <f>J173-J171-J172</f>
        <v>1375</v>
      </c>
      <c r="K174" s="424">
        <f>K173-K171-K172</f>
        <v>3377</v>
      </c>
      <c r="L174" s="424">
        <f>L173-L171-L172</f>
        <v>-216</v>
      </c>
      <c r="M174" s="424">
        <f>M173-M171-M172</f>
        <v>0</v>
      </c>
      <c r="N174" s="420"/>
    </row>
    <row r="175" spans="2:18" s="332" customFormat="1" ht="18.75" customHeight="1" thickTop="1" x14ac:dyDescent="0.25">
      <c r="B175" s="426" t="s">
        <v>3176</v>
      </c>
      <c r="C175" s="343" t="s">
        <v>3166</v>
      </c>
      <c r="D175" s="427"/>
      <c r="E175" s="346"/>
      <c r="I175" s="422" t="s">
        <v>2841</v>
      </c>
      <c r="J175" s="428"/>
      <c r="K175" s="428"/>
      <c r="L175" s="429"/>
      <c r="M175" s="430">
        <f>-(J174+K174+L174+M174)</f>
        <v>-4536</v>
      </c>
      <c r="N175" s="420"/>
    </row>
    <row r="176" spans="2:18" s="332" customFormat="1" ht="18.75" customHeight="1" x14ac:dyDescent="0.25">
      <c r="B176" s="426" t="s">
        <v>3177</v>
      </c>
      <c r="C176" s="343" t="s">
        <v>3166</v>
      </c>
      <c r="D176" s="427"/>
      <c r="E176" s="346"/>
      <c r="I176" s="420"/>
      <c r="J176" s="420"/>
      <c r="K176" s="420"/>
      <c r="L176" s="420"/>
      <c r="M176" s="420"/>
      <c r="N176" s="420"/>
    </row>
    <row r="177" spans="2:14" s="332" customFormat="1" ht="18.75" customHeight="1" x14ac:dyDescent="0.25">
      <c r="B177" s="426" t="s">
        <v>3178</v>
      </c>
      <c r="C177" s="343" t="s">
        <v>3166</v>
      </c>
      <c r="D177" s="427"/>
      <c r="E177" s="346"/>
      <c r="I177" s="420"/>
      <c r="J177" s="420"/>
      <c r="K177" s="420"/>
      <c r="L177" s="420"/>
      <c r="M177" s="420"/>
      <c r="N177" s="420"/>
    </row>
    <row r="178" spans="2:14" s="332" customFormat="1" ht="18.75" customHeight="1" x14ac:dyDescent="0.25">
      <c r="B178" s="426" t="s">
        <v>2878</v>
      </c>
      <c r="C178" s="343" t="s">
        <v>3166</v>
      </c>
      <c r="D178" s="427">
        <v>-654</v>
      </c>
      <c r="E178" s="346"/>
      <c r="I178" s="420" t="s">
        <v>3179</v>
      </c>
      <c r="J178" s="420"/>
      <c r="K178" s="420"/>
      <c r="L178" s="420"/>
      <c r="M178" s="420"/>
      <c r="N178" s="420"/>
    </row>
    <row r="179" spans="2:14" s="332" customFormat="1" ht="18.75" customHeight="1" x14ac:dyDescent="0.25">
      <c r="B179" s="426" t="s">
        <v>2848</v>
      </c>
      <c r="C179" s="343" t="s">
        <v>3166</v>
      </c>
      <c r="D179" s="431">
        <v>1223</v>
      </c>
      <c r="E179" s="346"/>
    </row>
    <row r="180" spans="2:14" s="332" customFormat="1" ht="18.75" customHeight="1" x14ac:dyDescent="0.25">
      <c r="B180" s="426"/>
      <c r="C180" s="343"/>
      <c r="D180" s="432">
        <f>SUM(D167:D179)</f>
        <v>21040</v>
      </c>
      <c r="E180" s="346"/>
      <c r="I180" s="422" t="s">
        <v>2806</v>
      </c>
      <c r="J180" s="420"/>
      <c r="K180" s="420"/>
      <c r="L180"/>
    </row>
    <row r="181" spans="2:14" s="332" customFormat="1" ht="18.75" customHeight="1" x14ac:dyDescent="0.25">
      <c r="B181" s="426" t="str">
        <f>IF(D181&lt;0,"Increase in inventories","Decrease in inventories")</f>
        <v>Increase in inventories</v>
      </c>
      <c r="C181" s="343" t="s">
        <v>3166</v>
      </c>
      <c r="D181" s="433">
        <f>-J174</f>
        <v>-1375</v>
      </c>
      <c r="E181" s="346"/>
      <c r="I181" s="420" t="s">
        <v>2845</v>
      </c>
      <c r="J181" s="420"/>
      <c r="K181" s="434"/>
      <c r="L181" s="183">
        <v>165</v>
      </c>
      <c r="M181" s="332" t="str">
        <f ca="1">IFERROR(_xlfn.FORMULATEXT(L181)," ")</f>
        <v xml:space="preserve"> </v>
      </c>
    </row>
    <row r="182" spans="2:14" s="332" customFormat="1" ht="18.75" customHeight="1" x14ac:dyDescent="0.25">
      <c r="B182" s="426" t="str">
        <f>IF(D182&lt;0,"Increase in trade and other receivables","Decrease in trade and other receivables")</f>
        <v>Increase in trade and other receivables</v>
      </c>
      <c r="C182" s="343" t="s">
        <v>3166</v>
      </c>
      <c r="D182" s="433">
        <f>-K174</f>
        <v>-3377</v>
      </c>
      <c r="E182" s="346"/>
      <c r="I182" s="420" t="s">
        <v>2848</v>
      </c>
      <c r="J182" s="420"/>
      <c r="K182" s="434"/>
      <c r="L182" s="183">
        <v>1223</v>
      </c>
      <c r="M182" s="332" t="str">
        <f t="shared" ref="M182:M183" ca="1" si="4">IFERROR(_xlfn.FORMULATEXT(L182)," ")</f>
        <v xml:space="preserve"> </v>
      </c>
    </row>
    <row r="183" spans="2:14" s="332" customFormat="1" ht="18.75" customHeight="1" x14ac:dyDescent="0.25">
      <c r="B183" s="426" t="str">
        <f>IF(D183&gt;0,"Increase in trade and other payables","Decrease in trade and other payables")</f>
        <v>Decrease in trade and other payables</v>
      </c>
      <c r="C183" s="343" t="s">
        <v>3166</v>
      </c>
      <c r="D183" s="345">
        <f>L174</f>
        <v>-216</v>
      </c>
      <c r="E183" s="346"/>
      <c r="I183" s="420" t="s">
        <v>2851</v>
      </c>
      <c r="J183" s="420"/>
      <c r="K183" s="434"/>
      <c r="L183" s="183">
        <v>175</v>
      </c>
      <c r="M183" s="332" t="str">
        <f t="shared" ca="1" si="4"/>
        <v xml:space="preserve"> </v>
      </c>
    </row>
    <row r="184" spans="2:14" s="332" customFormat="1" ht="18.75" customHeight="1" x14ac:dyDescent="0.25">
      <c r="B184" s="426" t="str">
        <f>IF(D184&gt;0,"Increase in provisions","Decrease in provisions")</f>
        <v>Decrease in provisions</v>
      </c>
      <c r="C184" s="343" t="s">
        <v>3166</v>
      </c>
      <c r="D184" s="345">
        <f>M174</f>
        <v>0</v>
      </c>
      <c r="E184" s="346"/>
      <c r="I184" s="420" t="s">
        <v>2853</v>
      </c>
      <c r="J184" s="420"/>
      <c r="K184" s="434"/>
      <c r="L184" s="183">
        <v>145</v>
      </c>
    </row>
    <row r="185" spans="2:14" s="332" customFormat="1" ht="18.75" customHeight="1" x14ac:dyDescent="0.25">
      <c r="B185" s="340" t="s">
        <v>2803</v>
      </c>
      <c r="C185" s="343"/>
      <c r="D185" s="354">
        <f>SUM(D180:D184)</f>
        <v>16072</v>
      </c>
      <c r="E185" s="346"/>
      <c r="I185" s="420"/>
      <c r="J185" s="420"/>
      <c r="K185" s="434"/>
      <c r="L185" s="361">
        <f>L181+L182-L184+L183</f>
        <v>1418</v>
      </c>
    </row>
    <row r="186" spans="2:14" s="332" customFormat="1" ht="18.75" customHeight="1" x14ac:dyDescent="0.25">
      <c r="B186" s="340" t="s">
        <v>2806</v>
      </c>
      <c r="C186" s="343" t="s">
        <v>2807</v>
      </c>
      <c r="D186" s="345">
        <f>-L187</f>
        <v>-1198</v>
      </c>
      <c r="E186" s="346"/>
      <c r="I186" s="420" t="s">
        <v>2856</v>
      </c>
      <c r="J186" s="420"/>
      <c r="K186" s="434"/>
      <c r="L186" s="183">
        <v>220</v>
      </c>
      <c r="M186" s="332" t="str">
        <f ca="1">IFERROR(_xlfn.FORMULATEXT(L184)," ")</f>
        <v xml:space="preserve"> </v>
      </c>
    </row>
    <row r="187" spans="2:14" s="332" customFormat="1" ht="18.75" customHeight="1" thickBot="1" x14ac:dyDescent="0.3">
      <c r="B187" s="340" t="s">
        <v>2810</v>
      </c>
      <c r="C187" s="343"/>
      <c r="D187" s="351">
        <f>-L196</f>
        <v>-3951</v>
      </c>
      <c r="E187" s="346"/>
      <c r="I187" s="420" t="s">
        <v>2806</v>
      </c>
      <c r="J187" s="420"/>
      <c r="K187" s="434"/>
      <c r="L187" s="435">
        <f>L185-L186</f>
        <v>1198</v>
      </c>
    </row>
    <row r="188" spans="2:14" s="332" customFormat="1" ht="18.75" customHeight="1" thickTop="1" x14ac:dyDescent="0.25">
      <c r="B188" s="356" t="s">
        <v>2812</v>
      </c>
      <c r="C188" s="343" t="s">
        <v>2813</v>
      </c>
      <c r="D188" s="357"/>
      <c r="E188" s="358">
        <f>SUM(D185:D187)</f>
        <v>10923</v>
      </c>
      <c r="I188" s="420"/>
      <c r="J188" s="420"/>
      <c r="K188" s="434"/>
      <c r="L188" s="434"/>
      <c r="M188" s="332" t="str">
        <f ca="1">IFERROR(_xlfn.FORMULATEXT(L186)," ")</f>
        <v xml:space="preserve"> </v>
      </c>
    </row>
    <row r="189" spans="2:14" s="332" customFormat="1" ht="18.75" customHeight="1" x14ac:dyDescent="0.25">
      <c r="B189" s="340"/>
      <c r="C189" s="343"/>
      <c r="D189" s="346"/>
      <c r="E189" s="346"/>
      <c r="I189" s="422" t="s">
        <v>2810</v>
      </c>
      <c r="J189" s="420"/>
      <c r="K189" s="434"/>
      <c r="L189" s="434"/>
    </row>
    <row r="190" spans="2:14" s="332" customFormat="1" ht="18.75" customHeight="1" x14ac:dyDescent="0.25">
      <c r="B190" s="336" t="s">
        <v>2817</v>
      </c>
      <c r="C190" s="343" t="s">
        <v>2818</v>
      </c>
      <c r="D190" s="346"/>
      <c r="E190" s="346"/>
      <c r="I190" s="420" t="s">
        <v>2862</v>
      </c>
      <c r="J190" s="420"/>
      <c r="K190" s="183">
        <v>2736</v>
      </c>
      <c r="L190" s="436"/>
      <c r="M190" s="332" t="str">
        <f ca="1">IFERROR(_xlfn.FORMULATEXT(L188)," ")</f>
        <v xml:space="preserve"> </v>
      </c>
    </row>
    <row r="191" spans="2:14" s="332" customFormat="1" ht="18.75" customHeight="1" x14ac:dyDescent="0.25">
      <c r="B191" s="340" t="s">
        <v>2820</v>
      </c>
      <c r="C191" s="343"/>
      <c r="D191" s="345"/>
      <c r="E191" s="346"/>
      <c r="I191" s="420" t="s">
        <v>2863</v>
      </c>
      <c r="J191" s="420"/>
      <c r="K191" s="183">
        <v>238</v>
      </c>
      <c r="L191" s="436">
        <f>K191+K190</f>
        <v>2974</v>
      </c>
      <c r="M191" s="332" t="str">
        <f ca="1">IFERROR(_xlfn.FORMULATEXT(L189)," ")</f>
        <v xml:space="preserve"> </v>
      </c>
    </row>
    <row r="192" spans="2:14" s="332" customFormat="1" ht="18.75" customHeight="1" x14ac:dyDescent="0.25">
      <c r="B192" s="340" t="s">
        <v>2821</v>
      </c>
      <c r="C192" s="343"/>
      <c r="D192" s="345"/>
      <c r="E192" s="346"/>
      <c r="I192" s="420" t="s">
        <v>2865</v>
      </c>
      <c r="J192" s="420"/>
      <c r="K192" s="436"/>
      <c r="L192" s="183">
        <v>4304</v>
      </c>
      <c r="M192" s="332" t="str">
        <f ca="1">IFERROR(_xlfn.FORMULATEXT(L190)," ")</f>
        <v xml:space="preserve"> </v>
      </c>
    </row>
    <row r="193" spans="2:13" s="332" customFormat="1" ht="18.75" customHeight="1" x14ac:dyDescent="0.25">
      <c r="B193" s="340" t="s">
        <v>2824</v>
      </c>
      <c r="C193" s="343" t="s">
        <v>2825</v>
      </c>
      <c r="D193" s="345">
        <f>-L206</f>
        <v>-8351</v>
      </c>
      <c r="E193" s="346"/>
      <c r="I193" s="420"/>
      <c r="J193" s="420"/>
      <c r="K193" s="436"/>
      <c r="L193" s="436">
        <f>L191+L192</f>
        <v>7278</v>
      </c>
    </row>
    <row r="194" spans="2:13" s="332" customFormat="1" ht="18.75" customHeight="1" x14ac:dyDescent="0.25">
      <c r="B194" s="340" t="s">
        <v>2827</v>
      </c>
      <c r="C194" s="343" t="s">
        <v>2825</v>
      </c>
      <c r="D194" s="345">
        <f>L211</f>
        <v>0</v>
      </c>
      <c r="E194" s="346"/>
      <c r="I194" s="420" t="s">
        <v>2866</v>
      </c>
      <c r="J194" s="420"/>
      <c r="K194" s="183">
        <v>3049</v>
      </c>
      <c r="L194" s="436"/>
      <c r="M194" s="332" t="str">
        <f ca="1">IFERROR(_xlfn.FORMULATEXT(L192)," ")</f>
        <v xml:space="preserve"> </v>
      </c>
    </row>
    <row r="195" spans="2:13" s="332" customFormat="1" ht="18.75" customHeight="1" x14ac:dyDescent="0.25">
      <c r="B195" s="340" t="s">
        <v>2830</v>
      </c>
      <c r="C195" s="343" t="s">
        <v>2831</v>
      </c>
      <c r="D195" s="345">
        <f>-L253</f>
        <v>0</v>
      </c>
      <c r="E195" s="346"/>
      <c r="I195" s="420" t="s">
        <v>2867</v>
      </c>
      <c r="J195" s="420"/>
      <c r="K195" s="183">
        <v>278</v>
      </c>
      <c r="L195" s="436">
        <f>K195+K194</f>
        <v>3327</v>
      </c>
    </row>
    <row r="196" spans="2:13" s="332" customFormat="1" ht="18.75" customHeight="1" thickBot="1" x14ac:dyDescent="0.3">
      <c r="B196" s="340" t="s">
        <v>2834</v>
      </c>
      <c r="C196" s="343" t="s">
        <v>2831</v>
      </c>
      <c r="D196" s="345"/>
      <c r="E196" s="346"/>
      <c r="I196" s="420" t="s">
        <v>2810</v>
      </c>
      <c r="J196" s="420"/>
      <c r="K196" s="436"/>
      <c r="L196" s="435">
        <f>L193-L195</f>
        <v>3951</v>
      </c>
      <c r="M196" s="332" t="str">
        <f ca="1">IFERROR(_xlfn.FORMULATEXT(L194)," ")</f>
        <v xml:space="preserve"> </v>
      </c>
    </row>
    <row r="197" spans="2:13" s="332" customFormat="1" ht="18.75" customHeight="1" thickTop="1" x14ac:dyDescent="0.25">
      <c r="B197" s="340" t="s">
        <v>2835</v>
      </c>
      <c r="C197" s="343" t="s">
        <v>2836</v>
      </c>
      <c r="D197" s="345">
        <f>L221</f>
        <v>704</v>
      </c>
      <c r="E197" s="346"/>
      <c r="I197" s="420"/>
      <c r="J197" s="420"/>
      <c r="K197" s="434"/>
      <c r="L197" s="434"/>
    </row>
    <row r="198" spans="2:13" s="332" customFormat="1" ht="18.75" customHeight="1" x14ac:dyDescent="0.25">
      <c r="B198" s="340" t="s">
        <v>2838</v>
      </c>
      <c r="C198" s="343" t="s">
        <v>2836</v>
      </c>
      <c r="D198" s="351">
        <f>L232</f>
        <v>0</v>
      </c>
      <c r="E198" s="346"/>
      <c r="I198" s="422" t="s">
        <v>2868</v>
      </c>
      <c r="J198" s="420"/>
      <c r="K198" s="434"/>
      <c r="L198" s="434"/>
    </row>
    <row r="199" spans="2:13" s="332" customFormat="1" ht="18.75" customHeight="1" x14ac:dyDescent="0.25">
      <c r="B199" s="356" t="s">
        <v>2840</v>
      </c>
      <c r="C199" s="343" t="s">
        <v>2813</v>
      </c>
      <c r="D199" s="357"/>
      <c r="E199" s="358">
        <f>SUM(D191:D198)</f>
        <v>-7647</v>
      </c>
      <c r="I199" s="420" t="s">
        <v>2869</v>
      </c>
      <c r="J199" s="420"/>
      <c r="K199" s="434"/>
      <c r="L199" s="183">
        <v>25540</v>
      </c>
      <c r="M199" s="332" t="str">
        <f t="shared" ref="M199:M205" ca="1" si="5">IFERROR(_xlfn.FORMULATEXT(L197)," ")</f>
        <v xml:space="preserve"> </v>
      </c>
    </row>
    <row r="200" spans="2:13" s="332" customFormat="1" ht="18.75" customHeight="1" x14ac:dyDescent="0.25">
      <c r="B200" s="340"/>
      <c r="C200" s="343"/>
      <c r="D200" s="346"/>
      <c r="E200" s="346"/>
      <c r="I200" s="420" t="s">
        <v>3180</v>
      </c>
      <c r="J200" s="420"/>
      <c r="K200" s="434"/>
      <c r="L200" s="183">
        <v>1200</v>
      </c>
      <c r="M200" s="332" t="str">
        <f t="shared" ca="1" si="5"/>
        <v xml:space="preserve"> </v>
      </c>
    </row>
    <row r="201" spans="2:13" s="332" customFormat="1" ht="18.75" customHeight="1" x14ac:dyDescent="0.25">
      <c r="B201" s="336" t="s">
        <v>2842</v>
      </c>
      <c r="C201" s="343"/>
      <c r="D201" s="346"/>
      <c r="E201" s="346"/>
      <c r="I201" s="420" t="s">
        <v>2871</v>
      </c>
      <c r="J201" s="420"/>
      <c r="K201" s="434"/>
      <c r="L201" s="183">
        <v>5683</v>
      </c>
      <c r="M201" s="332" t="str">
        <f t="shared" ca="1" si="5"/>
        <v xml:space="preserve"> </v>
      </c>
    </row>
    <row r="202" spans="2:13" s="332" customFormat="1" ht="18.75" customHeight="1" x14ac:dyDescent="0.25">
      <c r="B202" s="340" t="s">
        <v>2843</v>
      </c>
      <c r="C202" s="343"/>
      <c r="D202" s="345">
        <f>L240</f>
        <v>0</v>
      </c>
      <c r="E202" s="346"/>
      <c r="I202" s="420" t="s">
        <v>2872</v>
      </c>
      <c r="J202" s="420"/>
      <c r="K202" s="434"/>
      <c r="L202" s="183"/>
      <c r="M202" s="332" t="str">
        <f t="shared" ca="1" si="5"/>
        <v xml:space="preserve"> </v>
      </c>
    </row>
    <row r="203" spans="2:13" s="332" customFormat="1" ht="18.75" customHeight="1" x14ac:dyDescent="0.25">
      <c r="B203" s="340" t="s">
        <v>2844</v>
      </c>
      <c r="C203" s="343"/>
      <c r="D203" s="345"/>
      <c r="E203" s="346"/>
      <c r="I203" s="420" t="s">
        <v>2873</v>
      </c>
      <c r="J203" s="420"/>
      <c r="K203" s="434"/>
      <c r="L203" s="183"/>
      <c r="M203" s="332" t="str">
        <f t="shared" ca="1" si="5"/>
        <v xml:space="preserve"> </v>
      </c>
    </row>
    <row r="204" spans="2:13" s="332" customFormat="1" ht="18.75" customHeight="1" x14ac:dyDescent="0.25">
      <c r="B204" s="340" t="s">
        <v>2846</v>
      </c>
      <c r="C204" s="343" t="s">
        <v>2847</v>
      </c>
      <c r="D204" s="345">
        <f>L246</f>
        <v>0</v>
      </c>
      <c r="E204" s="346"/>
      <c r="I204" s="420"/>
      <c r="J204" s="420"/>
      <c r="K204" s="434"/>
      <c r="L204" s="361">
        <f>L199-L201+L200-L202+L203</f>
        <v>21057</v>
      </c>
      <c r="M204" s="332" t="str">
        <f t="shared" ca="1" si="5"/>
        <v xml:space="preserve"> </v>
      </c>
    </row>
    <row r="205" spans="2:13" s="332" customFormat="1" ht="18.75" customHeight="1" x14ac:dyDescent="0.25">
      <c r="B205" s="340" t="s">
        <v>2849</v>
      </c>
      <c r="C205" s="343" t="s">
        <v>2850</v>
      </c>
      <c r="D205" s="345">
        <f>-L261</f>
        <v>-1500</v>
      </c>
      <c r="E205" s="346"/>
      <c r="I205" s="420" t="s">
        <v>2874</v>
      </c>
      <c r="J205" s="420"/>
      <c r="K205" s="434"/>
      <c r="L205" s="183">
        <v>29408</v>
      </c>
      <c r="M205" s="332" t="str">
        <f t="shared" ca="1" si="5"/>
        <v xml:space="preserve"> </v>
      </c>
    </row>
    <row r="206" spans="2:13" s="332" customFormat="1" ht="18.75" customHeight="1" thickBot="1" x14ac:dyDescent="0.3">
      <c r="B206" s="340" t="s">
        <v>2852</v>
      </c>
      <c r="C206" s="343"/>
      <c r="D206" s="345">
        <f>-L269</f>
        <v>-55</v>
      </c>
      <c r="E206" s="346"/>
      <c r="I206" s="420" t="s">
        <v>2868</v>
      </c>
      <c r="J206" s="420"/>
      <c r="K206" s="434"/>
      <c r="L206" s="220">
        <f>L205-L204</f>
        <v>8351</v>
      </c>
    </row>
    <row r="207" spans="2:13" s="332" customFormat="1" ht="18.75" customHeight="1" thickTop="1" x14ac:dyDescent="0.25">
      <c r="B207" s="340" t="s">
        <v>3181</v>
      </c>
      <c r="C207" s="343"/>
      <c r="D207" s="345"/>
      <c r="E207" s="346"/>
      <c r="I207" s="420"/>
      <c r="J207" s="420"/>
      <c r="K207" s="434"/>
      <c r="L207" s="434"/>
    </row>
    <row r="208" spans="2:13" s="332" customFormat="1" ht="18.75" customHeight="1" x14ac:dyDescent="0.25">
      <c r="B208" s="340" t="s">
        <v>3182</v>
      </c>
      <c r="C208" s="343"/>
      <c r="D208" s="345"/>
      <c r="E208" s="346"/>
      <c r="I208" s="422" t="s">
        <v>2875</v>
      </c>
      <c r="J208" s="350"/>
      <c r="K208" s="437"/>
      <c r="L208" s="437"/>
    </row>
    <row r="209" spans="2:13" s="332" customFormat="1" ht="18.75" customHeight="1" x14ac:dyDescent="0.25">
      <c r="B209" s="340" t="s">
        <v>2854</v>
      </c>
      <c r="C209" s="343" t="s">
        <v>2836</v>
      </c>
      <c r="D209" s="351">
        <f>-L230</f>
        <v>-979</v>
      </c>
      <c r="E209" s="346"/>
      <c r="I209" s="420" t="s">
        <v>1066</v>
      </c>
      <c r="J209" s="350"/>
      <c r="K209" s="437"/>
      <c r="L209" s="371">
        <v>0</v>
      </c>
      <c r="M209" s="332" t="str">
        <f ca="1">IFERROR(_xlfn.FORMULATEXT(L207)," ")</f>
        <v xml:space="preserve"> </v>
      </c>
    </row>
    <row r="210" spans="2:13" s="332" customFormat="1" ht="18.75" customHeight="1" x14ac:dyDescent="0.25">
      <c r="B210" s="356" t="s">
        <v>3183</v>
      </c>
      <c r="C210" s="343" t="s">
        <v>2813</v>
      </c>
      <c r="D210" s="357"/>
      <c r="E210" s="362">
        <f>SUM(D202:D209)</f>
        <v>-2534</v>
      </c>
      <c r="I210" s="420" t="s">
        <v>2876</v>
      </c>
      <c r="J210" s="350"/>
      <c r="K210" s="437"/>
      <c r="L210" s="371"/>
      <c r="M210" s="332" t="str">
        <f ca="1">IFERROR(_xlfn.FORMULATEXT(L208)," ")</f>
        <v xml:space="preserve"> </v>
      </c>
    </row>
    <row r="211" spans="2:13" s="332" customFormat="1" ht="18.75" customHeight="1" thickBot="1" x14ac:dyDescent="0.3">
      <c r="B211" s="340"/>
      <c r="C211" s="343"/>
      <c r="D211" s="346"/>
      <c r="E211" s="357"/>
      <c r="I211" s="420" t="s">
        <v>2875</v>
      </c>
      <c r="J211" s="350"/>
      <c r="K211" s="437"/>
      <c r="L211" s="220">
        <f>L209-L210</f>
        <v>0</v>
      </c>
      <c r="M211" s="332" t="str">
        <f ca="1">IFERROR(_xlfn.FORMULATEXT(L209)," ")</f>
        <v xml:space="preserve"> </v>
      </c>
    </row>
    <row r="212" spans="2:13" s="332" customFormat="1" ht="18.75" customHeight="1" thickTop="1" x14ac:dyDescent="0.25">
      <c r="B212" s="336" t="s">
        <v>2857</v>
      </c>
      <c r="C212" s="343" t="s">
        <v>2858</v>
      </c>
      <c r="D212" s="346"/>
      <c r="E212" s="358">
        <f>SUM(E188,E199,E210)</f>
        <v>742</v>
      </c>
      <c r="I212" s="350"/>
      <c r="J212" s="350"/>
      <c r="K212" s="437"/>
      <c r="L212" s="437"/>
      <c r="M212" s="332" t="str">
        <f ca="1">IFERROR(_xlfn.FORMULATEXT(L210)," ")</f>
        <v xml:space="preserve"> </v>
      </c>
    </row>
    <row r="213" spans="2:13" s="332" customFormat="1" ht="18.75" customHeight="1" x14ac:dyDescent="0.25">
      <c r="B213" s="363" t="s">
        <v>2859</v>
      </c>
      <c r="C213" s="343" t="s">
        <v>2860</v>
      </c>
      <c r="D213" s="346"/>
      <c r="E213" s="351">
        <f>L166</f>
        <v>22798</v>
      </c>
      <c r="I213" s="350"/>
      <c r="J213" s="350"/>
      <c r="K213" s="437"/>
      <c r="L213" s="437"/>
    </row>
    <row r="214" spans="2:13" s="332" customFormat="1" ht="18.75" customHeight="1" thickBot="1" x14ac:dyDescent="0.3">
      <c r="B214" s="336" t="s">
        <v>2861</v>
      </c>
      <c r="C214" s="343" t="s">
        <v>2860</v>
      </c>
      <c r="D214" s="346"/>
      <c r="E214" s="364">
        <f>K166</f>
        <v>21082</v>
      </c>
      <c r="I214" s="422" t="s">
        <v>2835</v>
      </c>
      <c r="J214" s="420"/>
      <c r="K214" s="434"/>
      <c r="L214" s="434"/>
      <c r="M214" s="332" t="str">
        <f t="shared" ref="M214:M220" ca="1" si="6">IFERROR(_xlfn.FORMULATEXT(L212)," ")</f>
        <v xml:space="preserve"> </v>
      </c>
    </row>
    <row r="215" spans="2:13" s="332" customFormat="1" ht="18.75" customHeight="1" x14ac:dyDescent="0.25">
      <c r="C215" s="365"/>
      <c r="D215" s="366"/>
      <c r="E215" s="366"/>
      <c r="I215" s="420" t="s">
        <v>2877</v>
      </c>
      <c r="J215" s="420"/>
      <c r="K215" s="434"/>
      <c r="L215" s="166">
        <v>0</v>
      </c>
      <c r="M215" s="332" t="str">
        <f t="shared" ca="1" si="6"/>
        <v xml:space="preserve"> </v>
      </c>
    </row>
    <row r="216" spans="2:13" s="332" customFormat="1" ht="18.75" customHeight="1" x14ac:dyDescent="0.25">
      <c r="C216" s="343" t="s">
        <v>2864</v>
      </c>
      <c r="D216" s="374">
        <f>E214-(SUM(E212:E213))</f>
        <v>-2458</v>
      </c>
      <c r="E216" s="375"/>
      <c r="I216" s="420" t="s">
        <v>2878</v>
      </c>
      <c r="J216" s="420"/>
      <c r="K216" s="434"/>
      <c r="L216" s="183">
        <v>654</v>
      </c>
      <c r="M216" s="332" t="str">
        <f t="shared" ca="1" si="6"/>
        <v xml:space="preserve"> </v>
      </c>
    </row>
    <row r="217" spans="2:13" s="332" customFormat="1" ht="18.75" customHeight="1" x14ac:dyDescent="0.25">
      <c r="C217" s="365"/>
      <c r="D217" s="366"/>
      <c r="E217" s="366"/>
      <c r="I217" s="420" t="s">
        <v>2879</v>
      </c>
      <c r="J217" s="420"/>
      <c r="K217" s="434"/>
      <c r="L217" s="183">
        <v>50</v>
      </c>
      <c r="M217" s="332" t="str">
        <f t="shared" ca="1" si="6"/>
        <v xml:space="preserve"> </v>
      </c>
    </row>
    <row r="218" spans="2:13" s="332" customFormat="1" ht="18.75" customHeight="1" x14ac:dyDescent="0.25">
      <c r="C218" s="365"/>
      <c r="D218" s="366"/>
      <c r="E218" s="366"/>
      <c r="I218" s="420" t="s">
        <v>2880</v>
      </c>
      <c r="J218" s="420"/>
      <c r="K218" s="434"/>
      <c r="L218" s="183">
        <v>100</v>
      </c>
      <c r="M218" s="332" t="str">
        <f t="shared" ca="1" si="6"/>
        <v xml:space="preserve"> </v>
      </c>
    </row>
    <row r="219" spans="2:13" s="332" customFormat="1" ht="18.75" customHeight="1" x14ac:dyDescent="0.25">
      <c r="C219" s="365"/>
      <c r="D219" s="366"/>
      <c r="E219" s="366"/>
      <c r="I219" s="420"/>
      <c r="J219" s="420"/>
      <c r="K219" s="434"/>
      <c r="L219" s="370">
        <f>L215+L216+L218-L217</f>
        <v>704</v>
      </c>
      <c r="M219" s="332" t="str">
        <f t="shared" ca="1" si="6"/>
        <v xml:space="preserve"> </v>
      </c>
    </row>
    <row r="220" spans="2:13" s="332" customFormat="1" ht="18.75" customHeight="1" x14ac:dyDescent="0.25">
      <c r="C220" s="365"/>
      <c r="D220" s="366"/>
      <c r="E220" s="366"/>
      <c r="I220" s="420" t="s">
        <v>2881</v>
      </c>
      <c r="J220" s="420"/>
      <c r="K220" s="434"/>
      <c r="L220" s="166"/>
      <c r="M220" s="332" t="str">
        <f t="shared" ca="1" si="6"/>
        <v xml:space="preserve"> </v>
      </c>
    </row>
    <row r="221" spans="2:13" s="332" customFormat="1" ht="18.75" customHeight="1" thickBot="1" x14ac:dyDescent="0.3">
      <c r="C221" s="365"/>
      <c r="D221" s="366"/>
      <c r="E221" s="366"/>
      <c r="I221" s="420" t="s">
        <v>2835</v>
      </c>
      <c r="J221" s="420"/>
      <c r="K221" s="434"/>
      <c r="L221" s="220">
        <f>L219-L220</f>
        <v>704</v>
      </c>
    </row>
    <row r="222" spans="2:13" s="332" customFormat="1" ht="18.75" customHeight="1" thickTop="1" x14ac:dyDescent="0.25">
      <c r="C222" s="365"/>
      <c r="D222" s="366"/>
      <c r="E222" s="366"/>
      <c r="I222" s="420"/>
      <c r="J222" s="420"/>
      <c r="K222" s="434"/>
      <c r="L222" s="434"/>
      <c r="M222" s="332" t="str">
        <f ca="1">IFERROR(_xlfn.FORMULATEXT(L220)," ")</f>
        <v xml:space="preserve"> </v>
      </c>
    </row>
    <row r="223" spans="2:13" s="332" customFormat="1" ht="18.75" customHeight="1" x14ac:dyDescent="0.25">
      <c r="C223" s="365"/>
      <c r="D223" s="366"/>
      <c r="E223" s="366"/>
      <c r="I223" s="422" t="s">
        <v>2854</v>
      </c>
      <c r="J223" s="420"/>
      <c r="K223" s="434"/>
      <c r="L223" s="434"/>
    </row>
    <row r="224" spans="2:13" s="332" customFormat="1" ht="18.75" customHeight="1" x14ac:dyDescent="0.25">
      <c r="C224" s="365"/>
      <c r="D224" s="366"/>
      <c r="E224" s="366"/>
      <c r="I224" s="420" t="s">
        <v>2882</v>
      </c>
      <c r="J224" s="420"/>
      <c r="K224" s="434"/>
      <c r="L224" s="174">
        <v>61780</v>
      </c>
      <c r="M224" s="332" t="str">
        <f ca="1">IFERROR(_xlfn.FORMULATEXT(L222)," ")</f>
        <v xml:space="preserve"> </v>
      </c>
    </row>
    <row r="225" spans="3:13" s="332" customFormat="1" ht="18.75" customHeight="1" x14ac:dyDescent="0.25">
      <c r="C225" s="365"/>
      <c r="D225" s="366"/>
      <c r="E225" s="366"/>
      <c r="I225" s="420" t="s">
        <v>1414</v>
      </c>
      <c r="J225" s="420"/>
      <c r="K225" s="434"/>
      <c r="L225" s="174">
        <v>10482</v>
      </c>
      <c r="M225" s="332" t="str">
        <f ca="1">IFERROR(_xlfn.FORMULATEXT(L223)," ")</f>
        <v xml:space="preserve"> </v>
      </c>
    </row>
    <row r="226" spans="3:13" s="332" customFormat="1" ht="18.75" customHeight="1" x14ac:dyDescent="0.25">
      <c r="C226" s="365"/>
      <c r="D226" s="366"/>
      <c r="E226" s="366"/>
      <c r="I226" s="420" t="s">
        <v>2888</v>
      </c>
      <c r="J226" s="420"/>
      <c r="K226" s="434"/>
      <c r="L226" s="369"/>
      <c r="M226" s="332" t="str">
        <f ca="1">IFERROR(_xlfn.FORMULATEXT(L224)," ")</f>
        <v xml:space="preserve"> </v>
      </c>
    </row>
    <row r="227" spans="3:13" s="332" customFormat="1" ht="18.75" customHeight="1" x14ac:dyDescent="0.25">
      <c r="C227" s="365"/>
      <c r="D227" s="366"/>
      <c r="E227" s="366"/>
      <c r="I227" s="420" t="s">
        <v>2883</v>
      </c>
      <c r="J227" s="420"/>
      <c r="K227" s="434"/>
      <c r="L227" s="174">
        <v>500</v>
      </c>
      <c r="M227" s="332" t="str">
        <f ca="1">IFERROR(_xlfn.FORMULATEXT(L225)," ")</f>
        <v xml:space="preserve"> </v>
      </c>
    </row>
    <row r="228" spans="3:13" s="332" customFormat="1" ht="18.75" customHeight="1" x14ac:dyDescent="0.25">
      <c r="C228" s="365"/>
      <c r="D228" s="366"/>
      <c r="E228" s="366"/>
      <c r="I228" s="420"/>
      <c r="J228" s="420"/>
      <c r="K228" s="434"/>
      <c r="L228" s="361">
        <f>L224+L225+L227-L226</f>
        <v>72762</v>
      </c>
      <c r="M228" s="332" t="str">
        <f ca="1">IFERROR(_xlfn.FORMULATEXT(L227)," ")</f>
        <v xml:space="preserve"> </v>
      </c>
    </row>
    <row r="229" spans="3:13" s="332" customFormat="1" ht="18.75" customHeight="1" x14ac:dyDescent="0.25">
      <c r="C229" s="365"/>
      <c r="D229" s="366"/>
      <c r="E229" s="366"/>
      <c r="I229" s="420" t="s">
        <v>2885</v>
      </c>
      <c r="J229" s="420"/>
      <c r="K229" s="434"/>
      <c r="L229" s="174">
        <v>71783</v>
      </c>
    </row>
    <row r="230" spans="3:13" s="332" customFormat="1" ht="18.75" customHeight="1" thickBot="1" x14ac:dyDescent="0.3">
      <c r="C230" s="365"/>
      <c r="D230" s="367"/>
      <c r="E230" s="367"/>
      <c r="I230" s="420" t="s">
        <v>2854</v>
      </c>
      <c r="J230" s="420"/>
      <c r="K230" s="434"/>
      <c r="L230" s="285">
        <f>-(L229-L228)</f>
        <v>979</v>
      </c>
      <c r="M230" s="332" t="str">
        <f ca="1">IFERROR(_xlfn.FORMULATEXT(L229)," ")</f>
        <v xml:space="preserve"> </v>
      </c>
    </row>
    <row r="231" spans="3:13" s="332" customFormat="1" ht="18.75" customHeight="1" thickTop="1" x14ac:dyDescent="0.25">
      <c r="C231" s="365"/>
      <c r="D231" s="367"/>
      <c r="E231" s="367"/>
      <c r="I231" s="420"/>
      <c r="J231" s="420"/>
      <c r="K231" s="420"/>
      <c r="L231" s="164"/>
    </row>
    <row r="232" spans="3:13" s="332" customFormat="1" ht="18.75" customHeight="1" x14ac:dyDescent="0.25">
      <c r="C232" s="365"/>
      <c r="D232" s="367"/>
      <c r="E232" s="367"/>
      <c r="I232" s="422" t="s">
        <v>2838</v>
      </c>
      <c r="J232" s="420"/>
      <c r="K232" s="420"/>
      <c r="L232" s="166"/>
      <c r="M232" s="332" t="str">
        <f ca="1">IFERROR(_xlfn.FORMULATEXT(#REF!)," ")</f>
        <v xml:space="preserve"> </v>
      </c>
    </row>
    <row r="233" spans="3:13" s="332" customFormat="1" ht="18.75" customHeight="1" x14ac:dyDescent="0.25">
      <c r="C233" s="365"/>
      <c r="D233" s="367"/>
      <c r="E233" s="367"/>
      <c r="I233" s="420"/>
      <c r="J233" s="420"/>
      <c r="K233" s="420"/>
      <c r="L233" s="434"/>
      <c r="M233" s="332" t="str">
        <f ca="1">IFERROR(_xlfn.FORMULATEXT(L231)," ")</f>
        <v xml:space="preserve"> </v>
      </c>
    </row>
    <row r="234" spans="3:13" s="332" customFormat="1" ht="15" x14ac:dyDescent="0.25">
      <c r="C234" s="365"/>
      <c r="D234" s="367"/>
      <c r="E234" s="367"/>
      <c r="I234" s="420"/>
      <c r="J234" s="420"/>
      <c r="K234" s="420"/>
      <c r="L234" s="434"/>
      <c r="M234" s="332" t="str">
        <f ca="1">IFERROR(_xlfn.FORMULATEXT(L232)," ")</f>
        <v xml:space="preserve"> </v>
      </c>
    </row>
    <row r="235" spans="3:13" s="332" customFormat="1" ht="15" x14ac:dyDescent="0.25">
      <c r="C235" s="365"/>
      <c r="D235" s="367"/>
      <c r="E235" s="367"/>
      <c r="I235" s="422" t="s">
        <v>2886</v>
      </c>
      <c r="J235" s="350"/>
      <c r="K235" s="350"/>
      <c r="L235" s="350"/>
      <c r="M235" s="332" t="str">
        <f t="shared" ref="M235:M239" ca="1" si="7">IFERROR(_xlfn.FORMULATEXT(L235)," ")</f>
        <v xml:space="preserve"> </v>
      </c>
    </row>
    <row r="236" spans="3:13" s="332" customFormat="1" ht="15" x14ac:dyDescent="0.25">
      <c r="C236" s="365"/>
      <c r="D236" s="367"/>
      <c r="E236" s="367"/>
      <c r="I236" s="420" t="s">
        <v>2887</v>
      </c>
      <c r="J236" s="350"/>
      <c r="K236" s="350"/>
      <c r="L236" s="438"/>
      <c r="M236" s="439" t="str">
        <f t="shared" ca="1" si="7"/>
        <v xml:space="preserve"> </v>
      </c>
    </row>
    <row r="237" spans="3:13" s="332" customFormat="1" ht="15" x14ac:dyDescent="0.25">
      <c r="C237" s="365"/>
      <c r="D237" s="367"/>
      <c r="E237" s="367"/>
      <c r="I237" s="420" t="s">
        <v>2888</v>
      </c>
      <c r="J237" s="350"/>
      <c r="K237" s="350"/>
      <c r="L237" s="438"/>
      <c r="M237" s="439" t="str">
        <f t="shared" ca="1" si="7"/>
        <v xml:space="preserve"> </v>
      </c>
    </row>
    <row r="238" spans="3:13" s="332" customFormat="1" ht="15" x14ac:dyDescent="0.25">
      <c r="C238" s="365"/>
      <c r="D238" s="367"/>
      <c r="E238" s="367"/>
      <c r="I238" s="420"/>
      <c r="J238" s="350"/>
      <c r="K238" s="350"/>
      <c r="L238" s="440">
        <f>SUM(L236:L237)</f>
        <v>0</v>
      </c>
      <c r="M238" s="439"/>
    </row>
    <row r="239" spans="3:13" s="332" customFormat="1" ht="15" x14ac:dyDescent="0.25">
      <c r="C239" s="365"/>
      <c r="D239" s="367"/>
      <c r="E239" s="367"/>
      <c r="I239" s="420" t="s">
        <v>2889</v>
      </c>
      <c r="J239" s="350"/>
      <c r="K239" s="350"/>
      <c r="L239" s="193"/>
      <c r="M239" s="439" t="str">
        <f t="shared" ca="1" si="7"/>
        <v xml:space="preserve"> </v>
      </c>
    </row>
    <row r="240" spans="3:13" s="332" customFormat="1" ht="15.75" thickBot="1" x14ac:dyDescent="0.3">
      <c r="C240" s="365"/>
      <c r="D240" s="367"/>
      <c r="E240" s="367"/>
      <c r="I240" s="420" t="s">
        <v>2886</v>
      </c>
      <c r="J240" s="350"/>
      <c r="K240" s="350"/>
      <c r="L240" s="127">
        <f>L239-L238</f>
        <v>0</v>
      </c>
    </row>
    <row r="241" spans="3:14" s="332" customFormat="1" ht="15.75" thickTop="1" x14ac:dyDescent="0.25">
      <c r="C241" s="365"/>
      <c r="D241" s="367"/>
      <c r="E241" s="367"/>
      <c r="I241" s="350"/>
      <c r="J241" s="350"/>
      <c r="K241" s="350"/>
      <c r="L241" s="437"/>
      <c r="M241" s="439" t="str">
        <f ca="1">IFERROR(_xlfn.FORMULATEXT(#REF!)," ")</f>
        <v xml:space="preserve"> </v>
      </c>
    </row>
    <row r="242" spans="3:14" s="332" customFormat="1" ht="15" x14ac:dyDescent="0.25">
      <c r="C242" s="365"/>
      <c r="D242" s="367"/>
      <c r="E242" s="367"/>
      <c r="I242" s="422" t="s">
        <v>2890</v>
      </c>
      <c r="J242" s="350"/>
      <c r="K242" s="350"/>
      <c r="L242" s="437"/>
      <c r="M242" s="439"/>
    </row>
    <row r="243" spans="3:14" s="332" customFormat="1" ht="15" x14ac:dyDescent="0.25">
      <c r="C243" s="365"/>
      <c r="D243" s="367"/>
      <c r="E243" s="367"/>
      <c r="I243" s="420" t="s">
        <v>2891</v>
      </c>
      <c r="J243" s="350"/>
      <c r="K243" s="350"/>
      <c r="L243" s="371"/>
      <c r="M243" s="439" t="str">
        <f ca="1">IFERROR(_xlfn.FORMULATEXT(#REF!)," ")</f>
        <v xml:space="preserve"> </v>
      </c>
    </row>
    <row r="244" spans="3:14" s="332" customFormat="1" ht="15" x14ac:dyDescent="0.25">
      <c r="C244" s="365"/>
      <c r="D244" s="367"/>
      <c r="E244" s="367"/>
      <c r="I244" s="420" t="s">
        <v>3184</v>
      </c>
      <c r="J244" s="420"/>
      <c r="K244" s="420"/>
      <c r="L244" s="371"/>
    </row>
    <row r="245" spans="3:14" s="332" customFormat="1" ht="15" x14ac:dyDescent="0.25">
      <c r="C245" s="365"/>
      <c r="D245" s="367"/>
      <c r="E245" s="367"/>
      <c r="I245" s="420" t="s">
        <v>2892</v>
      </c>
      <c r="J245" s="350"/>
      <c r="K245" s="350"/>
      <c r="L245" s="371"/>
      <c r="M245" s="332" t="str">
        <f ca="1">IFERROR(_xlfn.FORMULATEXT(L242)," ")</f>
        <v xml:space="preserve"> </v>
      </c>
    </row>
    <row r="246" spans="3:14" s="332" customFormat="1" ht="15.75" thickBot="1" x14ac:dyDescent="0.3">
      <c r="C246" s="365"/>
      <c r="D246" s="367"/>
      <c r="E246" s="367"/>
      <c r="I246" s="420" t="s">
        <v>2893</v>
      </c>
      <c r="J246" s="350"/>
      <c r="K246" s="350"/>
      <c r="L246" s="220">
        <f>L245-L243+L244</f>
        <v>0</v>
      </c>
    </row>
    <row r="247" spans="3:14" s="332" customFormat="1" ht="15.75" thickTop="1" x14ac:dyDescent="0.25">
      <c r="C247" s="365"/>
      <c r="D247" s="367"/>
      <c r="E247" s="367"/>
      <c r="I247" s="350"/>
      <c r="J247" s="350"/>
      <c r="K247" s="350"/>
      <c r="L247" s="437"/>
      <c r="M247" s="332" t="str">
        <f ca="1">IFERROR(_xlfn.FORMULATEXT(L243)," ")</f>
        <v xml:space="preserve"> </v>
      </c>
    </row>
    <row r="248" spans="3:14" s="332" customFormat="1" ht="15" x14ac:dyDescent="0.25">
      <c r="C248" s="365"/>
      <c r="D248" s="367"/>
      <c r="E248" s="367"/>
      <c r="I248" s="422" t="s">
        <v>2894</v>
      </c>
      <c r="J248" s="350"/>
      <c r="K248" s="350"/>
      <c r="L248" s="437"/>
      <c r="M248" s="332" t="str">
        <f ca="1">IFERROR(_xlfn.FORMULATEXT(L245)," ")</f>
        <v xml:space="preserve"> </v>
      </c>
    </row>
    <row r="249" spans="3:14" s="332" customFormat="1" ht="60" x14ac:dyDescent="0.25">
      <c r="C249" s="365"/>
      <c r="D249" s="367"/>
      <c r="E249" s="367"/>
      <c r="I249" s="350" t="s">
        <v>2895</v>
      </c>
      <c r="J249" s="350"/>
      <c r="K249" s="350"/>
      <c r="L249" s="369"/>
    </row>
    <row r="250" spans="3:14" s="332" customFormat="1" ht="45" x14ac:dyDescent="0.25">
      <c r="C250" s="365"/>
      <c r="D250" s="367"/>
      <c r="E250" s="367"/>
      <c r="I250" s="350" t="s">
        <v>2897</v>
      </c>
      <c r="J250" s="350"/>
      <c r="K250" s="350"/>
      <c r="L250" s="369"/>
      <c r="M250" s="332" t="str">
        <f ca="1">IFERROR(_xlfn.FORMULATEXT(L247)," ")</f>
        <v xml:space="preserve"> </v>
      </c>
    </row>
    <row r="251" spans="3:14" s="332" customFormat="1" ht="15" x14ac:dyDescent="0.25">
      <c r="C251" s="365"/>
      <c r="D251" s="367"/>
      <c r="E251" s="367"/>
      <c r="I251" s="350"/>
      <c r="J251" s="350"/>
      <c r="K251" s="350"/>
      <c r="L251" s="372">
        <f>SUM(L249:L250)</f>
        <v>0</v>
      </c>
      <c r="M251" s="332" t="str">
        <f ca="1">IFERROR(_xlfn.FORMULATEXT(L248)," ")</f>
        <v xml:space="preserve"> </v>
      </c>
    </row>
    <row r="252" spans="3:14" s="332" customFormat="1" ht="45" x14ac:dyDescent="0.25">
      <c r="C252" s="365"/>
      <c r="D252" s="367"/>
      <c r="E252" s="367"/>
      <c r="I252" s="350" t="s">
        <v>2898</v>
      </c>
      <c r="J252" s="350"/>
      <c r="K252" s="350"/>
      <c r="L252" s="369"/>
      <c r="M252" s="332" t="str">
        <f ca="1">IFERROR(_xlfn.FORMULATEXT(#REF!)," ")</f>
        <v xml:space="preserve"> </v>
      </c>
    </row>
    <row r="253" spans="3:14" s="332" customFormat="1" ht="60.75" thickBot="1" x14ac:dyDescent="0.3">
      <c r="C253" s="365"/>
      <c r="D253" s="367"/>
      <c r="E253" s="367"/>
      <c r="I253" s="350" t="s">
        <v>2894</v>
      </c>
      <c r="J253" s="350"/>
      <c r="K253" s="350"/>
      <c r="L253" s="373">
        <f>L252-L251</f>
        <v>0</v>
      </c>
      <c r="M253" s="332" t="str">
        <f ca="1">IFERROR(_xlfn.FORMULATEXT(L249)," ")</f>
        <v xml:space="preserve"> </v>
      </c>
    </row>
    <row r="254" spans="3:14" s="332" customFormat="1" ht="15.75" thickTop="1" x14ac:dyDescent="0.25">
      <c r="C254" s="365"/>
      <c r="D254" s="367"/>
      <c r="E254" s="367"/>
      <c r="I254" s="350"/>
      <c r="J254" s="350"/>
      <c r="K254" s="350"/>
      <c r="L254" s="368"/>
    </row>
    <row r="255" spans="3:14" s="332" customFormat="1" ht="15" x14ac:dyDescent="0.25">
      <c r="C255" s="365"/>
      <c r="D255" s="367"/>
      <c r="E255" s="367"/>
      <c r="I255" s="350"/>
      <c r="J255" s="350"/>
      <c r="K255" s="350"/>
      <c r="L255" s="368"/>
      <c r="N255" s="441" t="s">
        <v>3185</v>
      </c>
    </row>
    <row r="256" spans="3:14" s="332" customFormat="1" ht="15" x14ac:dyDescent="0.25">
      <c r="C256" s="365"/>
      <c r="D256" s="367"/>
      <c r="E256" s="367"/>
      <c r="I256" s="422" t="s">
        <v>2899</v>
      </c>
      <c r="J256" s="350"/>
      <c r="K256" s="350"/>
      <c r="L256" s="437"/>
      <c r="M256" s="332" t="str">
        <f ca="1">IFERROR(_xlfn.FORMULATEXT(L252)," ")</f>
        <v xml:space="preserve"> </v>
      </c>
    </row>
    <row r="257" spans="3:14" s="332" customFormat="1" ht="45" x14ac:dyDescent="0.25">
      <c r="C257" s="365"/>
      <c r="D257" s="367"/>
      <c r="E257" s="367"/>
      <c r="I257" s="350" t="s">
        <v>2900</v>
      </c>
      <c r="J257" s="350"/>
      <c r="K257" s="350"/>
      <c r="L257" s="183"/>
    </row>
    <row r="258" spans="3:14" s="332" customFormat="1" ht="90" x14ac:dyDescent="0.25">
      <c r="C258" s="365"/>
      <c r="D258" s="367"/>
      <c r="E258" s="367"/>
      <c r="I258" s="350" t="s">
        <v>3186</v>
      </c>
      <c r="J258" s="350"/>
      <c r="K258" s="350"/>
      <c r="L258" s="371">
        <v>1500</v>
      </c>
      <c r="M258" s="332" t="str">
        <f ca="1">IFERROR(_xlfn.FORMULATEXT(#REF!)," ")</f>
        <v xml:space="preserve"> </v>
      </c>
    </row>
    <row r="259" spans="3:14" s="332" customFormat="1" ht="15" x14ac:dyDescent="0.25">
      <c r="C259" s="365"/>
      <c r="D259" s="367"/>
      <c r="E259" s="367"/>
      <c r="I259" s="350"/>
      <c r="J259" s="350"/>
      <c r="K259" s="350"/>
      <c r="L259" s="442">
        <f>SUM(L257:L258)</f>
        <v>1500</v>
      </c>
      <c r="M259" s="332" t="str">
        <f ca="1">IFERROR(_xlfn.FORMULATEXT(#REF!)," ")</f>
        <v xml:space="preserve"> </v>
      </c>
      <c r="N259" s="441" t="s">
        <v>3187</v>
      </c>
    </row>
    <row r="260" spans="3:14" s="332" customFormat="1" ht="45" x14ac:dyDescent="0.25">
      <c r="C260" s="365"/>
      <c r="D260" s="367"/>
      <c r="E260" s="367"/>
      <c r="I260" s="350" t="s">
        <v>2901</v>
      </c>
      <c r="J260" s="350"/>
      <c r="K260" s="350"/>
      <c r="L260" s="183"/>
      <c r="M260" s="332" t="str">
        <f ca="1">IFERROR(_xlfn.FORMULATEXT(L256)," ")</f>
        <v xml:space="preserve"> </v>
      </c>
      <c r="N260" s="441" t="s">
        <v>3188</v>
      </c>
    </row>
    <row r="261" spans="3:14" s="332" customFormat="1" ht="90.75" thickBot="1" x14ac:dyDescent="0.3">
      <c r="C261" s="365"/>
      <c r="D261" s="367"/>
      <c r="E261" s="367"/>
      <c r="I261" s="350" t="s">
        <v>2899</v>
      </c>
      <c r="J261" s="350"/>
      <c r="K261" s="350"/>
      <c r="L261" s="443">
        <f>L259-L260</f>
        <v>1500</v>
      </c>
      <c r="M261" s="332" t="str">
        <f ca="1">IFERROR(_xlfn.FORMULATEXT(L257)," ")</f>
        <v xml:space="preserve"> </v>
      </c>
    </row>
    <row r="262" spans="3:14" s="332" customFormat="1" ht="15.75" thickTop="1" x14ac:dyDescent="0.25">
      <c r="C262" s="365"/>
      <c r="D262" s="367"/>
      <c r="E262" s="367"/>
      <c r="I262" s="350"/>
      <c r="J262" s="350"/>
      <c r="K262" s="350"/>
      <c r="L262" s="437"/>
      <c r="M262" s="332" t="str">
        <f ca="1">IFERROR(_xlfn.FORMULATEXT(L258)," ")</f>
        <v xml:space="preserve"> </v>
      </c>
    </row>
    <row r="263" spans="3:14" s="332" customFormat="1" ht="15" x14ac:dyDescent="0.25">
      <c r="C263" s="365"/>
      <c r="D263" s="367"/>
      <c r="E263" s="367"/>
      <c r="I263" s="350"/>
      <c r="J263" s="350"/>
      <c r="K263" s="350"/>
      <c r="L263" s="437"/>
    </row>
    <row r="264" spans="3:14" s="332" customFormat="1" ht="15" x14ac:dyDescent="0.25">
      <c r="C264" s="365"/>
      <c r="D264" s="367"/>
      <c r="E264" s="367"/>
      <c r="I264" s="422" t="s">
        <v>2906</v>
      </c>
      <c r="J264" s="350"/>
      <c r="K264" s="350"/>
      <c r="L264" s="437"/>
      <c r="M264" s="332" t="str">
        <f ca="1">IFERROR(_xlfn.FORMULATEXT(L260)," ")</f>
        <v xml:space="preserve"> </v>
      </c>
    </row>
    <row r="265" spans="3:14" s="332" customFormat="1" ht="45" x14ac:dyDescent="0.25">
      <c r="C265" s="365"/>
      <c r="D265" s="367"/>
      <c r="E265" s="367"/>
      <c r="I265" s="350" t="s">
        <v>2907</v>
      </c>
      <c r="J265" s="350"/>
      <c r="K265" s="350"/>
      <c r="L265" s="371">
        <v>0</v>
      </c>
    </row>
    <row r="266" spans="3:14" s="332" customFormat="1" ht="30" x14ac:dyDescent="0.25">
      <c r="C266" s="365"/>
      <c r="D266" s="367"/>
      <c r="E266" s="367"/>
      <c r="I266" s="350" t="s">
        <v>2908</v>
      </c>
      <c r="J266" s="350"/>
      <c r="K266" s="350"/>
      <c r="L266" s="371">
        <v>55</v>
      </c>
    </row>
    <row r="267" spans="3:14" s="332" customFormat="1" ht="15" x14ac:dyDescent="0.25">
      <c r="C267" s="365"/>
      <c r="D267" s="367"/>
      <c r="E267" s="367"/>
      <c r="I267" s="350"/>
      <c r="J267" s="350"/>
      <c r="K267" s="350"/>
      <c r="L267" s="442">
        <f>L265+L266</f>
        <v>55</v>
      </c>
    </row>
    <row r="268" spans="3:14" s="332" customFormat="1" ht="45" x14ac:dyDescent="0.25">
      <c r="C268" s="365"/>
      <c r="D268" s="367"/>
      <c r="E268" s="367"/>
      <c r="I268" s="350" t="s">
        <v>2909</v>
      </c>
      <c r="J268" s="350"/>
      <c r="K268" s="350"/>
      <c r="L268" s="371">
        <v>0</v>
      </c>
    </row>
    <row r="269" spans="3:14" s="332" customFormat="1" ht="75.75" thickBot="1" x14ac:dyDescent="0.3">
      <c r="C269" s="365"/>
      <c r="D269" s="367"/>
      <c r="E269" s="367"/>
      <c r="I269" s="350" t="s">
        <v>2852</v>
      </c>
      <c r="J269" s="350"/>
      <c r="K269" s="350"/>
      <c r="L269" s="443">
        <f>L267-L268</f>
        <v>55</v>
      </c>
    </row>
    <row r="270" spans="3:14" s="332" customFormat="1" ht="15.75" thickTop="1" x14ac:dyDescent="0.25">
      <c r="C270" s="365"/>
      <c r="D270" s="367"/>
      <c r="E270" s="367"/>
      <c r="I270" s="350"/>
      <c r="J270" s="350"/>
      <c r="K270" s="350"/>
      <c r="L270" s="437"/>
    </row>
    <row r="271" spans="3:14" s="332" customFormat="1" ht="15" x14ac:dyDescent="0.25">
      <c r="C271" s="365"/>
      <c r="D271" s="367"/>
      <c r="E271" s="367"/>
      <c r="I271" s="422" t="s">
        <v>3189</v>
      </c>
      <c r="J271" s="420"/>
      <c r="K271" s="420"/>
      <c r="L271" s="434"/>
    </row>
    <row r="272" spans="3:14" s="332" customFormat="1" ht="15" x14ac:dyDescent="0.25">
      <c r="C272" s="365"/>
      <c r="D272" s="367"/>
      <c r="E272" s="367"/>
      <c r="I272" s="420" t="s">
        <v>2869</v>
      </c>
      <c r="J272" s="420"/>
      <c r="K272" s="420"/>
      <c r="L272" s="183"/>
    </row>
    <row r="273" spans="3:12" s="332" customFormat="1" ht="15" x14ac:dyDescent="0.25">
      <c r="C273" s="365"/>
      <c r="D273" s="367"/>
      <c r="E273" s="367"/>
      <c r="I273" s="420" t="s">
        <v>2870</v>
      </c>
      <c r="J273" s="420"/>
      <c r="K273" s="420"/>
      <c r="L273" s="183"/>
    </row>
    <row r="274" spans="3:12" s="332" customFormat="1" ht="15" x14ac:dyDescent="0.25">
      <c r="C274" s="365"/>
      <c r="D274" s="367"/>
      <c r="E274" s="367"/>
      <c r="I274" s="420" t="s">
        <v>3190</v>
      </c>
      <c r="J274" s="420"/>
      <c r="K274" s="420"/>
      <c r="L274" s="183"/>
    </row>
    <row r="275" spans="3:12" s="332" customFormat="1" ht="15" x14ac:dyDescent="0.25">
      <c r="C275" s="365"/>
      <c r="D275" s="367"/>
      <c r="E275" s="367"/>
      <c r="I275" s="420" t="s">
        <v>2872</v>
      </c>
      <c r="J275" s="420"/>
      <c r="K275" s="420"/>
      <c r="L275" s="183"/>
    </row>
    <row r="276" spans="3:12" s="332" customFormat="1" ht="15" x14ac:dyDescent="0.25">
      <c r="C276" s="365"/>
      <c r="D276" s="367"/>
      <c r="E276" s="367"/>
      <c r="I276" s="420"/>
      <c r="J276" s="420"/>
      <c r="K276" s="420"/>
      <c r="L276" s="361">
        <f>L272-L274+L273-L275</f>
        <v>0</v>
      </c>
    </row>
    <row r="277" spans="3:12" s="332" customFormat="1" ht="15" x14ac:dyDescent="0.25">
      <c r="C277" s="365"/>
      <c r="D277" s="367"/>
      <c r="E277" s="367"/>
      <c r="I277" s="420" t="s">
        <v>2874</v>
      </c>
      <c r="J277" s="420"/>
      <c r="K277" s="420"/>
      <c r="L277" s="183">
        <f>'[1]Adjustments for cash flow'!L16</f>
        <v>0</v>
      </c>
    </row>
    <row r="278" spans="3:12" s="332" customFormat="1" ht="15.75" thickBot="1" x14ac:dyDescent="0.3">
      <c r="C278" s="365"/>
      <c r="D278" s="367"/>
      <c r="E278" s="367"/>
      <c r="I278" s="420" t="s">
        <v>2868</v>
      </c>
      <c r="J278" s="420"/>
      <c r="K278" s="420"/>
      <c r="L278" s="220">
        <f>L277-L276</f>
        <v>0</v>
      </c>
    </row>
    <row r="279" spans="3:12" ht="12.75" thickTop="1" x14ac:dyDescent="0.2"/>
  </sheetData>
  <mergeCells count="1">
    <mergeCell ref="C162:C164"/>
  </mergeCells>
  <conditionalFormatting sqref="D216">
    <cfRule type="cellIs" dxfId="1" priority="1" operator="lessThan">
      <formula>0</formula>
    </cfRule>
    <cfRule type="cellIs" dxfId="0" priority="2" operator="greaterThan">
      <formula>0</formula>
    </cfRule>
  </conditionalFormatting>
  <hyperlinks>
    <hyperlink ref="A1" location="Main!A1" display="Main" xr:uid="{407CA7C4-8979-4960-8612-E7D8C6DE69FF}"/>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8C3C9-6B46-4663-AA71-771357E6BD9A}">
  <sheetPr codeName="Sheet24"/>
  <dimension ref="A1:G223"/>
  <sheetViews>
    <sheetView zoomScaleNormal="100" workbookViewId="0"/>
  </sheetViews>
  <sheetFormatPr defaultRowHeight="12" x14ac:dyDescent="0.2"/>
  <cols>
    <col min="1" max="16384" width="9.140625" style="1"/>
  </cols>
  <sheetData>
    <row r="1" spans="1:4" ht="15" x14ac:dyDescent="0.25">
      <c r="A1" s="2" t="s">
        <v>0</v>
      </c>
    </row>
    <row r="2" spans="1:4" x14ac:dyDescent="0.2">
      <c r="B2" s="1" t="s">
        <v>4</v>
      </c>
      <c r="C2" s="7" t="s">
        <v>147</v>
      </c>
    </row>
    <row r="3" spans="1:4" x14ac:dyDescent="0.2">
      <c r="B3" s="1" t="s">
        <v>5</v>
      </c>
      <c r="C3" s="3">
        <v>44926</v>
      </c>
    </row>
    <row r="4" spans="1:4" x14ac:dyDescent="0.2">
      <c r="B4" s="1" t="s">
        <v>6</v>
      </c>
    </row>
    <row r="5" spans="1:4" x14ac:dyDescent="0.2">
      <c r="B5" s="1" t="s">
        <v>7</v>
      </c>
    </row>
    <row r="6" spans="1:4" x14ac:dyDescent="0.2">
      <c r="B6" s="1" t="s">
        <v>8</v>
      </c>
    </row>
    <row r="8" spans="1:4" x14ac:dyDescent="0.2">
      <c r="B8" s="12" t="s">
        <v>9</v>
      </c>
    </row>
    <row r="9" spans="1:4" x14ac:dyDescent="0.2">
      <c r="B9" s="1" t="s">
        <v>10</v>
      </c>
    </row>
    <row r="10" spans="1:4" x14ac:dyDescent="0.2">
      <c r="B10" s="1" t="s">
        <v>11</v>
      </c>
    </row>
    <row r="11" spans="1:4" x14ac:dyDescent="0.2">
      <c r="B11" s="1" t="s">
        <v>12</v>
      </c>
      <c r="C11" s="4">
        <v>0.02</v>
      </c>
      <c r="D11" s="1" t="s">
        <v>13</v>
      </c>
    </row>
    <row r="12" spans="1:4" x14ac:dyDescent="0.2">
      <c r="B12" s="1" t="s">
        <v>14</v>
      </c>
      <c r="C12" s="4">
        <v>0.2</v>
      </c>
      <c r="D12" s="1" t="s">
        <v>13</v>
      </c>
    </row>
    <row r="13" spans="1:4" x14ac:dyDescent="0.2">
      <c r="C13" s="6">
        <f>12*50</f>
        <v>600</v>
      </c>
    </row>
    <row r="14" spans="1:4" x14ac:dyDescent="0.2">
      <c r="C14" s="6">
        <f>12*5</f>
        <v>60</v>
      </c>
    </row>
    <row r="16" spans="1:4" x14ac:dyDescent="0.2">
      <c r="B16" s="5" t="s">
        <v>15</v>
      </c>
    </row>
    <row r="17" spans="2:7" x14ac:dyDescent="0.2">
      <c r="B17" s="1" t="s">
        <v>16</v>
      </c>
      <c r="C17" s="3">
        <v>44805</v>
      </c>
    </row>
    <row r="18" spans="2:7" x14ac:dyDescent="0.2">
      <c r="B18" s="1" t="s">
        <v>17</v>
      </c>
      <c r="C18" s="6">
        <v>370000</v>
      </c>
    </row>
    <row r="19" spans="2:7" x14ac:dyDescent="0.2">
      <c r="B19" s="1" t="s">
        <v>18</v>
      </c>
      <c r="C19" s="3">
        <v>44835</v>
      </c>
    </row>
    <row r="20" spans="2:7" x14ac:dyDescent="0.2">
      <c r="B20" s="1" t="s">
        <v>19</v>
      </c>
      <c r="C20" s="6">
        <v>270000</v>
      </c>
      <c r="D20" s="1" t="s">
        <v>21</v>
      </c>
    </row>
    <row r="21" spans="2:7" x14ac:dyDescent="0.2">
      <c r="B21" s="1" t="s">
        <v>20</v>
      </c>
      <c r="C21" s="6">
        <f>+C18-C20</f>
        <v>100000</v>
      </c>
      <c r="D21" s="1" t="s">
        <v>21</v>
      </c>
    </row>
    <row r="22" spans="2:7" x14ac:dyDescent="0.2">
      <c r="B22" s="1" t="s">
        <v>22</v>
      </c>
      <c r="C22" s="6">
        <v>75000</v>
      </c>
      <c r="D22" s="1" t="s">
        <v>23</v>
      </c>
    </row>
    <row r="23" spans="2:7" x14ac:dyDescent="0.2">
      <c r="B23" s="1" t="s">
        <v>24</v>
      </c>
      <c r="C23" s="3">
        <v>44866</v>
      </c>
      <c r="D23" s="1" t="s">
        <v>25</v>
      </c>
    </row>
    <row r="25" spans="2:7" x14ac:dyDescent="0.2">
      <c r="B25" s="1" t="s">
        <v>27</v>
      </c>
    </row>
    <row r="27" spans="2:7" x14ac:dyDescent="0.2">
      <c r="B27" s="1" t="s">
        <v>93</v>
      </c>
      <c r="E27" s="6">
        <f>+C20</f>
        <v>270000</v>
      </c>
      <c r="G27" s="7" t="s">
        <v>101</v>
      </c>
    </row>
    <row r="28" spans="2:7" x14ac:dyDescent="0.2">
      <c r="C28" s="1" t="s">
        <v>94</v>
      </c>
      <c r="F28" s="6">
        <f>+E27</f>
        <v>270000</v>
      </c>
    </row>
    <row r="29" spans="2:7" x14ac:dyDescent="0.2">
      <c r="B29" s="1" t="s">
        <v>95</v>
      </c>
    </row>
    <row r="31" spans="2:7" x14ac:dyDescent="0.2">
      <c r="B31" s="1" t="s">
        <v>96</v>
      </c>
      <c r="C31" s="1">
        <f>+YEARFRAC(C19,C3)*12</f>
        <v>3</v>
      </c>
    </row>
    <row r="32" spans="2:7" x14ac:dyDescent="0.2">
      <c r="C32" s="6">
        <f>+C13</f>
        <v>600</v>
      </c>
    </row>
    <row r="33" spans="2:7" x14ac:dyDescent="0.2">
      <c r="C33" s="1">
        <f>+C31/C32</f>
        <v>5.0000000000000001E-3</v>
      </c>
    </row>
    <row r="34" spans="2:7" x14ac:dyDescent="0.2">
      <c r="C34" s="6">
        <f>+C33*F28</f>
        <v>1350</v>
      </c>
    </row>
    <row r="35" spans="2:7" x14ac:dyDescent="0.2">
      <c r="C35" s="6"/>
    </row>
    <row r="36" spans="2:7" x14ac:dyDescent="0.2">
      <c r="B36" s="1" t="s">
        <v>97</v>
      </c>
      <c r="C36" s="6"/>
      <c r="E36" s="6">
        <f>+C34</f>
        <v>1350</v>
      </c>
      <c r="G36" s="7" t="s">
        <v>102</v>
      </c>
    </row>
    <row r="37" spans="2:7" x14ac:dyDescent="0.2">
      <c r="C37" s="6" t="s">
        <v>98</v>
      </c>
      <c r="F37" s="6">
        <f>+E36</f>
        <v>1350</v>
      </c>
    </row>
    <row r="38" spans="2:7" x14ac:dyDescent="0.2">
      <c r="B38" s="1" t="s">
        <v>99</v>
      </c>
    </row>
    <row r="40" spans="2:7" x14ac:dyDescent="0.2">
      <c r="B40" s="1" t="s">
        <v>28</v>
      </c>
      <c r="E40" s="6">
        <f>+C22</f>
        <v>75000</v>
      </c>
      <c r="F40" s="6"/>
      <c r="G40" s="16" t="s">
        <v>100</v>
      </c>
    </row>
    <row r="41" spans="2:7" x14ac:dyDescent="0.2">
      <c r="C41" s="1" t="s">
        <v>29</v>
      </c>
      <c r="E41" s="6"/>
      <c r="F41" s="6">
        <f>+E40</f>
        <v>75000</v>
      </c>
    </row>
    <row r="42" spans="2:7" x14ac:dyDescent="0.2">
      <c r="B42" s="1" t="s">
        <v>30</v>
      </c>
    </row>
    <row r="44" spans="2:7" x14ac:dyDescent="0.2">
      <c r="B44" s="1" t="s">
        <v>104</v>
      </c>
      <c r="C44" s="1">
        <f>+YEARFRAC(C23,C3)*12</f>
        <v>2</v>
      </c>
    </row>
    <row r="45" spans="2:7" x14ac:dyDescent="0.2">
      <c r="C45" s="6">
        <f>+C13</f>
        <v>600</v>
      </c>
    </row>
    <row r="46" spans="2:7" x14ac:dyDescent="0.2">
      <c r="C46" s="1">
        <f>+C44/C45</f>
        <v>3.3333333333333335E-3</v>
      </c>
    </row>
    <row r="47" spans="2:7" x14ac:dyDescent="0.2">
      <c r="B47" s="1" t="s">
        <v>103</v>
      </c>
      <c r="C47" s="1">
        <f>+C46*E40</f>
        <v>250.00000000000003</v>
      </c>
    </row>
    <row r="49" spans="2:6" x14ac:dyDescent="0.2">
      <c r="B49" s="1" t="s">
        <v>105</v>
      </c>
      <c r="E49" s="1">
        <f>+C47</f>
        <v>250.00000000000003</v>
      </c>
    </row>
    <row r="50" spans="2:6" x14ac:dyDescent="0.2">
      <c r="C50" s="1" t="s">
        <v>106</v>
      </c>
      <c r="F50" s="1">
        <f>+E49</f>
        <v>250.00000000000003</v>
      </c>
    </row>
    <row r="51" spans="2:6" x14ac:dyDescent="0.2">
      <c r="B51" s="1" t="s">
        <v>107</v>
      </c>
    </row>
    <row r="54" spans="2:6" x14ac:dyDescent="0.2">
      <c r="B54" s="5" t="s">
        <v>31</v>
      </c>
    </row>
    <row r="55" spans="2:6" x14ac:dyDescent="0.2">
      <c r="B55" s="1" t="s">
        <v>32</v>
      </c>
      <c r="C55" s="3">
        <v>43830</v>
      </c>
      <c r="D55" s="6">
        <v>12000000</v>
      </c>
    </row>
    <row r="56" spans="2:6" x14ac:dyDescent="0.2">
      <c r="B56" s="1" t="s">
        <v>35</v>
      </c>
      <c r="C56" s="1">
        <f>+YEARFRAC(C62,C57)</f>
        <v>3</v>
      </c>
      <c r="D56" s="6">
        <f>+D55*C56/45</f>
        <v>800000</v>
      </c>
      <c r="E56" s="1" t="s">
        <v>108</v>
      </c>
    </row>
    <row r="57" spans="2:6" x14ac:dyDescent="0.2">
      <c r="B57" s="1" t="s">
        <v>33</v>
      </c>
      <c r="C57" s="3">
        <v>43830</v>
      </c>
      <c r="D57" s="6">
        <f>+D55-D56</f>
        <v>11200000</v>
      </c>
    </row>
    <row r="58" spans="2:6" x14ac:dyDescent="0.2">
      <c r="B58" s="1" t="s">
        <v>32</v>
      </c>
      <c r="C58" s="3">
        <v>44926</v>
      </c>
      <c r="D58" s="6">
        <v>16000000</v>
      </c>
    </row>
    <row r="59" spans="2:6" x14ac:dyDescent="0.2">
      <c r="B59" s="1" t="s">
        <v>109</v>
      </c>
      <c r="C59" s="3">
        <v>44926</v>
      </c>
      <c r="D59" s="6">
        <f>+D58-D57</f>
        <v>4800000</v>
      </c>
    </row>
    <row r="61" spans="2:6" x14ac:dyDescent="0.2">
      <c r="B61" s="1" t="s">
        <v>110</v>
      </c>
    </row>
    <row r="62" spans="2:6" x14ac:dyDescent="0.2">
      <c r="B62" s="1" t="s">
        <v>34</v>
      </c>
      <c r="C62" s="3">
        <v>42736</v>
      </c>
      <c r="D62" s="6">
        <v>18000000</v>
      </c>
    </row>
    <row r="63" spans="2:6" x14ac:dyDescent="0.2">
      <c r="B63" s="1" t="s">
        <v>35</v>
      </c>
      <c r="D63" s="6">
        <f>+D62*0.16</f>
        <v>2880000</v>
      </c>
    </row>
    <row r="64" spans="2:6" x14ac:dyDescent="0.2">
      <c r="B64" s="1" t="s">
        <v>111</v>
      </c>
      <c r="C64" s="3">
        <v>44926</v>
      </c>
      <c r="D64" s="6">
        <f>+D62-D63</f>
        <v>15120000</v>
      </c>
    </row>
    <row r="66" spans="2:6" x14ac:dyDescent="0.2">
      <c r="B66" s="1" t="s">
        <v>112</v>
      </c>
    </row>
    <row r="67" spans="2:6" x14ac:dyDescent="0.2">
      <c r="B67" s="1" t="s">
        <v>113</v>
      </c>
      <c r="D67" s="6">
        <f>+D64-D57</f>
        <v>3920000</v>
      </c>
      <c r="E67" s="1" t="s">
        <v>116</v>
      </c>
    </row>
    <row r="68" spans="2:6" x14ac:dyDescent="0.2">
      <c r="B68" s="1" t="s">
        <v>114</v>
      </c>
      <c r="D68" s="6">
        <f>+D59-D67</f>
        <v>880000</v>
      </c>
      <c r="E68" s="1" t="s">
        <v>117</v>
      </c>
    </row>
    <row r="69" spans="2:6" ht="12.75" thickBot="1" x14ac:dyDescent="0.25">
      <c r="B69" s="1" t="s">
        <v>115</v>
      </c>
      <c r="D69" s="14">
        <f>SUM(D67:D68)</f>
        <v>4800000</v>
      </c>
    </row>
    <row r="70" spans="2:6" ht="12.75" thickTop="1" x14ac:dyDescent="0.2"/>
    <row r="71" spans="2:6" x14ac:dyDescent="0.2">
      <c r="B71" s="1" t="s">
        <v>118</v>
      </c>
      <c r="E71" s="6">
        <f>+D58-D55</f>
        <v>4000000</v>
      </c>
    </row>
    <row r="72" spans="2:6" x14ac:dyDescent="0.2">
      <c r="B72" s="1" t="s">
        <v>119</v>
      </c>
      <c r="E72" s="6">
        <f>+D69-E71</f>
        <v>800000</v>
      </c>
    </row>
    <row r="73" spans="2:6" x14ac:dyDescent="0.2">
      <c r="C73" s="1" t="s">
        <v>120</v>
      </c>
      <c r="F73" s="6">
        <f>+D68</f>
        <v>880000</v>
      </c>
    </row>
    <row r="74" spans="2:6" x14ac:dyDescent="0.2">
      <c r="C74" s="1" t="s">
        <v>121</v>
      </c>
      <c r="F74" s="6">
        <f>+D67</f>
        <v>3920000</v>
      </c>
    </row>
    <row r="75" spans="2:6" x14ac:dyDescent="0.2">
      <c r="B75" s="1" t="s">
        <v>122</v>
      </c>
    </row>
    <row r="77" spans="2:6" x14ac:dyDescent="0.2">
      <c r="B77" s="5" t="s">
        <v>37</v>
      </c>
    </row>
    <row r="78" spans="2:6" x14ac:dyDescent="0.2">
      <c r="B78" s="1" t="s">
        <v>38</v>
      </c>
      <c r="C78" s="3">
        <v>44834</v>
      </c>
    </row>
    <row r="79" spans="2:6" x14ac:dyDescent="0.2">
      <c r="B79" s="1" t="s">
        <v>39</v>
      </c>
    </row>
    <row r="80" spans="2:6" x14ac:dyDescent="0.2">
      <c r="B80" s="1" t="s">
        <v>40</v>
      </c>
    </row>
    <row r="81" spans="2:6" x14ac:dyDescent="0.2">
      <c r="B81" s="1" t="s">
        <v>41</v>
      </c>
    </row>
    <row r="82" spans="2:6" x14ac:dyDescent="0.2">
      <c r="B82" s="1" t="s">
        <v>42</v>
      </c>
    </row>
    <row r="83" spans="2:6" x14ac:dyDescent="0.2">
      <c r="B83" s="1" t="s">
        <v>43</v>
      </c>
    </row>
    <row r="85" spans="2:6" x14ac:dyDescent="0.2">
      <c r="C85" s="11" t="s">
        <v>44</v>
      </c>
    </row>
    <row r="86" spans="2:6" x14ac:dyDescent="0.2">
      <c r="B86" s="1" t="s">
        <v>34</v>
      </c>
      <c r="C86" s="6">
        <v>9000</v>
      </c>
      <c r="D86" s="3">
        <v>41791</v>
      </c>
    </row>
    <row r="87" spans="2:6" x14ac:dyDescent="0.2">
      <c r="B87" s="1" t="s">
        <v>35</v>
      </c>
      <c r="C87" s="6">
        <f>+D87/D88*C86</f>
        <v>1499.5000000000002</v>
      </c>
      <c r="D87" s="6">
        <f>+YEARFRAC(D86,C78)*12</f>
        <v>99.966666666666669</v>
      </c>
    </row>
    <row r="88" spans="2:6" x14ac:dyDescent="0.2">
      <c r="B88" s="1" t="s">
        <v>33</v>
      </c>
      <c r="C88" s="6">
        <f>+C86-C87</f>
        <v>7500.5</v>
      </c>
      <c r="D88" s="6">
        <f>50*12</f>
        <v>600</v>
      </c>
    </row>
    <row r="89" spans="2:6" x14ac:dyDescent="0.2">
      <c r="C89" s="11"/>
    </row>
    <row r="90" spans="2:6" x14ac:dyDescent="0.2">
      <c r="B90" s="1" t="s">
        <v>32</v>
      </c>
      <c r="C90" s="6">
        <v>8500</v>
      </c>
    </row>
    <row r="91" spans="2:6" x14ac:dyDescent="0.2">
      <c r="B91" s="1" t="s">
        <v>45</v>
      </c>
      <c r="C91" s="6">
        <v>40</v>
      </c>
    </row>
    <row r="92" spans="2:6" ht="12.75" thickBot="1" x14ac:dyDescent="0.25">
      <c r="B92" s="1" t="s">
        <v>46</v>
      </c>
      <c r="C92" s="14">
        <f>SUM(C90:C91)</f>
        <v>8540</v>
      </c>
      <c r="D92" s="3">
        <v>44834</v>
      </c>
      <c r="E92" s="16" t="s">
        <v>123</v>
      </c>
    </row>
    <row r="93" spans="2:6" ht="12.75" thickTop="1" x14ac:dyDescent="0.2"/>
    <row r="94" spans="2:6" x14ac:dyDescent="0.2">
      <c r="B94" s="1" t="s">
        <v>47</v>
      </c>
      <c r="E94" s="6">
        <f>+C88</f>
        <v>7500.5</v>
      </c>
    </row>
    <row r="95" spans="2:6" x14ac:dyDescent="0.2">
      <c r="B95" s="1" t="s">
        <v>124</v>
      </c>
      <c r="E95" s="6">
        <f>+C87</f>
        <v>1499.5000000000002</v>
      </c>
    </row>
    <row r="96" spans="2:6" x14ac:dyDescent="0.2">
      <c r="C96" s="1" t="s">
        <v>48</v>
      </c>
      <c r="F96" s="6">
        <f>+C86</f>
        <v>9000</v>
      </c>
    </row>
    <row r="97" spans="2:6" x14ac:dyDescent="0.2">
      <c r="B97" s="1" t="s">
        <v>125</v>
      </c>
    </row>
    <row r="99" spans="2:6" x14ac:dyDescent="0.2">
      <c r="B99" s="1" t="s">
        <v>126</v>
      </c>
    </row>
    <row r="100" spans="2:6" x14ac:dyDescent="0.2">
      <c r="C100" s="6">
        <f>YEARFRAC(D92,C3)*12</f>
        <v>3</v>
      </c>
    </row>
    <row r="101" spans="2:6" x14ac:dyDescent="0.2">
      <c r="C101" s="6">
        <f>+C13</f>
        <v>600</v>
      </c>
    </row>
    <row r="102" spans="2:6" x14ac:dyDescent="0.2">
      <c r="C102" s="1">
        <f>+C100/C101*C86</f>
        <v>45</v>
      </c>
    </row>
    <row r="104" spans="2:6" x14ac:dyDescent="0.2">
      <c r="B104" s="1" t="s">
        <v>127</v>
      </c>
      <c r="E104" s="1">
        <f>+C102</f>
        <v>45</v>
      </c>
    </row>
    <row r="105" spans="2:6" x14ac:dyDescent="0.2">
      <c r="C105" s="1" t="s">
        <v>98</v>
      </c>
      <c r="F105" s="1">
        <f>+E104</f>
        <v>45</v>
      </c>
    </row>
    <row r="106" spans="2:6" x14ac:dyDescent="0.2">
      <c r="B106" s="1" t="s">
        <v>128</v>
      </c>
    </row>
    <row r="109" spans="2:6" x14ac:dyDescent="0.2">
      <c r="B109" s="12" t="s">
        <v>49</v>
      </c>
    </row>
    <row r="111" spans="2:6" x14ac:dyDescent="0.2">
      <c r="B111" s="5" t="s">
        <v>50</v>
      </c>
      <c r="C111" s="11" t="s">
        <v>44</v>
      </c>
    </row>
    <row r="112" spans="2:6" x14ac:dyDescent="0.2">
      <c r="B112" s="1" t="s">
        <v>51</v>
      </c>
      <c r="C112" s="1">
        <f>12*12</f>
        <v>144</v>
      </c>
      <c r="D112" s="1" t="s">
        <v>52</v>
      </c>
    </row>
    <row r="113" spans="2:4" x14ac:dyDescent="0.2">
      <c r="B113" s="1" t="s">
        <v>32</v>
      </c>
      <c r="C113" s="1">
        <v>4000</v>
      </c>
      <c r="D113" s="13" t="s">
        <v>53</v>
      </c>
    </row>
    <row r="114" spans="2:4" x14ac:dyDescent="0.2">
      <c r="B114" s="1" t="s">
        <v>54</v>
      </c>
      <c r="C114" s="1">
        <f>10*12</f>
        <v>120</v>
      </c>
    </row>
    <row r="115" spans="2:4" x14ac:dyDescent="0.2">
      <c r="B115" s="1" t="s">
        <v>55</v>
      </c>
      <c r="C115" s="1">
        <v>500</v>
      </c>
    </row>
    <row r="117" spans="2:4" x14ac:dyDescent="0.2">
      <c r="B117" s="1" t="s">
        <v>56</v>
      </c>
    </row>
    <row r="119" spans="2:4" x14ac:dyDescent="0.2">
      <c r="B119" s="1" t="s">
        <v>57</v>
      </c>
    </row>
    <row r="120" spans="2:4" x14ac:dyDescent="0.2">
      <c r="B120" s="1" t="s">
        <v>58</v>
      </c>
    </row>
    <row r="121" spans="2:4" x14ac:dyDescent="0.2">
      <c r="B121" s="1" t="s">
        <v>59</v>
      </c>
    </row>
    <row r="122" spans="2:4" x14ac:dyDescent="0.2">
      <c r="B122" s="1" t="s">
        <v>60</v>
      </c>
    </row>
    <row r="123" spans="2:4" x14ac:dyDescent="0.2">
      <c r="B123" s="1" t="s">
        <v>61</v>
      </c>
      <c r="C123" s="6">
        <f>500*10</f>
        <v>5000</v>
      </c>
    </row>
    <row r="124" spans="2:4" x14ac:dyDescent="0.2">
      <c r="B124" s="1" t="s">
        <v>62</v>
      </c>
      <c r="C124" s="6">
        <f>+C113</f>
        <v>4000</v>
      </c>
      <c r="D124" s="1" t="s">
        <v>92</v>
      </c>
    </row>
    <row r="125" spans="2:4" x14ac:dyDescent="0.2">
      <c r="B125" s="1" t="s">
        <v>63</v>
      </c>
      <c r="C125" s="6">
        <f>+C123-C124</f>
        <v>1000</v>
      </c>
      <c r="D125" s="1" t="s">
        <v>63</v>
      </c>
    </row>
    <row r="127" spans="2:4" x14ac:dyDescent="0.2">
      <c r="B127" s="5" t="s">
        <v>64</v>
      </c>
    </row>
    <row r="128" spans="2:4" x14ac:dyDescent="0.2">
      <c r="B128" s="1" t="s">
        <v>65</v>
      </c>
    </row>
    <row r="129" spans="2:3" x14ac:dyDescent="0.2">
      <c r="B129" s="1" t="s">
        <v>66</v>
      </c>
    </row>
    <row r="130" spans="2:3" x14ac:dyDescent="0.2">
      <c r="B130" s="1" t="s">
        <v>67</v>
      </c>
    </row>
    <row r="131" spans="2:3" x14ac:dyDescent="0.2">
      <c r="B131" s="1" t="s">
        <v>68</v>
      </c>
      <c r="C131" s="6">
        <v>15000</v>
      </c>
    </row>
    <row r="132" spans="2:3" x14ac:dyDescent="0.2">
      <c r="B132" s="1" t="s">
        <v>69</v>
      </c>
      <c r="C132" s="6">
        <f>35*1000*12</f>
        <v>420000</v>
      </c>
    </row>
    <row r="133" spans="2:3" ht="12.75" thickBot="1" x14ac:dyDescent="0.25">
      <c r="C133" s="14">
        <f>SUM(C131:C132)</f>
        <v>435000</v>
      </c>
    </row>
    <row r="134" spans="2:3" ht="12.75" thickTop="1" x14ac:dyDescent="0.2"/>
    <row r="135" spans="2:3" x14ac:dyDescent="0.2">
      <c r="B135" s="1" t="s">
        <v>70</v>
      </c>
    </row>
    <row r="136" spans="2:3" x14ac:dyDescent="0.2">
      <c r="B136" s="1" t="s">
        <v>71</v>
      </c>
    </row>
    <row r="137" spans="2:3" x14ac:dyDescent="0.2">
      <c r="B137" s="1" t="s">
        <v>129</v>
      </c>
    </row>
    <row r="139" spans="2:3" x14ac:dyDescent="0.2">
      <c r="B139" s="5" t="s">
        <v>72</v>
      </c>
    </row>
    <row r="141" spans="2:3" x14ac:dyDescent="0.2">
      <c r="B141" s="5" t="s">
        <v>73</v>
      </c>
    </row>
    <row r="142" spans="2:3" x14ac:dyDescent="0.2">
      <c r="B142" s="1" t="s">
        <v>130</v>
      </c>
    </row>
    <row r="144" spans="2:3" x14ac:dyDescent="0.2">
      <c r="B144" s="1" t="s">
        <v>83</v>
      </c>
    </row>
    <row r="145" spans="2:6" x14ac:dyDescent="0.2">
      <c r="B145" s="3">
        <v>45291</v>
      </c>
      <c r="C145" s="10">
        <v>289</v>
      </c>
      <c r="D145" s="1">
        <v>0.90900000000000003</v>
      </c>
      <c r="E145" s="6">
        <f>+C145*D145</f>
        <v>262.70100000000002</v>
      </c>
      <c r="F145" s="17"/>
    </row>
    <row r="146" spans="2:6" x14ac:dyDescent="0.2">
      <c r="B146" s="3">
        <v>45657</v>
      </c>
      <c r="C146" s="6">
        <v>823</v>
      </c>
      <c r="D146" s="1">
        <v>0.82599999999999996</v>
      </c>
      <c r="E146" s="6">
        <f t="shared" ref="E146:E148" si="0">+C146*D146</f>
        <v>679.798</v>
      </c>
    </row>
    <row r="147" spans="2:6" x14ac:dyDescent="0.2">
      <c r="B147" s="3">
        <v>46022</v>
      </c>
      <c r="C147" s="6">
        <v>796</v>
      </c>
      <c r="D147" s="1">
        <v>0.751</v>
      </c>
      <c r="E147" s="6">
        <f t="shared" si="0"/>
        <v>597.79600000000005</v>
      </c>
    </row>
    <row r="148" spans="2:6" x14ac:dyDescent="0.2">
      <c r="B148" s="3">
        <v>46387</v>
      </c>
      <c r="C148" s="6">
        <v>947</v>
      </c>
      <c r="D148" s="1">
        <v>0.68300000000000005</v>
      </c>
      <c r="E148" s="6">
        <f t="shared" si="0"/>
        <v>646.80100000000004</v>
      </c>
    </row>
    <row r="149" spans="2:6" ht="12.75" thickBot="1" x14ac:dyDescent="0.25">
      <c r="E149" s="14">
        <f>SUM(E145:E148)</f>
        <v>2187.096</v>
      </c>
    </row>
    <row r="150" spans="2:6" ht="12.75" thickTop="1" x14ac:dyDescent="0.2"/>
    <row r="151" spans="2:6" x14ac:dyDescent="0.2">
      <c r="C151" s="1" t="s">
        <v>81</v>
      </c>
    </row>
    <row r="152" spans="2:6" x14ac:dyDescent="0.2">
      <c r="B152" s="1" t="s">
        <v>33</v>
      </c>
      <c r="C152" s="6">
        <f>+C204</f>
        <v>3490</v>
      </c>
      <c r="D152" s="6"/>
    </row>
    <row r="153" spans="2:6" x14ac:dyDescent="0.2">
      <c r="B153" s="1" t="s">
        <v>78</v>
      </c>
      <c r="C153" s="6">
        <v>2000</v>
      </c>
    </row>
    <row r="154" spans="2:6" x14ac:dyDescent="0.2">
      <c r="B154" s="1" t="s">
        <v>83</v>
      </c>
      <c r="C154" s="6">
        <f>+E149</f>
        <v>2187.096</v>
      </c>
    </row>
    <row r="155" spans="2:6" x14ac:dyDescent="0.2">
      <c r="B155" s="1" t="s">
        <v>84</v>
      </c>
      <c r="C155" s="6">
        <f>+C154</f>
        <v>2187.096</v>
      </c>
    </row>
    <row r="156" spans="2:6" x14ac:dyDescent="0.2">
      <c r="B156" s="1" t="s">
        <v>131</v>
      </c>
      <c r="C156" s="6">
        <f>+C155-C152</f>
        <v>-1302.904</v>
      </c>
    </row>
    <row r="158" spans="2:6" x14ac:dyDescent="0.2">
      <c r="B158" s="1" t="s">
        <v>132</v>
      </c>
    </row>
    <row r="159" spans="2:6" x14ac:dyDescent="0.2">
      <c r="B159" s="1" t="s">
        <v>133</v>
      </c>
    </row>
    <row r="160" spans="2:6" x14ac:dyDescent="0.2">
      <c r="B160" s="1" t="s">
        <v>81</v>
      </c>
      <c r="C160" s="13" t="s">
        <v>135</v>
      </c>
      <c r="E160" s="6">
        <f>+C202/C204*C156</f>
        <v>-1078.9090429799428</v>
      </c>
    </row>
    <row r="161" spans="2:5" x14ac:dyDescent="0.2">
      <c r="B161" s="1" t="s">
        <v>134</v>
      </c>
      <c r="C161" s="13" t="s">
        <v>136</v>
      </c>
      <c r="E161" s="6">
        <f>+C203/C204*C156</f>
        <v>-223.99495702005729</v>
      </c>
    </row>
    <row r="162" spans="2:5" x14ac:dyDescent="0.2">
      <c r="B162" s="1" t="s">
        <v>131</v>
      </c>
      <c r="E162" s="6">
        <f>SUM(E160:E161)</f>
        <v>-1302.904</v>
      </c>
    </row>
    <row r="164" spans="2:5" x14ac:dyDescent="0.2">
      <c r="B164" s="1" t="s">
        <v>137</v>
      </c>
    </row>
    <row r="166" spans="2:5" x14ac:dyDescent="0.2">
      <c r="B166" s="1" t="s">
        <v>82</v>
      </c>
      <c r="D166" s="1">
        <v>600</v>
      </c>
    </row>
    <row r="167" spans="2:5" x14ac:dyDescent="0.2">
      <c r="D167" s="1">
        <v>450</v>
      </c>
    </row>
    <row r="168" spans="2:5" ht="12.75" thickBot="1" x14ac:dyDescent="0.25">
      <c r="D168" s="15">
        <f>+D166-D167</f>
        <v>150</v>
      </c>
    </row>
    <row r="169" spans="2:5" ht="12.75" thickTop="1" x14ac:dyDescent="0.2"/>
    <row r="170" spans="2:5" x14ac:dyDescent="0.2">
      <c r="B170" s="1" t="s">
        <v>138</v>
      </c>
    </row>
    <row r="172" spans="2:5" x14ac:dyDescent="0.2">
      <c r="B172" s="1" t="s">
        <v>81</v>
      </c>
      <c r="C172" s="13"/>
      <c r="E172" s="6">
        <f>+E174-E173</f>
        <v>1152.904</v>
      </c>
    </row>
    <row r="173" spans="2:5" x14ac:dyDescent="0.2">
      <c r="B173" s="1" t="s">
        <v>134</v>
      </c>
      <c r="C173" s="13"/>
      <c r="E173" s="6">
        <f>+D168</f>
        <v>150</v>
      </c>
    </row>
    <row r="174" spans="2:5" ht="12.75" thickBot="1" x14ac:dyDescent="0.25">
      <c r="B174" s="1" t="s">
        <v>131</v>
      </c>
      <c r="E174" s="14">
        <f>-+E162</f>
        <v>1302.904</v>
      </c>
    </row>
    <row r="175" spans="2:5" ht="12.75" thickTop="1" x14ac:dyDescent="0.2">
      <c r="C175" s="6"/>
    </row>
    <row r="176" spans="2:5" x14ac:dyDescent="0.2">
      <c r="B176" s="1" t="s">
        <v>36</v>
      </c>
      <c r="C176" s="6"/>
      <c r="E176" s="6">
        <f>+E174</f>
        <v>1302.904</v>
      </c>
    </row>
    <row r="177" spans="2:6" x14ac:dyDescent="0.2">
      <c r="C177" s="6" t="s">
        <v>85</v>
      </c>
      <c r="F177" s="6">
        <f>+E173</f>
        <v>150</v>
      </c>
    </row>
    <row r="178" spans="2:6" x14ac:dyDescent="0.2">
      <c r="C178" s="6" t="s">
        <v>139</v>
      </c>
      <c r="F178" s="6">
        <f>+E172</f>
        <v>1152.904</v>
      </c>
    </row>
    <row r="179" spans="2:6" x14ac:dyDescent="0.2">
      <c r="B179" s="1" t="s">
        <v>86</v>
      </c>
      <c r="C179" s="6"/>
    </row>
    <row r="182" spans="2:6" x14ac:dyDescent="0.2">
      <c r="B182" s="5" t="s">
        <v>74</v>
      </c>
    </row>
    <row r="183" spans="2:6" x14ac:dyDescent="0.2">
      <c r="B183" s="1" t="s">
        <v>33</v>
      </c>
      <c r="C183" s="6">
        <f>+D204</f>
        <v>2900</v>
      </c>
    </row>
    <row r="184" spans="2:6" x14ac:dyDescent="0.2">
      <c r="B184" s="1" t="s">
        <v>78</v>
      </c>
      <c r="C184" s="6">
        <v>2750</v>
      </c>
    </row>
    <row r="185" spans="2:6" x14ac:dyDescent="0.2">
      <c r="B185" s="1" t="s">
        <v>83</v>
      </c>
      <c r="C185" s="6">
        <f>+E198</f>
        <v>2312.2910000000002</v>
      </c>
    </row>
    <row r="186" spans="2:6" x14ac:dyDescent="0.2">
      <c r="B186" s="1" t="s">
        <v>89</v>
      </c>
      <c r="C186" s="6">
        <f>+C184</f>
        <v>2750</v>
      </c>
    </row>
    <row r="187" spans="2:6" x14ac:dyDescent="0.2">
      <c r="B187" s="1" t="s">
        <v>79</v>
      </c>
      <c r="C187" s="6">
        <f>+C186-C183</f>
        <v>-150</v>
      </c>
    </row>
    <row r="188" spans="2:6" x14ac:dyDescent="0.2">
      <c r="C188" s="6"/>
    </row>
    <row r="189" spans="2:6" x14ac:dyDescent="0.2">
      <c r="B189" s="1" t="s">
        <v>87</v>
      </c>
    </row>
    <row r="190" spans="2:6" x14ac:dyDescent="0.2">
      <c r="B190" s="13" t="s">
        <v>88</v>
      </c>
    </row>
    <row r="191" spans="2:6" x14ac:dyDescent="0.2">
      <c r="C191" s="6"/>
    </row>
    <row r="192" spans="2:6" x14ac:dyDescent="0.2">
      <c r="B192" s="1" t="s">
        <v>83</v>
      </c>
    </row>
    <row r="193" spans="2:7" x14ac:dyDescent="0.2">
      <c r="B193" s="3">
        <v>45291</v>
      </c>
      <c r="C193" s="6">
        <v>552</v>
      </c>
      <c r="D193" s="1">
        <v>0.90900000000000003</v>
      </c>
      <c r="E193" s="6">
        <f>+C193*D193</f>
        <v>501.76800000000003</v>
      </c>
      <c r="G193" s="9"/>
    </row>
    <row r="194" spans="2:7" x14ac:dyDescent="0.2">
      <c r="B194" s="3">
        <v>45657</v>
      </c>
      <c r="C194" s="6">
        <v>580</v>
      </c>
      <c r="D194" s="1">
        <v>0.82599999999999996</v>
      </c>
      <c r="E194" s="6">
        <f t="shared" ref="E194:E197" si="1">+C194*D194</f>
        <v>479.08</v>
      </c>
      <c r="G194" s="9"/>
    </row>
    <row r="195" spans="2:7" x14ac:dyDescent="0.2">
      <c r="B195" s="3">
        <v>46022</v>
      </c>
      <c r="C195" s="6">
        <v>650</v>
      </c>
      <c r="D195" s="1">
        <v>0.751</v>
      </c>
      <c r="E195" s="6">
        <f t="shared" si="1"/>
        <v>488.15</v>
      </c>
      <c r="G195" s="9"/>
    </row>
    <row r="196" spans="2:7" x14ac:dyDescent="0.2">
      <c r="B196" s="3">
        <v>46387</v>
      </c>
      <c r="C196" s="6">
        <v>871</v>
      </c>
      <c r="D196" s="1">
        <v>0.68300000000000005</v>
      </c>
      <c r="E196" s="6">
        <f t="shared" si="1"/>
        <v>594.89300000000003</v>
      </c>
      <c r="G196" s="9"/>
    </row>
    <row r="197" spans="2:7" x14ac:dyDescent="0.2">
      <c r="B197" s="3">
        <v>46752</v>
      </c>
      <c r="C197" s="6">
        <f>1104-704</f>
        <v>400</v>
      </c>
      <c r="D197" s="1">
        <v>0.621</v>
      </c>
      <c r="E197" s="6">
        <f t="shared" si="1"/>
        <v>248.4</v>
      </c>
      <c r="G197" s="9"/>
    </row>
    <row r="198" spans="2:7" ht="12.75" thickBot="1" x14ac:dyDescent="0.25">
      <c r="E198" s="14">
        <f>SUM(E193:E197)</f>
        <v>2312.2910000000002</v>
      </c>
      <c r="G198" s="9"/>
    </row>
    <row r="199" spans="2:7" ht="12.75" thickTop="1" x14ac:dyDescent="0.2">
      <c r="E199" s="18"/>
      <c r="G199" s="9"/>
    </row>
    <row r="200" spans="2:7" x14ac:dyDescent="0.2">
      <c r="C200" s="1" t="s">
        <v>73</v>
      </c>
      <c r="D200" s="1" t="s">
        <v>74</v>
      </c>
    </row>
    <row r="201" spans="2:7" x14ac:dyDescent="0.2">
      <c r="C201" s="11" t="s">
        <v>44</v>
      </c>
      <c r="D201" s="11" t="s">
        <v>44</v>
      </c>
    </row>
    <row r="202" spans="2:7" x14ac:dyDescent="0.2">
      <c r="B202" s="1" t="s">
        <v>76</v>
      </c>
      <c r="C202" s="6">
        <v>2890</v>
      </c>
      <c r="D202" s="6">
        <v>2900</v>
      </c>
      <c r="E202" s="6">
        <f>SUM(C202:D202)</f>
        <v>5790</v>
      </c>
    </row>
    <row r="203" spans="2:7" x14ac:dyDescent="0.2">
      <c r="B203" s="1" t="s">
        <v>75</v>
      </c>
      <c r="C203" s="6">
        <v>600</v>
      </c>
      <c r="D203" s="6">
        <v>0</v>
      </c>
      <c r="E203" s="6">
        <f t="shared" ref="E203:E204" si="2">SUM(C203:D203)</f>
        <v>600</v>
      </c>
    </row>
    <row r="204" spans="2:7" ht="12.75" thickBot="1" x14ac:dyDescent="0.25">
      <c r="B204" s="1" t="s">
        <v>26</v>
      </c>
      <c r="C204" s="15">
        <f>SUM(C202:C203)</f>
        <v>3490</v>
      </c>
      <c r="D204" s="15">
        <f>SUM(D202:D203)</f>
        <v>2900</v>
      </c>
      <c r="E204" s="6">
        <f t="shared" si="2"/>
        <v>6390</v>
      </c>
    </row>
    <row r="205" spans="2:7" ht="12.75" thickTop="1" x14ac:dyDescent="0.2">
      <c r="C205" s="6"/>
    </row>
    <row r="206" spans="2:7" x14ac:dyDescent="0.2">
      <c r="B206" s="1" t="s">
        <v>90</v>
      </c>
      <c r="C206" s="6"/>
      <c r="E206" s="6">
        <f>-C187</f>
        <v>150</v>
      </c>
    </row>
    <row r="207" spans="2:7" x14ac:dyDescent="0.2">
      <c r="C207" s="6" t="s">
        <v>91</v>
      </c>
      <c r="F207" s="6">
        <f>+E206</f>
        <v>150</v>
      </c>
    </row>
    <row r="208" spans="2:7" x14ac:dyDescent="0.2">
      <c r="B208" s="1" t="s">
        <v>140</v>
      </c>
      <c r="C208" s="6"/>
      <c r="G208" s="16" t="s">
        <v>142</v>
      </c>
    </row>
    <row r="210" spans="2:6" x14ac:dyDescent="0.2">
      <c r="B210" s="1" t="s">
        <v>141</v>
      </c>
    </row>
    <row r="212" spans="2:6" x14ac:dyDescent="0.2">
      <c r="B212" s="1" t="s">
        <v>33</v>
      </c>
      <c r="E212" s="6">
        <f>+E204</f>
        <v>6390</v>
      </c>
    </row>
    <row r="213" spans="2:6" x14ac:dyDescent="0.2">
      <c r="B213" s="1" t="s">
        <v>79</v>
      </c>
      <c r="E213" s="6">
        <f>(+E176+E206)*-1</f>
        <v>-1452.904</v>
      </c>
    </row>
    <row r="214" spans="2:6" x14ac:dyDescent="0.2">
      <c r="B214" s="1" t="s">
        <v>77</v>
      </c>
      <c r="E214" s="6">
        <v>600</v>
      </c>
    </row>
    <row r="215" spans="2:6" x14ac:dyDescent="0.2">
      <c r="B215" s="1" t="s">
        <v>143</v>
      </c>
      <c r="E215" s="6">
        <f>SUM(E212:E214)</f>
        <v>5537.0959999999995</v>
      </c>
    </row>
    <row r="216" spans="2:6" x14ac:dyDescent="0.2">
      <c r="B216" s="1" t="s">
        <v>78</v>
      </c>
      <c r="E216" s="6">
        <v>5100</v>
      </c>
    </row>
    <row r="217" spans="2:6" x14ac:dyDescent="0.2">
      <c r="B217" s="1" t="s">
        <v>144</v>
      </c>
      <c r="E217" s="6">
        <f>+E216-E215</f>
        <v>-437.09599999999955</v>
      </c>
    </row>
    <row r="219" spans="2:6" x14ac:dyDescent="0.2">
      <c r="B219" s="1" t="s">
        <v>145</v>
      </c>
    </row>
    <row r="220" spans="2:6" x14ac:dyDescent="0.2">
      <c r="E220" s="6"/>
    </row>
    <row r="221" spans="2:6" x14ac:dyDescent="0.2">
      <c r="B221" s="1" t="s">
        <v>36</v>
      </c>
      <c r="E221" s="6">
        <f>-E217</f>
        <v>437.09599999999955</v>
      </c>
    </row>
    <row r="222" spans="2:6" x14ac:dyDescent="0.2">
      <c r="C222" s="1" t="s">
        <v>80</v>
      </c>
      <c r="F222" s="6">
        <f>-E221</f>
        <v>-437.09599999999955</v>
      </c>
    </row>
    <row r="223" spans="2:6" x14ac:dyDescent="0.2">
      <c r="B223" s="1" t="s">
        <v>146</v>
      </c>
    </row>
  </sheetData>
  <hyperlinks>
    <hyperlink ref="A1" location="Main!A1" display="Main" xr:uid="{D464F07E-7EBF-435F-A4E5-C2BFEBDE47C2}"/>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5F7CA-BA03-42C0-8429-BC693F58FF91}">
  <dimension ref="A1:F95"/>
  <sheetViews>
    <sheetView zoomScale="160" zoomScaleNormal="160" workbookViewId="0"/>
  </sheetViews>
  <sheetFormatPr defaultRowHeight="12" x14ac:dyDescent="0.2"/>
  <cols>
    <col min="1" max="16384" width="9.140625" style="1"/>
  </cols>
  <sheetData>
    <row r="1" spans="1:3" ht="15" x14ac:dyDescent="0.25">
      <c r="A1" s="2" t="s">
        <v>0</v>
      </c>
    </row>
    <row r="2" spans="1:3" x14ac:dyDescent="0.2">
      <c r="B2" s="1" t="s">
        <v>2301</v>
      </c>
    </row>
    <row r="3" spans="1:3" x14ac:dyDescent="0.2">
      <c r="B3" s="1" t="s">
        <v>5</v>
      </c>
      <c r="C3" s="3">
        <v>45016</v>
      </c>
    </row>
    <row r="6" spans="1:3" x14ac:dyDescent="0.2">
      <c r="B6" s="88" t="s">
        <v>2302</v>
      </c>
    </row>
    <row r="8" spans="1:3" x14ac:dyDescent="0.2">
      <c r="B8" s="1" t="s">
        <v>2345</v>
      </c>
    </row>
    <row r="9" spans="1:3" x14ac:dyDescent="0.2">
      <c r="B9" s="1" t="s">
        <v>2346</v>
      </c>
    </row>
    <row r="11" spans="1:3" x14ac:dyDescent="0.2">
      <c r="B11" s="1" t="s">
        <v>2303</v>
      </c>
    </row>
    <row r="12" spans="1:3" x14ac:dyDescent="0.2">
      <c r="B12" s="1" t="s">
        <v>1042</v>
      </c>
    </row>
    <row r="14" spans="1:3" x14ac:dyDescent="0.2">
      <c r="B14" s="3">
        <v>43009</v>
      </c>
      <c r="C14" s="3">
        <v>45930</v>
      </c>
    </row>
    <row r="15" spans="1:3" x14ac:dyDescent="0.2">
      <c r="C15" s="89">
        <f>+YEARFRAC(B14,C14)</f>
        <v>7.9972222222222218</v>
      </c>
    </row>
    <row r="17" spans="2:6" x14ac:dyDescent="0.2">
      <c r="B17" s="1" t="s">
        <v>213</v>
      </c>
      <c r="C17" s="1">
        <v>1200</v>
      </c>
      <c r="D17" s="1" t="s">
        <v>371</v>
      </c>
    </row>
    <row r="19" spans="2:6" x14ac:dyDescent="0.2">
      <c r="B19" s="1" t="s">
        <v>2304</v>
      </c>
      <c r="C19" s="89">
        <v>2000</v>
      </c>
    </row>
    <row r="20" spans="2:6" x14ac:dyDescent="0.2">
      <c r="B20" s="1" t="s">
        <v>2305</v>
      </c>
      <c r="C20" s="89">
        <f>+C17*2+0.5*C17</f>
        <v>3000</v>
      </c>
    </row>
    <row r="22" spans="2:6" x14ac:dyDescent="0.2">
      <c r="B22" s="88" t="s">
        <v>2306</v>
      </c>
    </row>
    <row r="23" spans="2:6" x14ac:dyDescent="0.2">
      <c r="B23" s="1" t="s">
        <v>2347</v>
      </c>
    </row>
    <row r="24" spans="2:6" x14ac:dyDescent="0.2">
      <c r="B24" s="1" t="s">
        <v>2348</v>
      </c>
    </row>
    <row r="25" spans="2:6" x14ac:dyDescent="0.2">
      <c r="B25" s="1" t="s">
        <v>2349</v>
      </c>
    </row>
    <row r="26" spans="2:6" x14ac:dyDescent="0.2">
      <c r="B26" s="1" t="s">
        <v>2350</v>
      </c>
    </row>
    <row r="29" spans="2:6" x14ac:dyDescent="0.2">
      <c r="B29" s="1" t="s">
        <v>2309</v>
      </c>
      <c r="E29" s="1">
        <v>2600</v>
      </c>
    </row>
    <row r="30" spans="2:6" x14ac:dyDescent="0.2">
      <c r="C30" s="1" t="s">
        <v>2308</v>
      </c>
      <c r="F30" s="89">
        <f>+C19</f>
        <v>2000</v>
      </c>
    </row>
    <row r="31" spans="2:6" x14ac:dyDescent="0.2">
      <c r="C31" s="1" t="s">
        <v>2307</v>
      </c>
      <c r="F31" s="1">
        <v>600</v>
      </c>
    </row>
    <row r="33" spans="2:5" x14ac:dyDescent="0.2">
      <c r="B33" s="88" t="s">
        <v>2310</v>
      </c>
    </row>
    <row r="34" spans="2:5" x14ac:dyDescent="0.2">
      <c r="B34" s="1" t="s">
        <v>2351</v>
      </c>
    </row>
    <row r="35" spans="2:5" x14ac:dyDescent="0.2">
      <c r="B35" s="1" t="s">
        <v>2352</v>
      </c>
    </row>
    <row r="36" spans="2:5" x14ac:dyDescent="0.2">
      <c r="B36" s="1" t="s">
        <v>2339</v>
      </c>
    </row>
    <row r="37" spans="2:5" x14ac:dyDescent="0.2">
      <c r="B37" s="1" t="s">
        <v>2340</v>
      </c>
    </row>
    <row r="39" spans="2:5" x14ac:dyDescent="0.2">
      <c r="B39" s="1" t="s">
        <v>2311</v>
      </c>
    </row>
    <row r="40" spans="2:5" x14ac:dyDescent="0.2">
      <c r="B40" s="1" t="s">
        <v>2339</v>
      </c>
    </row>
    <row r="41" spans="2:5" x14ac:dyDescent="0.2">
      <c r="B41" s="1" t="s">
        <v>2340</v>
      </c>
    </row>
    <row r="42" spans="2:5" x14ac:dyDescent="0.2">
      <c r="B42" s="1" t="s">
        <v>2317</v>
      </c>
      <c r="D42" s="89">
        <v>450</v>
      </c>
    </row>
    <row r="43" spans="2:5" x14ac:dyDescent="0.2">
      <c r="B43" s="1" t="s">
        <v>2316</v>
      </c>
      <c r="D43" s="89">
        <v>120</v>
      </c>
      <c r="E43" s="1" t="s">
        <v>2318</v>
      </c>
    </row>
    <row r="44" spans="2:5" x14ac:dyDescent="0.2">
      <c r="B44" s="1" t="s">
        <v>2315</v>
      </c>
      <c r="D44" s="89">
        <v>475</v>
      </c>
      <c r="E44" s="1" t="s">
        <v>2318</v>
      </c>
    </row>
    <row r="45" spans="2:5" x14ac:dyDescent="0.2">
      <c r="B45" s="1" t="s">
        <v>2314</v>
      </c>
      <c r="D45" s="89">
        <v>1416</v>
      </c>
    </row>
    <row r="46" spans="2:5" x14ac:dyDescent="0.2">
      <c r="B46" s="1" t="s">
        <v>2313</v>
      </c>
      <c r="D46" s="89">
        <v>95</v>
      </c>
      <c r="E46" s="1" t="s">
        <v>2318</v>
      </c>
    </row>
    <row r="47" spans="2:5" x14ac:dyDescent="0.2">
      <c r="D47" s="89">
        <f>SUM(D42:D46)</f>
        <v>2556</v>
      </c>
    </row>
    <row r="48" spans="2:5" x14ac:dyDescent="0.2">
      <c r="B48" s="1" t="s">
        <v>2312</v>
      </c>
      <c r="D48" s="89">
        <v>-250</v>
      </c>
      <c r="E48" s="1" t="s">
        <v>2318</v>
      </c>
    </row>
    <row r="49" spans="2:6" x14ac:dyDescent="0.2">
      <c r="B49" s="1" t="s">
        <v>2320</v>
      </c>
      <c r="D49" s="89">
        <f>SUM(D47:D48)</f>
        <v>2306</v>
      </c>
    </row>
    <row r="50" spans="2:6" x14ac:dyDescent="0.2">
      <c r="B50" s="1" t="s">
        <v>2319</v>
      </c>
      <c r="D50" s="281">
        <f>-D43-D44-D46-D48</f>
        <v>-440</v>
      </c>
    </row>
    <row r="51" spans="2:6" x14ac:dyDescent="0.2">
      <c r="B51" s="1" t="s">
        <v>2321</v>
      </c>
      <c r="D51" s="89">
        <f>SUM(D49:D50)</f>
        <v>1866</v>
      </c>
    </row>
    <row r="53" spans="2:6" x14ac:dyDescent="0.2">
      <c r="B53" s="1" t="s">
        <v>2323</v>
      </c>
      <c r="E53" s="89">
        <f>+F54</f>
        <v>440</v>
      </c>
    </row>
    <row r="54" spans="2:6" x14ac:dyDescent="0.2">
      <c r="C54" s="1" t="s">
        <v>2322</v>
      </c>
      <c r="F54" s="89">
        <f>+-D50</f>
        <v>440</v>
      </c>
    </row>
    <row r="55" spans="2:6" x14ac:dyDescent="0.2">
      <c r="B55" s="1" t="s">
        <v>2324</v>
      </c>
    </row>
    <row r="56" spans="2:6" x14ac:dyDescent="0.2">
      <c r="B56" s="1" t="s">
        <v>899</v>
      </c>
    </row>
    <row r="59" spans="2:6" x14ac:dyDescent="0.2">
      <c r="B59" s="88" t="s">
        <v>2325</v>
      </c>
    </row>
    <row r="60" spans="2:6" x14ac:dyDescent="0.2">
      <c r="B60" s="1" t="s">
        <v>2353</v>
      </c>
    </row>
    <row r="61" spans="2:6" x14ac:dyDescent="0.2">
      <c r="B61" s="1" t="s">
        <v>2354</v>
      </c>
    </row>
    <row r="62" spans="2:6" x14ac:dyDescent="0.2">
      <c r="B62" s="88"/>
    </row>
    <row r="63" spans="2:6" x14ac:dyDescent="0.2">
      <c r="B63" s="1" t="s">
        <v>2326</v>
      </c>
      <c r="D63" s="1">
        <v>180</v>
      </c>
    </row>
    <row r="65" spans="2:4" x14ac:dyDescent="0.2">
      <c r="B65" s="1" t="s">
        <v>2327</v>
      </c>
      <c r="D65" s="1" t="s">
        <v>2090</v>
      </c>
    </row>
    <row r="66" spans="2:4" x14ac:dyDescent="0.2">
      <c r="B66" s="1" t="s">
        <v>2328</v>
      </c>
      <c r="D66" s="1" t="s">
        <v>2120</v>
      </c>
    </row>
    <row r="67" spans="2:4" x14ac:dyDescent="0.2">
      <c r="B67" s="1" t="s">
        <v>2329</v>
      </c>
      <c r="D67" s="1" t="s">
        <v>2090</v>
      </c>
    </row>
    <row r="69" spans="2:4" x14ac:dyDescent="0.2">
      <c r="B69" s="1" t="s">
        <v>2330</v>
      </c>
    </row>
    <row r="70" spans="2:4" x14ac:dyDescent="0.2">
      <c r="B70" s="1" t="s">
        <v>2331</v>
      </c>
    </row>
    <row r="74" spans="2:4" x14ac:dyDescent="0.2">
      <c r="B74" s="88" t="s">
        <v>2332</v>
      </c>
    </row>
    <row r="75" spans="2:4" x14ac:dyDescent="0.2">
      <c r="B75" s="1" t="s">
        <v>2355</v>
      </c>
    </row>
    <row r="76" spans="2:4" x14ac:dyDescent="0.2">
      <c r="B76" s="1" t="s">
        <v>2356</v>
      </c>
    </row>
    <row r="77" spans="2:4" x14ac:dyDescent="0.2">
      <c r="B77" s="1" t="s">
        <v>2357</v>
      </c>
    </row>
    <row r="78" spans="2:4" x14ac:dyDescent="0.2">
      <c r="B78" s="88"/>
    </row>
    <row r="79" spans="2:4" x14ac:dyDescent="0.2">
      <c r="B79" s="1" t="s">
        <v>2333</v>
      </c>
    </row>
    <row r="80" spans="2:4" x14ac:dyDescent="0.2">
      <c r="B80" s="1" t="s">
        <v>2334</v>
      </c>
    </row>
    <row r="81" spans="2:6" x14ac:dyDescent="0.2">
      <c r="B81" s="1" t="s">
        <v>2335</v>
      </c>
    </row>
    <row r="83" spans="2:6" x14ac:dyDescent="0.2">
      <c r="B83" s="1" t="s">
        <v>213</v>
      </c>
      <c r="C83" s="1">
        <v>7200</v>
      </c>
    </row>
    <row r="84" spans="2:6" x14ac:dyDescent="0.2">
      <c r="B84" s="1" t="s">
        <v>1309</v>
      </c>
      <c r="C84" s="1">
        <v>10000</v>
      </c>
    </row>
    <row r="85" spans="2:6" x14ac:dyDescent="0.2">
      <c r="B85" s="1" t="s">
        <v>2336</v>
      </c>
      <c r="C85" s="1">
        <f>+C84-C83</f>
        <v>2800</v>
      </c>
    </row>
    <row r="87" spans="2:6" x14ac:dyDescent="0.2">
      <c r="B87" s="1" t="s">
        <v>2341</v>
      </c>
    </row>
    <row r="89" spans="2:6" x14ac:dyDescent="0.2">
      <c r="B89" s="1" t="s">
        <v>2337</v>
      </c>
    </row>
    <row r="90" spans="2:6" x14ac:dyDescent="0.2">
      <c r="B90" s="1" t="s">
        <v>2343</v>
      </c>
      <c r="E90" s="1">
        <f>+C83</f>
        <v>7200</v>
      </c>
    </row>
    <row r="91" spans="2:6" x14ac:dyDescent="0.2">
      <c r="B91" s="1" t="s">
        <v>2342</v>
      </c>
      <c r="E91" s="1">
        <f>+C85</f>
        <v>2800</v>
      </c>
    </row>
    <row r="92" spans="2:6" x14ac:dyDescent="0.2">
      <c r="C92" s="1" t="s">
        <v>447</v>
      </c>
      <c r="F92" s="1">
        <f>+E90</f>
        <v>7200</v>
      </c>
    </row>
    <row r="93" spans="2:6" x14ac:dyDescent="0.2">
      <c r="B93" s="1" t="s">
        <v>2344</v>
      </c>
    </row>
    <row r="95" spans="2:6" x14ac:dyDescent="0.2">
      <c r="B95" s="1" t="s">
        <v>2338</v>
      </c>
    </row>
  </sheetData>
  <hyperlinks>
    <hyperlink ref="A1" location="Main!A1" display="Main" xr:uid="{459D4709-A479-4BE0-9B86-B66F80409816}"/>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B3479-E11D-4770-BA5B-42DE21669931}">
  <sheetPr codeName="Sheet25"/>
  <dimension ref="A1:F49"/>
  <sheetViews>
    <sheetView workbookViewId="0"/>
  </sheetViews>
  <sheetFormatPr defaultRowHeight="12" x14ac:dyDescent="0.2"/>
  <cols>
    <col min="1" max="16384" width="9.140625" style="1"/>
  </cols>
  <sheetData>
    <row r="1" spans="1:4" ht="15" x14ac:dyDescent="0.25">
      <c r="A1" s="2" t="s">
        <v>0</v>
      </c>
    </row>
    <row r="2" spans="1:4" x14ac:dyDescent="0.2">
      <c r="B2" s="1" t="s">
        <v>1417</v>
      </c>
    </row>
    <row r="13" spans="1:4" x14ac:dyDescent="0.2">
      <c r="B13" s="1" t="s">
        <v>9</v>
      </c>
    </row>
    <row r="14" spans="1:4" x14ac:dyDescent="0.2">
      <c r="D14" s="6"/>
    </row>
    <row r="15" spans="1:4" x14ac:dyDescent="0.2">
      <c r="B15" s="1" t="s">
        <v>1418</v>
      </c>
      <c r="D15" s="6">
        <v>10000</v>
      </c>
    </row>
    <row r="16" spans="1:4" x14ac:dyDescent="0.2">
      <c r="B16" s="1" t="s">
        <v>1261</v>
      </c>
      <c r="C16" s="4">
        <v>0.2</v>
      </c>
      <c r="D16" s="1">
        <f>+C16*-D18</f>
        <v>2340</v>
      </c>
    </row>
    <row r="17" spans="2:5" x14ac:dyDescent="0.2">
      <c r="B17" s="1" t="s">
        <v>1262</v>
      </c>
      <c r="C17" s="6">
        <v>7000</v>
      </c>
      <c r="D17" s="6"/>
    </row>
    <row r="18" spans="2:5" x14ac:dyDescent="0.2">
      <c r="B18" s="1" t="s">
        <v>1264</v>
      </c>
      <c r="C18" s="6">
        <v>4700</v>
      </c>
      <c r="D18" s="6">
        <f>-SUM(C17:C18)</f>
        <v>-11700</v>
      </c>
    </row>
    <row r="19" spans="2:5" x14ac:dyDescent="0.2">
      <c r="B19" s="1" t="s">
        <v>1266</v>
      </c>
      <c r="D19" s="6">
        <f>SUM(D15:D18)</f>
        <v>640</v>
      </c>
    </row>
    <row r="20" spans="2:5" x14ac:dyDescent="0.2">
      <c r="D20" s="6"/>
    </row>
    <row r="21" spans="2:5" x14ac:dyDescent="0.2">
      <c r="B21" s="1" t="s">
        <v>1419</v>
      </c>
      <c r="D21" s="6"/>
    </row>
    <row r="22" spans="2:5" x14ac:dyDescent="0.2">
      <c r="D22" s="6"/>
    </row>
    <row r="23" spans="2:5" x14ac:dyDescent="0.2">
      <c r="B23" s="1" t="s">
        <v>1271</v>
      </c>
      <c r="D23" s="6">
        <f>+C17</f>
        <v>7000</v>
      </c>
    </row>
    <row r="24" spans="2:5" x14ac:dyDescent="0.2">
      <c r="B24" s="1" t="s">
        <v>1108</v>
      </c>
      <c r="D24" s="6">
        <f>+C18</f>
        <v>4700</v>
      </c>
    </row>
    <row r="25" spans="2:5" x14ac:dyDescent="0.2">
      <c r="B25" s="1" t="s">
        <v>1274</v>
      </c>
      <c r="D25" s="6">
        <f>+D19</f>
        <v>640</v>
      </c>
    </row>
    <row r="26" spans="2:5" x14ac:dyDescent="0.2">
      <c r="C26" s="1" t="s">
        <v>1420</v>
      </c>
      <c r="E26" s="6">
        <f>+D15</f>
        <v>10000</v>
      </c>
    </row>
    <row r="27" spans="2:5" x14ac:dyDescent="0.2">
      <c r="C27" s="1" t="s">
        <v>1276</v>
      </c>
      <c r="E27" s="1">
        <f>+D16</f>
        <v>2340</v>
      </c>
    </row>
    <row r="28" spans="2:5" x14ac:dyDescent="0.2">
      <c r="B28" s="1" t="s">
        <v>1421</v>
      </c>
    </row>
    <row r="30" spans="2:5" x14ac:dyDescent="0.2">
      <c r="B30" s="1" t="s">
        <v>1422</v>
      </c>
    </row>
    <row r="31" spans="2:5" x14ac:dyDescent="0.2">
      <c r="B31" s="1" t="s">
        <v>1266</v>
      </c>
      <c r="D31" s="6">
        <f>+D25</f>
        <v>640</v>
      </c>
    </row>
    <row r="32" spans="2:5" x14ac:dyDescent="0.2">
      <c r="B32" s="1" t="s">
        <v>1268</v>
      </c>
      <c r="D32" s="1">
        <f>0.4*D31</f>
        <v>256</v>
      </c>
    </row>
    <row r="34" spans="2:6" x14ac:dyDescent="0.2">
      <c r="B34" s="1" t="s">
        <v>1108</v>
      </c>
      <c r="E34" s="1">
        <f>+D32</f>
        <v>256</v>
      </c>
    </row>
    <row r="35" spans="2:6" x14ac:dyDescent="0.2">
      <c r="C35" s="1" t="s">
        <v>1423</v>
      </c>
      <c r="F35" s="1">
        <f>+E34</f>
        <v>256</v>
      </c>
    </row>
    <row r="36" spans="2:6" x14ac:dyDescent="0.2">
      <c r="B36" s="1" t="s">
        <v>1424</v>
      </c>
    </row>
    <row r="38" spans="2:6" x14ac:dyDescent="0.2">
      <c r="B38" s="1" t="s">
        <v>1425</v>
      </c>
    </row>
    <row r="39" spans="2:6" x14ac:dyDescent="0.2">
      <c r="B39" s="1" t="s">
        <v>334</v>
      </c>
      <c r="D39" s="6">
        <v>14000</v>
      </c>
      <c r="E39" s="1" t="s">
        <v>1426</v>
      </c>
    </row>
    <row r="40" spans="2:6" x14ac:dyDescent="0.2">
      <c r="B40" s="1" t="s">
        <v>1406</v>
      </c>
      <c r="C40" s="4">
        <v>0.8</v>
      </c>
      <c r="D40" s="6">
        <f>16000*C40</f>
        <v>12800</v>
      </c>
    </row>
    <row r="41" spans="2:6" x14ac:dyDescent="0.2">
      <c r="B41" s="1" t="s">
        <v>1430</v>
      </c>
      <c r="C41" s="4"/>
      <c r="D41" s="6">
        <f>+D25-F35</f>
        <v>384</v>
      </c>
    </row>
    <row r="42" spans="2:6" x14ac:dyDescent="0.2">
      <c r="B42" s="1" t="s">
        <v>1431</v>
      </c>
      <c r="D42" s="6">
        <f>+D39-D40-D41</f>
        <v>816</v>
      </c>
    </row>
    <row r="43" spans="2:6" x14ac:dyDescent="0.2">
      <c r="D43" s="6"/>
    </row>
    <row r="44" spans="2:6" x14ac:dyDescent="0.2">
      <c r="B44" s="1" t="s">
        <v>727</v>
      </c>
      <c r="E44" s="1">
        <v>14000</v>
      </c>
    </row>
    <row r="45" spans="2:6" x14ac:dyDescent="0.2">
      <c r="B45" s="1" t="s">
        <v>1428</v>
      </c>
      <c r="E45" s="1">
        <f>0.2*16000</f>
        <v>3200</v>
      </c>
    </row>
    <row r="46" spans="2:6" x14ac:dyDescent="0.2">
      <c r="C46" s="1" t="s">
        <v>1423</v>
      </c>
      <c r="F46" s="6">
        <f>+D41</f>
        <v>384</v>
      </c>
    </row>
    <row r="47" spans="2:6" x14ac:dyDescent="0.2">
      <c r="C47" s="1" t="s">
        <v>1429</v>
      </c>
      <c r="F47" s="6">
        <f>+D42</f>
        <v>816</v>
      </c>
    </row>
    <row r="48" spans="2:6" x14ac:dyDescent="0.2">
      <c r="C48" s="1" t="s">
        <v>1427</v>
      </c>
      <c r="F48" s="6">
        <v>16000</v>
      </c>
    </row>
    <row r="49" spans="2:2" x14ac:dyDescent="0.2">
      <c r="B49" s="1" t="s">
        <v>1432</v>
      </c>
    </row>
  </sheetData>
  <hyperlinks>
    <hyperlink ref="A1" location="Main!A1" display="Main" xr:uid="{7308CBED-66D7-4B02-97D1-CC53CA50CCC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C4A0B-B0C8-42BE-BEC0-5558F84B6B6E}">
  <dimension ref="A1:N201"/>
  <sheetViews>
    <sheetView zoomScaleNormal="100" workbookViewId="0"/>
  </sheetViews>
  <sheetFormatPr defaultRowHeight="12" x14ac:dyDescent="0.2"/>
  <cols>
    <col min="1" max="1" width="9.140625" style="1"/>
    <col min="2" max="2" width="23.140625" style="1" customWidth="1"/>
    <col min="3" max="3" width="10.5703125" style="1" bestFit="1" customWidth="1"/>
    <col min="4" max="4" width="11.7109375" style="1" bestFit="1" customWidth="1"/>
    <col min="5" max="5" width="10.7109375" style="1" bestFit="1" customWidth="1"/>
    <col min="6" max="7" width="11" style="1" bestFit="1" customWidth="1"/>
    <col min="8" max="8" width="11.5703125" style="1" bestFit="1" customWidth="1"/>
    <col min="9" max="16384" width="9.140625" style="1"/>
  </cols>
  <sheetData>
    <row r="1" spans="1:11" ht="15" x14ac:dyDescent="0.25">
      <c r="A1" s="2" t="s">
        <v>0</v>
      </c>
    </row>
    <row r="2" spans="1:11" x14ac:dyDescent="0.2">
      <c r="B2" s="1" t="s">
        <v>2543</v>
      </c>
    </row>
    <row r="3" spans="1:11" x14ac:dyDescent="0.2">
      <c r="B3" s="1" t="s">
        <v>5</v>
      </c>
      <c r="C3" s="3">
        <v>44742</v>
      </c>
    </row>
    <row r="6" spans="1:11" x14ac:dyDescent="0.2">
      <c r="C6" s="1" t="s">
        <v>2543</v>
      </c>
      <c r="D6" s="1" t="s">
        <v>2544</v>
      </c>
    </row>
    <row r="9" spans="1:11" x14ac:dyDescent="0.2">
      <c r="B9" s="1" t="s">
        <v>2545</v>
      </c>
    </row>
    <row r="10" spans="1:11" ht="12.75" thickBot="1" x14ac:dyDescent="0.25">
      <c r="B10" s="1" t="s">
        <v>2553</v>
      </c>
    </row>
    <row r="11" spans="1:11" customFormat="1" ht="15" x14ac:dyDescent="0.25">
      <c r="B11" s="126" t="s">
        <v>1818</v>
      </c>
      <c r="C11" s="108"/>
      <c r="D11" s="196"/>
      <c r="E11" s="109"/>
      <c r="F11" s="103" t="s">
        <v>1819</v>
      </c>
    </row>
    <row r="12" spans="1:11" customFormat="1" ht="15" x14ac:dyDescent="0.25">
      <c r="B12" s="113"/>
      <c r="E12" s="189" t="s">
        <v>1820</v>
      </c>
      <c r="F12" s="103" t="s">
        <v>1821</v>
      </c>
    </row>
    <row r="13" spans="1:11" customFormat="1" ht="15" x14ac:dyDescent="0.25">
      <c r="B13" s="113" t="s">
        <v>183</v>
      </c>
      <c r="E13" s="197">
        <v>25</v>
      </c>
      <c r="F13" s="103" t="s">
        <v>1822</v>
      </c>
    </row>
    <row r="14" spans="1:11" customFormat="1" ht="15" x14ac:dyDescent="0.25">
      <c r="B14" s="113"/>
      <c r="E14" s="112"/>
      <c r="F14" s="103" t="s">
        <v>1823</v>
      </c>
      <c r="K14" s="198"/>
    </row>
    <row r="15" spans="1:11" customFormat="1" ht="15" x14ac:dyDescent="0.25">
      <c r="B15" s="113" t="s">
        <v>1824</v>
      </c>
      <c r="E15" s="197">
        <v>5</v>
      </c>
      <c r="F15" s="103" t="s">
        <v>1825</v>
      </c>
    </row>
    <row r="16" spans="1:11" customFormat="1" ht="15" x14ac:dyDescent="0.25">
      <c r="B16" s="113" t="s">
        <v>1826</v>
      </c>
      <c r="E16" s="197">
        <v>30</v>
      </c>
    </row>
    <row r="17" spans="2:10" customFormat="1" ht="15" x14ac:dyDescent="0.25">
      <c r="B17" s="113"/>
      <c r="E17" s="112"/>
      <c r="F17" s="103" t="s">
        <v>1827</v>
      </c>
    </row>
    <row r="18" spans="2:10" customFormat="1" ht="15" x14ac:dyDescent="0.25">
      <c r="B18" s="113" t="s">
        <v>1828</v>
      </c>
      <c r="C18" t="s">
        <v>261</v>
      </c>
      <c r="D18" t="s">
        <v>1829</v>
      </c>
      <c r="E18" s="112"/>
    </row>
    <row r="19" spans="2:10" customFormat="1" ht="15" x14ac:dyDescent="0.25">
      <c r="B19" s="116" t="s">
        <v>1830</v>
      </c>
      <c r="C19" s="193">
        <v>8</v>
      </c>
      <c r="D19" s="193">
        <v>10</v>
      </c>
      <c r="E19" s="199">
        <f>IF(C19&lt;&gt;0,C19/D19,0)</f>
        <v>0.8</v>
      </c>
      <c r="F19" s="310">
        <v>44713</v>
      </c>
      <c r="G19" s="164">
        <f>YEARFRAC(F19,C3)*12</f>
        <v>0.96666666666666679</v>
      </c>
    </row>
    <row r="20" spans="2:10" customFormat="1" ht="15" x14ac:dyDescent="0.25">
      <c r="B20" s="116" t="s">
        <v>1832</v>
      </c>
      <c r="C20" s="193">
        <v>-12</v>
      </c>
      <c r="D20" s="193">
        <v>20</v>
      </c>
      <c r="E20" s="199">
        <f>IF(C20&lt;&gt;0,C20/D20,0)</f>
        <v>-0.6</v>
      </c>
      <c r="F20" s="216">
        <v>44682</v>
      </c>
      <c r="G20" s="164">
        <f>YEARFRAC(F20,C3)*12</f>
        <v>1.9666666666666668</v>
      </c>
    </row>
    <row r="21" spans="2:10" customFormat="1" ht="15" x14ac:dyDescent="0.25">
      <c r="B21" s="116" t="s">
        <v>1834</v>
      </c>
      <c r="C21" s="193">
        <v>0</v>
      </c>
      <c r="D21" s="193">
        <v>10</v>
      </c>
      <c r="E21" s="199">
        <f>IF(C21&lt;&gt;0,C21/D21,0)</f>
        <v>0</v>
      </c>
      <c r="F21" s="103" t="s">
        <v>1835</v>
      </c>
    </row>
    <row r="22" spans="2:10" customFormat="1" ht="15" x14ac:dyDescent="0.25">
      <c r="B22" s="113"/>
      <c r="E22" s="199">
        <f>SUM(E19:E21)</f>
        <v>0.20000000000000007</v>
      </c>
    </row>
    <row r="23" spans="2:10" customFormat="1" ht="15" x14ac:dyDescent="0.25">
      <c r="B23" s="113"/>
      <c r="E23" s="112"/>
    </row>
    <row r="24" spans="2:10" customFormat="1" ht="15" x14ac:dyDescent="0.25">
      <c r="B24" s="113" t="s">
        <v>1836</v>
      </c>
      <c r="E24" s="114">
        <f>E13+E22</f>
        <v>25.2</v>
      </c>
      <c r="J24" s="200"/>
    </row>
    <row r="25" spans="2:10" customFormat="1" ht="15.75" thickBot="1" x14ac:dyDescent="0.3">
      <c r="B25" s="118" t="s">
        <v>1824</v>
      </c>
      <c r="C25" s="119"/>
      <c r="D25" s="119"/>
      <c r="E25" s="201">
        <f>E24*E15</f>
        <v>126</v>
      </c>
    </row>
    <row r="26" spans="2:10" customFormat="1" ht="15" x14ac:dyDescent="0.25">
      <c r="E26" s="128"/>
    </row>
    <row r="27" spans="2:10" customFormat="1" ht="15" x14ac:dyDescent="0.25">
      <c r="B27" s="103" t="s">
        <v>2546</v>
      </c>
      <c r="E27" s="128"/>
    </row>
    <row r="28" spans="2:10" customFormat="1" ht="15" x14ac:dyDescent="0.25">
      <c r="B28" s="103" t="s">
        <v>2547</v>
      </c>
      <c r="E28" s="128"/>
    </row>
    <row r="29" spans="2:10" customFormat="1" ht="15" x14ac:dyDescent="0.25">
      <c r="B29" s="103" t="s">
        <v>2548</v>
      </c>
      <c r="E29" s="128"/>
    </row>
    <row r="31" spans="2:10" x14ac:dyDescent="0.2">
      <c r="B31" s="1" t="s">
        <v>262</v>
      </c>
      <c r="E31" s="1">
        <v>40</v>
      </c>
    </row>
    <row r="32" spans="2:10" x14ac:dyDescent="0.2">
      <c r="B32" s="1" t="s">
        <v>186</v>
      </c>
      <c r="E32" s="1">
        <v>-5</v>
      </c>
    </row>
    <row r="33" spans="2:6" x14ac:dyDescent="0.2">
      <c r="B33" s="1" t="s">
        <v>775</v>
      </c>
      <c r="E33" s="1">
        <f>SUM(E31:E32)</f>
        <v>35</v>
      </c>
    </row>
    <row r="34" spans="2:6" x14ac:dyDescent="0.2">
      <c r="E34" s="222">
        <f>+E33*E15</f>
        <v>175</v>
      </c>
    </row>
    <row r="35" spans="2:6" x14ac:dyDescent="0.2">
      <c r="B35" s="1" t="s">
        <v>213</v>
      </c>
      <c r="E35" s="222">
        <f>+E25</f>
        <v>126</v>
      </c>
    </row>
    <row r="37" spans="2:6" x14ac:dyDescent="0.2">
      <c r="B37" s="1" t="s">
        <v>2550</v>
      </c>
      <c r="E37" s="222">
        <f>+E13*E15</f>
        <v>125</v>
      </c>
    </row>
    <row r="38" spans="2:6" x14ac:dyDescent="0.2">
      <c r="B38" s="1" t="s">
        <v>2549</v>
      </c>
      <c r="E38" s="222">
        <f>+E25</f>
        <v>126</v>
      </c>
    </row>
    <row r="39" spans="2:6" x14ac:dyDescent="0.2">
      <c r="E39" s="222">
        <f>+E38-E37</f>
        <v>1</v>
      </c>
    </row>
    <row r="41" spans="2:6" x14ac:dyDescent="0.2">
      <c r="B41" s="1" t="s">
        <v>2551</v>
      </c>
      <c r="E41" s="222">
        <f>+E39</f>
        <v>1</v>
      </c>
    </row>
    <row r="42" spans="2:6" x14ac:dyDescent="0.2">
      <c r="C42" s="1" t="s">
        <v>1033</v>
      </c>
      <c r="F42" s="222">
        <f>+E41</f>
        <v>1</v>
      </c>
    </row>
    <row r="43" spans="2:6" x14ac:dyDescent="0.2">
      <c r="B43" s="1" t="s">
        <v>2552</v>
      </c>
    </row>
    <row r="46" spans="2:6" x14ac:dyDescent="0.2">
      <c r="B46" s="1" t="s">
        <v>2554</v>
      </c>
    </row>
    <row r="48" spans="2:6" x14ac:dyDescent="0.2">
      <c r="B48" s="3">
        <v>44713</v>
      </c>
    </row>
    <row r="49" spans="2:7" x14ac:dyDescent="0.2">
      <c r="B49" s="1" t="s">
        <v>2593</v>
      </c>
      <c r="D49" s="1">
        <v>25</v>
      </c>
    </row>
    <row r="50" spans="2:7" x14ac:dyDescent="0.2">
      <c r="B50" s="1" t="s">
        <v>708</v>
      </c>
      <c r="D50" s="1">
        <v>18</v>
      </c>
    </row>
    <row r="51" spans="2:7" x14ac:dyDescent="0.2">
      <c r="B51" s="1" t="s">
        <v>2592</v>
      </c>
      <c r="D51" s="1">
        <f>SUM(D49:D50)</f>
        <v>43</v>
      </c>
    </row>
    <row r="53" spans="2:7" x14ac:dyDescent="0.2">
      <c r="B53" s="1" t="s">
        <v>2594</v>
      </c>
      <c r="D53" s="1">
        <v>3700</v>
      </c>
      <c r="E53" s="1" t="s">
        <v>244</v>
      </c>
    </row>
    <row r="54" spans="2:7" x14ac:dyDescent="0.2">
      <c r="B54" s="1" t="s">
        <v>2593</v>
      </c>
      <c r="D54" s="1">
        <v>19</v>
      </c>
    </row>
    <row r="55" spans="2:7" x14ac:dyDescent="0.2">
      <c r="B55" s="1" t="s">
        <v>708</v>
      </c>
      <c r="D55" s="1">
        <v>18</v>
      </c>
    </row>
    <row r="56" spans="2:7" x14ac:dyDescent="0.2">
      <c r="B56" s="1" t="s">
        <v>2612</v>
      </c>
      <c r="D56" s="1">
        <f>2*D55</f>
        <v>36</v>
      </c>
    </row>
    <row r="57" spans="2:7" x14ac:dyDescent="0.2">
      <c r="D57" s="1">
        <f>SUM(D54:D56)</f>
        <v>73</v>
      </c>
    </row>
    <row r="59" spans="2:7" ht="12.75" thickBot="1" x14ac:dyDescent="0.25"/>
    <row r="60" spans="2:7" customFormat="1" ht="15" x14ac:dyDescent="0.25">
      <c r="B60" s="107" t="s">
        <v>2555</v>
      </c>
      <c r="C60" s="316">
        <f>+D57</f>
        <v>73</v>
      </c>
      <c r="G60" s="103" t="s">
        <v>2556</v>
      </c>
    </row>
    <row r="61" spans="2:7" customFormat="1" ht="15" x14ac:dyDescent="0.25">
      <c r="B61" s="113" t="s">
        <v>2557</v>
      </c>
      <c r="C61" s="317">
        <f>28*D53/4000</f>
        <v>25.9</v>
      </c>
      <c r="G61" s="103" t="s">
        <v>2558</v>
      </c>
    </row>
    <row r="62" spans="2:7" customFormat="1" ht="15" x14ac:dyDescent="0.25">
      <c r="B62" s="113" t="s">
        <v>2559</v>
      </c>
      <c r="C62" s="204">
        <f>SUM(C60:C61)</f>
        <v>98.9</v>
      </c>
      <c r="G62" s="103" t="s">
        <v>2560</v>
      </c>
    </row>
    <row r="63" spans="2:7" customFormat="1" ht="15" x14ac:dyDescent="0.25">
      <c r="B63" s="113"/>
      <c r="C63" s="318"/>
      <c r="G63" s="103" t="s">
        <v>2561</v>
      </c>
    </row>
    <row r="64" spans="2:7" customFormat="1" ht="15" x14ac:dyDescent="0.25">
      <c r="B64" s="113" t="s">
        <v>2562</v>
      </c>
      <c r="C64" s="317">
        <v>3.7</v>
      </c>
      <c r="D64" t="str">
        <f ca="1">IFERROR(_xlfn.FORMULATEXT(C64)," ")</f>
        <v xml:space="preserve"> </v>
      </c>
    </row>
    <row r="65" spans="2:5" customFormat="1" ht="15" x14ac:dyDescent="0.25">
      <c r="B65" s="113" t="s">
        <v>2563</v>
      </c>
      <c r="C65" s="317">
        <v>4</v>
      </c>
      <c r="D65" t="str">
        <f ca="1">IFERROR(_xlfn.FORMULATEXT(C65)," ")</f>
        <v xml:space="preserve"> </v>
      </c>
    </row>
    <row r="66" spans="2:5" customFormat="1" ht="15" x14ac:dyDescent="0.25">
      <c r="B66" s="113" t="s">
        <v>2564</v>
      </c>
      <c r="C66" s="317">
        <v>3.7</v>
      </c>
      <c r="D66" t="str">
        <f ca="1">IFERROR(_xlfn.FORMULATEXT(C66)," ")</f>
        <v xml:space="preserve"> </v>
      </c>
    </row>
    <row r="67" spans="2:5" customFormat="1" ht="15" x14ac:dyDescent="0.25">
      <c r="B67" s="113"/>
      <c r="C67" s="204"/>
    </row>
    <row r="68" spans="2:5" customFormat="1" ht="15" x14ac:dyDescent="0.25">
      <c r="B68" s="113" t="s">
        <v>2565</v>
      </c>
      <c r="C68" s="204">
        <f>(C65/C65)*C61</f>
        <v>25.9</v>
      </c>
      <c r="D68" s="103" t="s">
        <v>2566</v>
      </c>
    </row>
    <row r="69" spans="2:5" customFormat="1" ht="15" x14ac:dyDescent="0.25">
      <c r="B69" s="113" t="s">
        <v>2567</v>
      </c>
      <c r="C69" s="204">
        <f>C68+C60</f>
        <v>98.9</v>
      </c>
    </row>
    <row r="70" spans="2:5" customFormat="1" ht="15" x14ac:dyDescent="0.25">
      <c r="B70" s="113" t="s">
        <v>2568</v>
      </c>
      <c r="C70" s="319">
        <f>C69/C64</f>
        <v>26.72972972972973</v>
      </c>
      <c r="E70" s="102"/>
    </row>
    <row r="71" spans="2:5" customFormat="1" ht="15" x14ac:dyDescent="0.25">
      <c r="B71" s="113"/>
      <c r="C71" s="204"/>
    </row>
    <row r="72" spans="2:5" customFormat="1" ht="15" x14ac:dyDescent="0.25">
      <c r="B72" s="113"/>
      <c r="C72" s="320" t="s">
        <v>2569</v>
      </c>
    </row>
    <row r="73" spans="2:5" customFormat="1" ht="15" x14ac:dyDescent="0.25">
      <c r="B73" s="113" t="s">
        <v>2570</v>
      </c>
      <c r="C73" s="318">
        <f>C60/C64</f>
        <v>19.72972972972973</v>
      </c>
      <c r="D73" s="103" t="s">
        <v>2571</v>
      </c>
    </row>
    <row r="74" spans="2:5" customFormat="1" ht="15" x14ac:dyDescent="0.25">
      <c r="B74" s="113" t="s">
        <v>2557</v>
      </c>
      <c r="C74" s="318">
        <f>IF(C65&lt;=C64,C61/C64,C61/C65)</f>
        <v>6.4749999999999996</v>
      </c>
    </row>
    <row r="75" spans="2:5" customFormat="1" ht="15" x14ac:dyDescent="0.25">
      <c r="B75" s="113" t="s">
        <v>2572</v>
      </c>
      <c r="C75" s="321">
        <f>SUM(C73:C74)</f>
        <v>26.204729729729728</v>
      </c>
    </row>
    <row r="76" spans="2:5" customFormat="1" ht="15" x14ac:dyDescent="0.25">
      <c r="B76" s="113"/>
      <c r="C76" s="204"/>
    </row>
    <row r="77" spans="2:5" customFormat="1" ht="15.75" thickBot="1" x14ac:dyDescent="0.3">
      <c r="B77" s="118" t="s">
        <v>2573</v>
      </c>
      <c r="C77" s="322">
        <f>C66*C75</f>
        <v>96.957499999999996</v>
      </c>
    </row>
    <row r="78" spans="2:5" customFormat="1" ht="15" x14ac:dyDescent="0.25">
      <c r="C78" s="262"/>
    </row>
    <row r="79" spans="2:5" customFormat="1" ht="15" x14ac:dyDescent="0.25">
      <c r="C79" s="262"/>
    </row>
    <row r="80" spans="2:5" customFormat="1" ht="15" x14ac:dyDescent="0.25">
      <c r="C80" s="262"/>
    </row>
    <row r="81" spans="2:14" customFormat="1" ht="15" x14ac:dyDescent="0.25"/>
    <row r="82" spans="2:14" customFormat="1" ht="15" x14ac:dyDescent="0.25">
      <c r="B82" s="103" t="s">
        <v>2574</v>
      </c>
    </row>
    <row r="83" spans="2:14" customFormat="1" ht="15" x14ac:dyDescent="0.25">
      <c r="B83" s="103" t="s">
        <v>2575</v>
      </c>
    </row>
    <row r="84" spans="2:14" customFormat="1" ht="15" x14ac:dyDescent="0.25">
      <c r="B84" s="103" t="s">
        <v>2576</v>
      </c>
    </row>
    <row r="85" spans="2:14" customFormat="1" ht="15" x14ac:dyDescent="0.25">
      <c r="B85" s="103" t="s">
        <v>2577</v>
      </c>
    </row>
    <row r="86" spans="2:14" customFormat="1" ht="15.75" thickBot="1" x14ac:dyDescent="0.3">
      <c r="B86" s="103" t="s">
        <v>2578</v>
      </c>
    </row>
    <row r="87" spans="2:14" customFormat="1" ht="15" x14ac:dyDescent="0.25">
      <c r="B87" s="107" t="s">
        <v>214</v>
      </c>
      <c r="C87" s="108"/>
      <c r="D87" s="108"/>
      <c r="E87" s="108"/>
      <c r="F87" s="108"/>
      <c r="G87" s="108"/>
      <c r="H87" s="108"/>
      <c r="I87" s="108"/>
      <c r="J87" s="108"/>
      <c r="K87" s="108"/>
      <c r="L87" s="109"/>
    </row>
    <row r="88" spans="2:14" customFormat="1" ht="15" x14ac:dyDescent="0.25">
      <c r="B88" s="113" t="s">
        <v>2579</v>
      </c>
      <c r="C88" t="s">
        <v>2580</v>
      </c>
      <c r="D88" t="s">
        <v>34</v>
      </c>
      <c r="E88" t="s">
        <v>2581</v>
      </c>
      <c r="F88" t="s">
        <v>2582</v>
      </c>
      <c r="G88" t="s">
        <v>258</v>
      </c>
      <c r="H88" t="s">
        <v>2583</v>
      </c>
      <c r="I88" t="s">
        <v>214</v>
      </c>
      <c r="J88" t="s">
        <v>1739</v>
      </c>
      <c r="K88" t="s">
        <v>2584</v>
      </c>
      <c r="L88" s="112"/>
      <c r="N88" s="103"/>
    </row>
    <row r="89" spans="2:14" customFormat="1" ht="15" x14ac:dyDescent="0.25">
      <c r="B89" s="113"/>
      <c r="D89" t="s">
        <v>2585</v>
      </c>
      <c r="F89" t="s">
        <v>2585</v>
      </c>
      <c r="G89" t="s">
        <v>2585</v>
      </c>
      <c r="H89" t="s">
        <v>2585</v>
      </c>
      <c r="I89" t="s">
        <v>281</v>
      </c>
      <c r="J89" t="s">
        <v>2585</v>
      </c>
      <c r="K89" t="s">
        <v>44</v>
      </c>
      <c r="L89" s="112"/>
      <c r="N89" s="103"/>
    </row>
    <row r="90" spans="2:14" customFormat="1" ht="15" x14ac:dyDescent="0.25">
      <c r="B90" s="116"/>
      <c r="C90" s="193">
        <v>3.7</v>
      </c>
      <c r="D90" s="193">
        <f>+C70</f>
        <v>26.72972972972973</v>
      </c>
      <c r="E90" s="210">
        <f t="shared" ref="E90" si="0">D90*C90</f>
        <v>98.9</v>
      </c>
      <c r="F90" s="104">
        <v>45</v>
      </c>
      <c r="G90" s="311">
        <v>4.5454545454545459</v>
      </c>
      <c r="H90" s="193">
        <f>F90-G90</f>
        <v>40.454545454545453</v>
      </c>
      <c r="I90" s="210">
        <f t="shared" ref="I90" si="1">H90*C90</f>
        <v>149.68181818181819</v>
      </c>
      <c r="J90">
        <f>IF(E90&lt;I90,D90,H90)</f>
        <v>26.72972972972973</v>
      </c>
      <c r="K90" s="102">
        <f t="shared" ref="K90" si="2">J90*C90</f>
        <v>98.9</v>
      </c>
      <c r="L90" s="112"/>
      <c r="N90" s="103"/>
    </row>
    <row r="91" spans="2:14" customFormat="1" ht="15.75" thickBot="1" x14ac:dyDescent="0.3">
      <c r="B91" s="113"/>
      <c r="E91" s="102">
        <f>SUM(E90:E90)</f>
        <v>98.9</v>
      </c>
      <c r="I91" s="102"/>
      <c r="K91" s="127">
        <f>SUM(K90:K90)</f>
        <v>98.9</v>
      </c>
      <c r="L91" s="112"/>
      <c r="N91" s="312"/>
    </row>
    <row r="92" spans="2:14" customFormat="1" ht="16.5" thickTop="1" thickBot="1" x14ac:dyDescent="0.3">
      <c r="B92" s="118"/>
      <c r="C92" s="119"/>
      <c r="D92" s="119"/>
      <c r="E92" s="119"/>
      <c r="F92" s="119"/>
      <c r="G92" s="119"/>
      <c r="H92" s="119"/>
      <c r="I92" s="119"/>
      <c r="J92" s="119"/>
      <c r="K92" s="119"/>
      <c r="L92" s="120"/>
    </row>
    <row r="93" spans="2:14" customFormat="1" ht="15" x14ac:dyDescent="0.25"/>
    <row r="94" spans="2:14" customFormat="1" ht="15.75" thickBot="1" x14ac:dyDescent="0.3"/>
    <row r="95" spans="2:14" customFormat="1" ht="15" x14ac:dyDescent="0.25">
      <c r="B95" s="126" t="s">
        <v>2586</v>
      </c>
      <c r="C95" s="108"/>
      <c r="D95" s="109"/>
      <c r="G95" s="102"/>
    </row>
    <row r="96" spans="2:14" customFormat="1" ht="15" x14ac:dyDescent="0.25">
      <c r="B96" s="113"/>
      <c r="D96" s="112"/>
    </row>
    <row r="97" spans="2:8" customFormat="1" ht="15" x14ac:dyDescent="0.25">
      <c r="B97" s="113" t="s">
        <v>2581</v>
      </c>
      <c r="C97" s="313">
        <v>43</v>
      </c>
      <c r="D97" s="112"/>
    </row>
    <row r="98" spans="2:8" customFormat="1" ht="15" x14ac:dyDescent="0.25">
      <c r="B98" s="113" t="s">
        <v>2587</v>
      </c>
      <c r="C98" s="102">
        <f>K91</f>
        <v>98.9</v>
      </c>
      <c r="D98" s="112"/>
    </row>
    <row r="99" spans="2:8" customFormat="1" ht="15" x14ac:dyDescent="0.25">
      <c r="B99" s="113" t="s">
        <v>2588</v>
      </c>
      <c r="C99" s="102">
        <f>C98-C97</f>
        <v>55.900000000000006</v>
      </c>
      <c r="D99" s="112"/>
      <c r="G99" s="102"/>
    </row>
    <row r="100" spans="2:8" customFormat="1" ht="15" x14ac:dyDescent="0.25">
      <c r="B100" s="113"/>
      <c r="D100" s="112"/>
      <c r="H100" s="102">
        <f>31000/H102</f>
        <v>0.22187231606069283</v>
      </c>
    </row>
    <row r="101" spans="2:8" customFormat="1" ht="15" x14ac:dyDescent="0.25">
      <c r="B101" s="113"/>
      <c r="C101" s="314" t="s">
        <v>747</v>
      </c>
      <c r="D101" s="315" t="s">
        <v>2060</v>
      </c>
    </row>
    <row r="102" spans="2:8" customFormat="1" ht="15" x14ac:dyDescent="0.25">
      <c r="B102" s="113"/>
      <c r="C102" s="314" t="s">
        <v>248</v>
      </c>
      <c r="D102" s="315" t="s">
        <v>248</v>
      </c>
      <c r="G102" t="s">
        <v>2589</v>
      </c>
      <c r="H102" s="169">
        <f>214720-75000</f>
        <v>139720</v>
      </c>
    </row>
    <row r="103" spans="2:8" customFormat="1" ht="15" x14ac:dyDescent="0.25">
      <c r="B103" s="113" t="s">
        <v>2590</v>
      </c>
      <c r="C103" s="102"/>
      <c r="D103" s="114">
        <f>+C99</f>
        <v>55.900000000000006</v>
      </c>
    </row>
    <row r="104" spans="2:8" customFormat="1" ht="15" x14ac:dyDescent="0.25">
      <c r="B104" s="113" t="s">
        <v>2591</v>
      </c>
      <c r="C104" s="102">
        <f>+C99</f>
        <v>55.900000000000006</v>
      </c>
      <c r="D104" s="114"/>
    </row>
    <row r="105" spans="2:8" customFormat="1" ht="15" x14ac:dyDescent="0.25">
      <c r="B105" s="113"/>
      <c r="D105" s="112"/>
    </row>
    <row r="106" spans="2:8" customFormat="1" ht="15.75" thickBot="1" x14ac:dyDescent="0.3">
      <c r="B106" s="118"/>
      <c r="C106" s="119"/>
      <c r="D106" s="120"/>
    </row>
    <row r="109" spans="2:8" x14ac:dyDescent="0.2">
      <c r="B109" s="1" t="s">
        <v>268</v>
      </c>
      <c r="E109" s="1">
        <f>+D49-D54</f>
        <v>6</v>
      </c>
    </row>
    <row r="110" spans="2:8" x14ac:dyDescent="0.2">
      <c r="C110" s="1" t="s">
        <v>2110</v>
      </c>
      <c r="F110" s="1">
        <f>+E109</f>
        <v>6</v>
      </c>
    </row>
    <row r="111" spans="2:8" x14ac:dyDescent="0.2">
      <c r="B111" s="1" t="s">
        <v>2613</v>
      </c>
    </row>
    <row r="113" spans="2:12" x14ac:dyDescent="0.2">
      <c r="L113" s="38"/>
    </row>
    <row r="114" spans="2:12" x14ac:dyDescent="0.2">
      <c r="B114" s="88" t="s">
        <v>2595</v>
      </c>
    </row>
    <row r="115" spans="2:12" x14ac:dyDescent="0.2">
      <c r="B115" s="3">
        <v>44742</v>
      </c>
    </row>
    <row r="116" spans="2:12" x14ac:dyDescent="0.2">
      <c r="B116" s="3"/>
    </row>
    <row r="117" spans="2:12" x14ac:dyDescent="0.2">
      <c r="B117" s="3" t="s">
        <v>34</v>
      </c>
      <c r="C117" s="1">
        <v>58</v>
      </c>
    </row>
    <row r="118" spans="2:12" x14ac:dyDescent="0.2">
      <c r="B118" s="3" t="s">
        <v>694</v>
      </c>
      <c r="C118" s="1">
        <v>1.8</v>
      </c>
    </row>
    <row r="119" spans="2:12" x14ac:dyDescent="0.2">
      <c r="B119" s="3"/>
      <c r="C119" s="89">
        <f>+C117/C118</f>
        <v>32.222222222222221</v>
      </c>
    </row>
    <row r="120" spans="2:12" x14ac:dyDescent="0.2">
      <c r="B120" s="3"/>
      <c r="C120" s="89"/>
    </row>
    <row r="121" spans="2:12" x14ac:dyDescent="0.2">
      <c r="B121" s="3" t="s">
        <v>2614</v>
      </c>
      <c r="C121" s="38">
        <f>+E128/C118</f>
        <v>1.3888888888888888</v>
      </c>
    </row>
    <row r="122" spans="2:12" x14ac:dyDescent="0.2">
      <c r="B122" s="3"/>
    </row>
    <row r="123" spans="2:12" x14ac:dyDescent="0.2">
      <c r="B123" s="3"/>
    </row>
    <row r="124" spans="2:12" x14ac:dyDescent="0.2">
      <c r="B124" s="1" t="s">
        <v>2596</v>
      </c>
      <c r="C124" s="1">
        <v>58</v>
      </c>
    </row>
    <row r="126" spans="2:12" x14ac:dyDescent="0.2">
      <c r="B126" s="1" t="s">
        <v>1015</v>
      </c>
      <c r="C126" s="1">
        <v>0.5</v>
      </c>
      <c r="D126" s="223">
        <v>35</v>
      </c>
      <c r="E126" s="223">
        <f>+C121</f>
        <v>1.3888888888888888</v>
      </c>
      <c r="F126" s="223">
        <f>+C119-E126</f>
        <v>30.833333333333332</v>
      </c>
      <c r="G126" s="223">
        <f>+F126*C126</f>
        <v>15.416666666666666</v>
      </c>
      <c r="I126" s="89"/>
    </row>
    <row r="127" spans="2:12" x14ac:dyDescent="0.2">
      <c r="C127" s="1">
        <v>1.3</v>
      </c>
      <c r="D127" s="223">
        <v>30</v>
      </c>
      <c r="E127" s="223">
        <f>+C121</f>
        <v>1.3888888888888888</v>
      </c>
      <c r="F127" s="223">
        <f>+D127-E127</f>
        <v>28.611111111111111</v>
      </c>
      <c r="G127" s="223">
        <f>+F127*C127</f>
        <v>37.194444444444443</v>
      </c>
      <c r="I127" s="89"/>
    </row>
    <row r="128" spans="2:12" x14ac:dyDescent="0.2">
      <c r="C128" s="1">
        <f>SUM(C126:C127)</f>
        <v>1.8</v>
      </c>
      <c r="E128" s="223">
        <v>2.5</v>
      </c>
      <c r="G128" s="89">
        <f>SUM(G126:G127)</f>
        <v>52.611111111111107</v>
      </c>
      <c r="I128" s="89"/>
    </row>
    <row r="130" spans="2:6" x14ac:dyDescent="0.2">
      <c r="B130" s="1" t="s">
        <v>2597</v>
      </c>
    </row>
    <row r="132" spans="2:6" x14ac:dyDescent="0.2">
      <c r="B132" s="1" t="s">
        <v>1029</v>
      </c>
      <c r="E132" s="89">
        <f>+C117-G128</f>
        <v>5.3888888888888928</v>
      </c>
      <c r="F132" s="89"/>
    </row>
    <row r="133" spans="2:6" x14ac:dyDescent="0.2">
      <c r="C133" s="1" t="s">
        <v>2598</v>
      </c>
      <c r="E133" s="89"/>
      <c r="F133" s="89">
        <f>+E132</f>
        <v>5.3888888888888928</v>
      </c>
    </row>
    <row r="134" spans="2:6" x14ac:dyDescent="0.2">
      <c r="B134" s="1" t="s">
        <v>2599</v>
      </c>
    </row>
    <row r="139" spans="2:6" x14ac:dyDescent="0.2">
      <c r="C139" s="1" t="s">
        <v>2600</v>
      </c>
      <c r="D139" s="1" t="s">
        <v>2601</v>
      </c>
    </row>
    <row r="141" spans="2:6" x14ac:dyDescent="0.2">
      <c r="B141" s="1" t="s">
        <v>2602</v>
      </c>
      <c r="C141" s="89">
        <f>0.25*(500)</f>
        <v>125</v>
      </c>
      <c r="D141" s="89"/>
    </row>
    <row r="142" spans="2:6" x14ac:dyDescent="0.2">
      <c r="B142" s="1" t="s">
        <v>1644</v>
      </c>
      <c r="C142" s="89"/>
      <c r="D142" s="89">
        <f>+C141</f>
        <v>125</v>
      </c>
    </row>
    <row r="143" spans="2:6" x14ac:dyDescent="0.2">
      <c r="C143" s="89"/>
      <c r="D143" s="89"/>
    </row>
    <row r="144" spans="2:6" x14ac:dyDescent="0.2">
      <c r="B144" s="1" t="s">
        <v>2511</v>
      </c>
      <c r="C144" s="89">
        <f>+C141*(1-0.54)</f>
        <v>57.499999999999993</v>
      </c>
      <c r="D144" s="89"/>
    </row>
    <row r="145" spans="2:6" x14ac:dyDescent="0.2">
      <c r="B145" s="1" t="s">
        <v>1644</v>
      </c>
      <c r="C145" s="89"/>
      <c r="D145" s="89">
        <f>+C144</f>
        <v>57.499999999999993</v>
      </c>
    </row>
    <row r="146" spans="2:6" x14ac:dyDescent="0.2">
      <c r="C146" s="89"/>
      <c r="D146" s="89"/>
    </row>
    <row r="147" spans="2:6" x14ac:dyDescent="0.2">
      <c r="B147" s="1" t="s">
        <v>2602</v>
      </c>
      <c r="C147" s="89">
        <f>0.1*500</f>
        <v>50</v>
      </c>
      <c r="D147" s="89"/>
    </row>
    <row r="148" spans="2:6" x14ac:dyDescent="0.2">
      <c r="B148" s="1" t="s">
        <v>1644</v>
      </c>
      <c r="C148" s="89"/>
      <c r="D148" s="89">
        <f>+C147</f>
        <v>50</v>
      </c>
    </row>
    <row r="149" spans="2:6" x14ac:dyDescent="0.2">
      <c r="C149" s="89"/>
      <c r="D149" s="89"/>
    </row>
    <row r="150" spans="2:6" x14ac:dyDescent="0.2">
      <c r="B150" s="1" t="s">
        <v>2511</v>
      </c>
      <c r="C150" s="89">
        <f>+C147*(1-0.68)</f>
        <v>15.999999999999998</v>
      </c>
      <c r="D150" s="89"/>
    </row>
    <row r="151" spans="2:6" x14ac:dyDescent="0.2">
      <c r="B151" s="1" t="s">
        <v>1644</v>
      </c>
      <c r="C151" s="89"/>
      <c r="D151" s="89">
        <f>+C150</f>
        <v>15.999999999999998</v>
      </c>
    </row>
    <row r="154" spans="2:6" x14ac:dyDescent="0.2">
      <c r="B154" s="1" t="s">
        <v>2503</v>
      </c>
    </row>
    <row r="155" spans="2:6" x14ac:dyDescent="0.2">
      <c r="B155" s="1" t="s">
        <v>2504</v>
      </c>
    </row>
    <row r="156" spans="2:6" x14ac:dyDescent="0.2">
      <c r="B156" s="1" t="s">
        <v>2505</v>
      </c>
      <c r="E156" s="89">
        <v>35</v>
      </c>
      <c r="F156" s="89">
        <v>100</v>
      </c>
    </row>
    <row r="157" spans="2:6" x14ac:dyDescent="0.2">
      <c r="B157" s="1" t="s">
        <v>2506</v>
      </c>
      <c r="E157" s="89">
        <f>+E156*F157/F156</f>
        <v>26.25</v>
      </c>
      <c r="F157" s="89">
        <v>75</v>
      </c>
    </row>
    <row r="158" spans="2:6" x14ac:dyDescent="0.2">
      <c r="B158" s="1" t="s">
        <v>2507</v>
      </c>
      <c r="E158" s="89">
        <f>+E156-E157</f>
        <v>8.75</v>
      </c>
      <c r="F158" s="89"/>
    </row>
    <row r="159" spans="2:6" x14ac:dyDescent="0.2">
      <c r="E159" s="89"/>
      <c r="F159" s="89"/>
    </row>
    <row r="160" spans="2:6" x14ac:dyDescent="0.2">
      <c r="B160" s="1" t="s">
        <v>450</v>
      </c>
      <c r="E160" s="323">
        <f>35+40</f>
        <v>75</v>
      </c>
      <c r="F160" s="89"/>
    </row>
    <row r="161" spans="2:7" x14ac:dyDescent="0.2">
      <c r="B161" s="1" t="s">
        <v>2609</v>
      </c>
      <c r="E161" s="89">
        <f>+E158</f>
        <v>8.75</v>
      </c>
      <c r="F161" s="89"/>
    </row>
    <row r="162" spans="2:7" x14ac:dyDescent="0.2">
      <c r="C162" s="1" t="s">
        <v>1033</v>
      </c>
      <c r="E162" s="89"/>
      <c r="F162" s="323">
        <f>+E160</f>
        <v>75</v>
      </c>
    </row>
    <row r="163" spans="2:7" x14ac:dyDescent="0.2">
      <c r="C163" s="1" t="s">
        <v>2610</v>
      </c>
      <c r="E163" s="89"/>
      <c r="F163" s="89">
        <f>+E161</f>
        <v>8.75</v>
      </c>
    </row>
    <row r="164" spans="2:7" x14ac:dyDescent="0.2">
      <c r="E164" s="89"/>
      <c r="F164" s="89"/>
    </row>
    <row r="165" spans="2:7" x14ac:dyDescent="0.2">
      <c r="B165" s="1" t="s">
        <v>2503</v>
      </c>
      <c r="E165" s="89"/>
      <c r="F165" s="89"/>
    </row>
    <row r="166" spans="2:7" x14ac:dyDescent="0.2">
      <c r="B166" s="1" t="s">
        <v>2504</v>
      </c>
      <c r="E166" s="89"/>
      <c r="F166" s="89"/>
    </row>
    <row r="167" spans="2:7" x14ac:dyDescent="0.2">
      <c r="B167" s="1" t="s">
        <v>2505</v>
      </c>
      <c r="E167" s="89">
        <v>60</v>
      </c>
      <c r="F167" s="89">
        <v>100</v>
      </c>
    </row>
    <row r="168" spans="2:7" x14ac:dyDescent="0.2">
      <c r="B168" s="1" t="s">
        <v>2506</v>
      </c>
      <c r="E168" s="89">
        <f>+E167*F168/F167</f>
        <v>45</v>
      </c>
      <c r="F168" s="89">
        <v>75</v>
      </c>
    </row>
    <row r="169" spans="2:7" x14ac:dyDescent="0.2">
      <c r="B169" s="1" t="s">
        <v>2507</v>
      </c>
      <c r="E169" s="89">
        <f>+E167-E168</f>
        <v>15</v>
      </c>
      <c r="F169" s="89"/>
    </row>
    <row r="170" spans="2:7" x14ac:dyDescent="0.2">
      <c r="E170" s="89"/>
      <c r="F170" s="89"/>
    </row>
    <row r="171" spans="2:7" x14ac:dyDescent="0.2">
      <c r="B171" s="1" t="s">
        <v>2508</v>
      </c>
      <c r="E171" s="89">
        <v>0</v>
      </c>
      <c r="F171" s="89"/>
    </row>
    <row r="172" spans="2:7" x14ac:dyDescent="0.2">
      <c r="B172" s="1" t="s">
        <v>2509</v>
      </c>
      <c r="E172" s="89">
        <f>+E169</f>
        <v>15</v>
      </c>
      <c r="F172" s="89"/>
      <c r="G172" s="1" t="s">
        <v>2603</v>
      </c>
    </row>
    <row r="173" spans="2:7" x14ac:dyDescent="0.2">
      <c r="E173" s="89"/>
      <c r="F173" s="89"/>
      <c r="G173" s="1" t="s">
        <v>2604</v>
      </c>
    </row>
    <row r="174" spans="2:7" x14ac:dyDescent="0.2">
      <c r="E174" s="89"/>
      <c r="F174" s="89"/>
    </row>
    <row r="175" spans="2:7" x14ac:dyDescent="0.2">
      <c r="B175" s="1" t="s">
        <v>2510</v>
      </c>
      <c r="E175" s="89">
        <f>+(1-0.68)*E172</f>
        <v>4.7999999999999989</v>
      </c>
      <c r="F175" s="89"/>
      <c r="G175" s="1" t="s">
        <v>2605</v>
      </c>
    </row>
    <row r="176" spans="2:7" x14ac:dyDescent="0.2">
      <c r="E176" s="89"/>
      <c r="F176" s="89"/>
    </row>
    <row r="177" spans="2:6" x14ac:dyDescent="0.2">
      <c r="E177" s="89"/>
      <c r="F177" s="89"/>
    </row>
    <row r="178" spans="2:6" x14ac:dyDescent="0.2">
      <c r="B178" s="1" t="s">
        <v>2606</v>
      </c>
      <c r="E178" s="323">
        <f>+E167</f>
        <v>60</v>
      </c>
      <c r="F178" s="324"/>
    </row>
    <row r="179" spans="2:6" x14ac:dyDescent="0.2">
      <c r="B179" s="1" t="s">
        <v>2590</v>
      </c>
      <c r="E179" s="323">
        <f>+E172</f>
        <v>15</v>
      </c>
      <c r="F179" s="89"/>
    </row>
    <row r="180" spans="2:6" x14ac:dyDescent="0.2">
      <c r="B180" s="1" t="s">
        <v>2511</v>
      </c>
      <c r="E180" s="89">
        <f>+E175</f>
        <v>4.7999999999999989</v>
      </c>
      <c r="F180" s="89"/>
    </row>
    <row r="181" spans="2:6" x14ac:dyDescent="0.2">
      <c r="C181" s="1" t="s">
        <v>2607</v>
      </c>
      <c r="E181" s="89"/>
      <c r="F181" s="323">
        <f>+E167</f>
        <v>60</v>
      </c>
    </row>
    <row r="182" spans="2:6" x14ac:dyDescent="0.2">
      <c r="C182" s="1" t="s">
        <v>2608</v>
      </c>
      <c r="E182" s="89"/>
      <c r="F182" s="323">
        <f>+E179</f>
        <v>15</v>
      </c>
    </row>
    <row r="183" spans="2:6" x14ac:dyDescent="0.2">
      <c r="C183" s="1" t="s">
        <v>2611</v>
      </c>
      <c r="E183" s="89"/>
      <c r="F183" s="89">
        <f>+E175</f>
        <v>4.7999999999999989</v>
      </c>
    </row>
    <row r="185" spans="2:6" x14ac:dyDescent="0.2">
      <c r="B185" s="1" t="s">
        <v>2615</v>
      </c>
      <c r="E185" s="1">
        <v>60</v>
      </c>
    </row>
    <row r="186" spans="2:6" x14ac:dyDescent="0.2">
      <c r="C186" s="1" t="s">
        <v>2616</v>
      </c>
      <c r="F186" s="1">
        <f>+E185</f>
        <v>60</v>
      </c>
    </row>
    <row r="187" spans="2:6" x14ac:dyDescent="0.2">
      <c r="B187" s="1" t="s">
        <v>2617</v>
      </c>
    </row>
    <row r="191" spans="2:6" x14ac:dyDescent="0.2">
      <c r="B191" s="1" t="s">
        <v>2618</v>
      </c>
    </row>
    <row r="192" spans="2:6" x14ac:dyDescent="0.2">
      <c r="C192" s="4">
        <v>0.54</v>
      </c>
      <c r="D192" s="89">
        <v>125</v>
      </c>
      <c r="E192" s="89">
        <f>+C192*D192</f>
        <v>67.5</v>
      </c>
    </row>
    <row r="193" spans="2:6" x14ac:dyDescent="0.2">
      <c r="C193" s="4">
        <v>0.68</v>
      </c>
      <c r="D193" s="89">
        <v>50</v>
      </c>
      <c r="E193" s="89">
        <f t="shared" ref="E193:E195" si="3">+C193*D193</f>
        <v>34</v>
      </c>
    </row>
    <row r="194" spans="2:6" x14ac:dyDescent="0.2">
      <c r="C194" s="4">
        <v>0.46</v>
      </c>
      <c r="D194" s="89">
        <v>125</v>
      </c>
      <c r="E194" s="89">
        <f t="shared" si="3"/>
        <v>57.5</v>
      </c>
    </row>
    <row r="195" spans="2:6" x14ac:dyDescent="0.2">
      <c r="C195" s="4">
        <v>0.35</v>
      </c>
      <c r="D195" s="89">
        <v>50</v>
      </c>
      <c r="E195" s="89">
        <f t="shared" si="3"/>
        <v>17.5</v>
      </c>
    </row>
    <row r="196" spans="2:6" ht="12.75" thickBot="1" x14ac:dyDescent="0.25">
      <c r="B196" s="1" t="s">
        <v>1107</v>
      </c>
      <c r="C196" s="89"/>
      <c r="D196" s="89"/>
      <c r="E196" s="90">
        <f>SUM(E192:E195)</f>
        <v>176.5</v>
      </c>
    </row>
    <row r="197" spans="2:6" ht="12.75" thickTop="1" x14ac:dyDescent="0.2">
      <c r="C197" s="89"/>
      <c r="D197" s="89"/>
      <c r="E197" s="277"/>
    </row>
    <row r="198" spans="2:6" x14ac:dyDescent="0.2">
      <c r="B198" s="1" t="s">
        <v>2619</v>
      </c>
      <c r="E198" s="89">
        <f>+E193+E192</f>
        <v>101.5</v>
      </c>
    </row>
    <row r="199" spans="2:6" x14ac:dyDescent="0.2">
      <c r="B199" s="1" t="s">
        <v>1428</v>
      </c>
      <c r="E199" s="89">
        <f>+E194+E195</f>
        <v>75</v>
      </c>
    </row>
    <row r="200" spans="2:6" x14ac:dyDescent="0.2">
      <c r="C200" s="1" t="s">
        <v>1105</v>
      </c>
      <c r="F200" s="89">
        <f>SUM(E198:E199)</f>
        <v>176.5</v>
      </c>
    </row>
    <row r="201" spans="2:6" x14ac:dyDescent="0.2">
      <c r="B201" s="1" t="s">
        <v>2620</v>
      </c>
    </row>
  </sheetData>
  <hyperlinks>
    <hyperlink ref="A1" location="Main!A1" display="Main" xr:uid="{AA611286-8512-4CF7-B440-57A9A676D043}"/>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725F9-0EB8-4956-BDD1-479385A3CF15}">
  <sheetPr codeName="Sheet26"/>
  <dimension ref="A1:H136"/>
  <sheetViews>
    <sheetView zoomScaleNormal="100" workbookViewId="0"/>
  </sheetViews>
  <sheetFormatPr defaultRowHeight="12" x14ac:dyDescent="0.2"/>
  <cols>
    <col min="1" max="16384" width="9.140625" style="1"/>
  </cols>
  <sheetData>
    <row r="1" spans="1:5" ht="15" x14ac:dyDescent="0.25">
      <c r="A1" s="2" t="s">
        <v>0</v>
      </c>
    </row>
    <row r="3" spans="1:5" x14ac:dyDescent="0.2">
      <c r="B3" s="1" t="s">
        <v>541</v>
      </c>
    </row>
    <row r="4" spans="1:5" x14ac:dyDescent="0.2">
      <c r="B4" s="1" t="s">
        <v>5</v>
      </c>
      <c r="C4" s="3">
        <v>44834</v>
      </c>
    </row>
    <row r="7" spans="1:5" x14ac:dyDescent="0.2">
      <c r="B7" s="1" t="s">
        <v>9</v>
      </c>
    </row>
    <row r="8" spans="1:5" x14ac:dyDescent="0.2">
      <c r="B8" s="1" t="s">
        <v>542</v>
      </c>
    </row>
    <row r="11" spans="1:5" x14ac:dyDescent="0.2">
      <c r="B11" s="5" t="s">
        <v>543</v>
      </c>
      <c r="D11" s="1" t="s">
        <v>44</v>
      </c>
    </row>
    <row r="12" spans="1:5" x14ac:dyDescent="0.2">
      <c r="B12" s="1" t="s">
        <v>213</v>
      </c>
      <c r="C12" s="1">
        <v>2017</v>
      </c>
      <c r="D12" s="1">
        <v>1000</v>
      </c>
    </row>
    <row r="13" spans="1:5" x14ac:dyDescent="0.2">
      <c r="B13" s="1" t="s">
        <v>544</v>
      </c>
    </row>
    <row r="14" spans="1:5" x14ac:dyDescent="0.2">
      <c r="B14" s="1" t="s">
        <v>302</v>
      </c>
      <c r="C14" s="3">
        <v>44470</v>
      </c>
      <c r="D14" s="1">
        <v>600</v>
      </c>
    </row>
    <row r="15" spans="1:5" x14ac:dyDescent="0.2">
      <c r="B15" s="1" t="s">
        <v>545</v>
      </c>
      <c r="D15" s="1">
        <f>10*12</f>
        <v>120</v>
      </c>
      <c r="E15" s="1" t="s">
        <v>52</v>
      </c>
    </row>
    <row r="16" spans="1:5" x14ac:dyDescent="0.2">
      <c r="B16" s="1" t="s">
        <v>546</v>
      </c>
      <c r="C16" s="3">
        <v>44652</v>
      </c>
      <c r="D16" s="1">
        <f>2*12</f>
        <v>24</v>
      </c>
      <c r="E16" s="1" t="s">
        <v>52</v>
      </c>
    </row>
    <row r="18" spans="2:6" x14ac:dyDescent="0.2">
      <c r="B18" s="1" t="s">
        <v>547</v>
      </c>
    </row>
    <row r="20" spans="2:6" x14ac:dyDescent="0.2">
      <c r="B20" s="1" t="s">
        <v>548</v>
      </c>
    </row>
    <row r="23" spans="2:6" x14ac:dyDescent="0.2">
      <c r="B23" s="1" t="s">
        <v>549</v>
      </c>
      <c r="C23" s="3">
        <v>44835</v>
      </c>
      <c r="D23" s="6">
        <f>YEARFRAC(C23,C16)*12</f>
        <v>6</v>
      </c>
      <c r="E23" s="6">
        <f>+D12*D23/D15</f>
        <v>50</v>
      </c>
      <c r="F23" s="13" t="s">
        <v>555</v>
      </c>
    </row>
    <row r="24" spans="2:6" x14ac:dyDescent="0.2">
      <c r="B24" s="1" t="s">
        <v>550</v>
      </c>
      <c r="D24" s="6">
        <f>+YEARFRAC(C16,C4)*12</f>
        <v>5.9666666666666668</v>
      </c>
      <c r="E24" s="6">
        <f>+D14*D24/D16</f>
        <v>149.16666666666666</v>
      </c>
      <c r="F24" s="13" t="s">
        <v>554</v>
      </c>
    </row>
    <row r="25" spans="2:6" x14ac:dyDescent="0.2">
      <c r="E25" s="6">
        <f>SUM(E23:E24)</f>
        <v>199.16666666666666</v>
      </c>
    </row>
    <row r="27" spans="2:6" x14ac:dyDescent="0.2">
      <c r="B27" s="1" t="s">
        <v>551</v>
      </c>
      <c r="E27" s="6">
        <f>+E25</f>
        <v>199.16666666666666</v>
      </c>
    </row>
    <row r="28" spans="2:6" x14ac:dyDescent="0.2">
      <c r="C28" s="1" t="s">
        <v>552</v>
      </c>
      <c r="F28" s="6">
        <f>+E27</f>
        <v>199.16666666666666</v>
      </c>
    </row>
    <row r="29" spans="2:6" x14ac:dyDescent="0.2">
      <c r="B29" s="1" t="s">
        <v>553</v>
      </c>
    </row>
    <row r="32" spans="2:6" x14ac:dyDescent="0.2">
      <c r="B32" s="1" t="s">
        <v>556</v>
      </c>
    </row>
    <row r="33" spans="2:5" x14ac:dyDescent="0.2">
      <c r="B33" s="1" t="s">
        <v>566</v>
      </c>
      <c r="C33" s="1" t="s">
        <v>564</v>
      </c>
      <c r="D33" s="1">
        <v>800</v>
      </c>
      <c r="E33" s="1" t="s">
        <v>575</v>
      </c>
    </row>
    <row r="34" spans="2:5" x14ac:dyDescent="0.2">
      <c r="B34" s="1" t="s">
        <v>566</v>
      </c>
      <c r="C34" s="1" t="s">
        <v>563</v>
      </c>
      <c r="D34" s="1">
        <v>17</v>
      </c>
      <c r="E34" s="1" t="s">
        <v>576</v>
      </c>
    </row>
    <row r="35" spans="2:5" x14ac:dyDescent="0.2">
      <c r="B35" s="1" t="s">
        <v>567</v>
      </c>
      <c r="C35" s="1" t="s">
        <v>562</v>
      </c>
      <c r="D35" s="1">
        <v>960</v>
      </c>
      <c r="E35" s="1" t="s">
        <v>575</v>
      </c>
    </row>
    <row r="36" spans="2:5" x14ac:dyDescent="0.2">
      <c r="B36" s="1" t="s">
        <v>568</v>
      </c>
      <c r="C36" s="1" t="s">
        <v>561</v>
      </c>
      <c r="D36" s="1">
        <v>45</v>
      </c>
      <c r="E36" s="1" t="s">
        <v>577</v>
      </c>
    </row>
    <row r="37" spans="2:5" x14ac:dyDescent="0.2">
      <c r="B37" s="1" t="s">
        <v>565</v>
      </c>
      <c r="C37" s="1" t="s">
        <v>560</v>
      </c>
      <c r="D37" s="1">
        <v>192</v>
      </c>
      <c r="E37" s="1" t="s">
        <v>578</v>
      </c>
    </row>
    <row r="38" spans="2:5" x14ac:dyDescent="0.2">
      <c r="B38" s="1" t="s">
        <v>565</v>
      </c>
      <c r="C38" s="1" t="s">
        <v>559</v>
      </c>
      <c r="D38" s="1">
        <v>4050</v>
      </c>
      <c r="E38" s="1" t="s">
        <v>579</v>
      </c>
    </row>
    <row r="39" spans="2:5" x14ac:dyDescent="0.2">
      <c r="B39" s="1" t="s">
        <v>569</v>
      </c>
      <c r="C39" s="1" t="s">
        <v>558</v>
      </c>
      <c r="D39" s="1">
        <v>98</v>
      </c>
      <c r="E39" s="1" t="s">
        <v>575</v>
      </c>
    </row>
    <row r="40" spans="2:5" x14ac:dyDescent="0.2">
      <c r="B40" s="1" t="s">
        <v>570</v>
      </c>
      <c r="C40" s="1" t="s">
        <v>557</v>
      </c>
      <c r="D40" s="1">
        <v>138</v>
      </c>
      <c r="E40" s="1" t="s">
        <v>575</v>
      </c>
    </row>
    <row r="41" spans="2:5" x14ac:dyDescent="0.2">
      <c r="D41" s="1">
        <f>SUM(D33:D40)</f>
        <v>6300</v>
      </c>
    </row>
    <row r="42" spans="2:5" x14ac:dyDescent="0.2">
      <c r="B42" s="1" t="s">
        <v>571</v>
      </c>
    </row>
    <row r="43" spans="2:5" x14ac:dyDescent="0.2">
      <c r="D43" s="1">
        <f>-D36</f>
        <v>-45</v>
      </c>
    </row>
    <row r="44" spans="2:5" x14ac:dyDescent="0.2">
      <c r="B44" s="1" t="s">
        <v>580</v>
      </c>
      <c r="D44" s="1">
        <f>SUM(D41:D43)</f>
        <v>6255</v>
      </c>
    </row>
    <row r="47" spans="2:5" x14ac:dyDescent="0.2">
      <c r="B47" s="1" t="s">
        <v>572</v>
      </c>
    </row>
    <row r="48" spans="2:5" x14ac:dyDescent="0.2">
      <c r="B48" s="1" t="s">
        <v>573</v>
      </c>
    </row>
    <row r="49" spans="2:6" x14ac:dyDescent="0.2">
      <c r="B49" s="1" t="s">
        <v>574</v>
      </c>
    </row>
    <row r="51" spans="2:6" x14ac:dyDescent="0.2">
      <c r="B51" s="1" t="s">
        <v>581</v>
      </c>
      <c r="E51" s="1">
        <f>+D36</f>
        <v>45</v>
      </c>
    </row>
    <row r="52" spans="2:6" x14ac:dyDescent="0.2">
      <c r="C52" s="1" t="s">
        <v>583</v>
      </c>
      <c r="F52" s="1">
        <f>+E51</f>
        <v>45</v>
      </c>
    </row>
    <row r="53" spans="2:6" x14ac:dyDescent="0.2">
      <c r="B53" s="1" t="s">
        <v>584</v>
      </c>
    </row>
    <row r="55" spans="2:6" x14ac:dyDescent="0.2">
      <c r="B55" s="1" t="s">
        <v>585</v>
      </c>
      <c r="E55" s="1">
        <f>+D44</f>
        <v>6255</v>
      </c>
    </row>
    <row r="56" spans="2:6" x14ac:dyDescent="0.2">
      <c r="C56" s="1" t="s">
        <v>583</v>
      </c>
      <c r="F56" s="1">
        <f>+E55</f>
        <v>6255</v>
      </c>
    </row>
    <row r="57" spans="2:6" x14ac:dyDescent="0.2">
      <c r="B57" s="1" t="s">
        <v>586</v>
      </c>
    </row>
    <row r="60" spans="2:6" x14ac:dyDescent="0.2">
      <c r="B60" s="1" t="s">
        <v>587</v>
      </c>
    </row>
    <row r="61" spans="2:6" x14ac:dyDescent="0.2">
      <c r="B61" s="1" t="s">
        <v>588</v>
      </c>
      <c r="C61" s="3">
        <v>44501</v>
      </c>
    </row>
    <row r="62" spans="2:6" x14ac:dyDescent="0.2">
      <c r="B62" s="1" t="s">
        <v>589</v>
      </c>
      <c r="C62" s="3">
        <v>44652</v>
      </c>
    </row>
    <row r="63" spans="2:6" x14ac:dyDescent="0.2">
      <c r="B63" s="1" t="s">
        <v>590</v>
      </c>
      <c r="C63" s="3">
        <v>44712</v>
      </c>
    </row>
    <row r="65" spans="2:6" x14ac:dyDescent="0.2">
      <c r="B65" s="1" t="s">
        <v>591</v>
      </c>
    </row>
    <row r="68" spans="2:6" x14ac:dyDescent="0.2">
      <c r="B68" s="1" t="s">
        <v>593</v>
      </c>
      <c r="E68" s="1">
        <f>SUM(D33:D35)</f>
        <v>1777</v>
      </c>
    </row>
    <row r="69" spans="2:6" x14ac:dyDescent="0.2">
      <c r="C69" s="1" t="s">
        <v>582</v>
      </c>
      <c r="F69" s="1">
        <f>+E68</f>
        <v>1777</v>
      </c>
    </row>
    <row r="70" spans="2:6" x14ac:dyDescent="0.2">
      <c r="B70" s="1" t="s">
        <v>594</v>
      </c>
    </row>
    <row r="72" spans="2:6" x14ac:dyDescent="0.2">
      <c r="B72" s="1" t="s">
        <v>595</v>
      </c>
      <c r="E72" s="1">
        <f>+SUM(D44-E68)</f>
        <v>4478</v>
      </c>
    </row>
    <row r="73" spans="2:6" x14ac:dyDescent="0.2">
      <c r="C73" s="1" t="s">
        <v>596</v>
      </c>
      <c r="F73" s="1">
        <f>+E72</f>
        <v>4478</v>
      </c>
    </row>
    <row r="74" spans="2:6" x14ac:dyDescent="0.2">
      <c r="B74" s="1" t="s">
        <v>597</v>
      </c>
    </row>
    <row r="76" spans="2:6" x14ac:dyDescent="0.2">
      <c r="B76" s="1" t="s">
        <v>598</v>
      </c>
    </row>
    <row r="77" spans="2:6" x14ac:dyDescent="0.2">
      <c r="B77" s="1" t="s">
        <v>599</v>
      </c>
    </row>
    <row r="79" spans="2:6" x14ac:dyDescent="0.2">
      <c r="B79" s="1" t="s">
        <v>600</v>
      </c>
    </row>
    <row r="80" spans="2:6" x14ac:dyDescent="0.2">
      <c r="B80" s="1" t="s">
        <v>213</v>
      </c>
      <c r="C80" s="3">
        <v>44713</v>
      </c>
      <c r="D80" s="6">
        <v>4050</v>
      </c>
    </row>
    <row r="81" spans="2:6" x14ac:dyDescent="0.2">
      <c r="B81" s="1" t="s">
        <v>295</v>
      </c>
      <c r="D81" s="1">
        <v>150</v>
      </c>
    </row>
    <row r="82" spans="2:6" x14ac:dyDescent="0.2">
      <c r="B82" s="1" t="s">
        <v>601</v>
      </c>
      <c r="D82" s="1">
        <f>8*12</f>
        <v>96</v>
      </c>
      <c r="E82" s="1" t="s">
        <v>52</v>
      </c>
    </row>
    <row r="83" spans="2:6" x14ac:dyDescent="0.2">
      <c r="B83" s="1" t="s">
        <v>603</v>
      </c>
      <c r="C83" s="3">
        <v>44804</v>
      </c>
      <c r="D83" s="1">
        <f>+YEARFRAC(C80,C83)*12</f>
        <v>3</v>
      </c>
    </row>
    <row r="84" spans="2:6" x14ac:dyDescent="0.2">
      <c r="B84" s="1" t="s">
        <v>604</v>
      </c>
      <c r="C84" s="3"/>
      <c r="D84" s="1">
        <f>+YEARFRAC(C83,C4)*12</f>
        <v>1</v>
      </c>
    </row>
    <row r="86" spans="2:6" x14ac:dyDescent="0.2">
      <c r="B86" s="1" t="s">
        <v>592</v>
      </c>
      <c r="D86" s="6">
        <f>+(D80-D81)*D83/D82</f>
        <v>121.875</v>
      </c>
    </row>
    <row r="87" spans="2:6" x14ac:dyDescent="0.2">
      <c r="B87" s="1" t="s">
        <v>602</v>
      </c>
      <c r="D87" s="6">
        <f>+(D80-D81)*D84/D82</f>
        <v>40.625</v>
      </c>
    </row>
    <row r="88" spans="2:6" x14ac:dyDescent="0.2">
      <c r="D88" s="6"/>
    </row>
    <row r="89" spans="2:6" x14ac:dyDescent="0.2">
      <c r="B89" s="1" t="s">
        <v>605</v>
      </c>
      <c r="E89" s="6">
        <f>+D86</f>
        <v>121.875</v>
      </c>
    </row>
    <row r="90" spans="2:6" x14ac:dyDescent="0.2">
      <c r="B90" s="1" t="s">
        <v>606</v>
      </c>
      <c r="E90" s="6">
        <f>+D87</f>
        <v>40.625</v>
      </c>
    </row>
    <row r="91" spans="2:6" x14ac:dyDescent="0.2">
      <c r="C91" s="1" t="s">
        <v>607</v>
      </c>
      <c r="F91" s="6">
        <f>+E89</f>
        <v>121.875</v>
      </c>
    </row>
    <row r="92" spans="2:6" x14ac:dyDescent="0.2">
      <c r="C92" s="1" t="s">
        <v>307</v>
      </c>
      <c r="F92" s="6">
        <f>+E90</f>
        <v>40.625</v>
      </c>
    </row>
    <row r="93" spans="2:6" x14ac:dyDescent="0.2">
      <c r="B93" s="1" t="s">
        <v>608</v>
      </c>
    </row>
    <row r="96" spans="2:6" x14ac:dyDescent="0.2">
      <c r="B96" s="1" t="s">
        <v>49</v>
      </c>
    </row>
    <row r="97" spans="2:5" x14ac:dyDescent="0.2">
      <c r="B97" s="1" t="s">
        <v>302</v>
      </c>
      <c r="C97" s="1" t="s">
        <v>609</v>
      </c>
      <c r="D97" s="1" t="s">
        <v>610</v>
      </c>
      <c r="E97" s="1" t="s">
        <v>611</v>
      </c>
    </row>
    <row r="98" spans="2:5" x14ac:dyDescent="0.2">
      <c r="B98" s="1" t="s">
        <v>602</v>
      </c>
      <c r="C98" s="6">
        <v>56840</v>
      </c>
      <c r="D98" s="6">
        <v>86420</v>
      </c>
      <c r="E98" s="6">
        <v>32450.000000000004</v>
      </c>
    </row>
    <row r="99" spans="2:5" x14ac:dyDescent="0.2">
      <c r="B99" s="1" t="s">
        <v>613</v>
      </c>
      <c r="C99" s="6">
        <v>2000</v>
      </c>
      <c r="D99" s="6">
        <v>0</v>
      </c>
      <c r="E99" s="6">
        <v>6540</v>
      </c>
    </row>
    <row r="100" spans="2:5" x14ac:dyDescent="0.2">
      <c r="B100" s="1" t="s">
        <v>612</v>
      </c>
      <c r="C100" s="6">
        <v>1600</v>
      </c>
      <c r="D100" s="6">
        <v>4800</v>
      </c>
      <c r="E100" s="6">
        <v>1600</v>
      </c>
    </row>
    <row r="101" spans="2:5" ht="12.75" thickBot="1" x14ac:dyDescent="0.25">
      <c r="C101" s="14">
        <f>SUM(C98:C100)</f>
        <v>60440</v>
      </c>
      <c r="D101" s="14">
        <f>SUM(D98:D100)</f>
        <v>91220</v>
      </c>
      <c r="E101" s="14">
        <f>SUM(E98:E100)</f>
        <v>40590</v>
      </c>
    </row>
    <row r="102" spans="2:5" ht="12.75" thickTop="1" x14ac:dyDescent="0.2">
      <c r="C102" s="6"/>
      <c r="D102" s="6"/>
      <c r="E102" s="6"/>
    </row>
    <row r="103" spans="2:5" x14ac:dyDescent="0.2">
      <c r="B103" s="1" t="s">
        <v>78</v>
      </c>
      <c r="C103" s="6">
        <v>62560</v>
      </c>
      <c r="D103" s="6">
        <v>82800</v>
      </c>
      <c r="E103" s="6">
        <v>36800</v>
      </c>
    </row>
    <row r="104" spans="2:5" x14ac:dyDescent="0.2">
      <c r="C104" s="6"/>
      <c r="D104" s="6"/>
      <c r="E104" s="6"/>
    </row>
    <row r="105" spans="2:5" hidden="1" x14ac:dyDescent="0.2">
      <c r="B105" s="3">
        <v>45199</v>
      </c>
      <c r="C105" s="6">
        <v>16000</v>
      </c>
      <c r="D105" s="6">
        <v>24500</v>
      </c>
      <c r="E105" s="6">
        <v>11500</v>
      </c>
    </row>
    <row r="106" spans="2:5" hidden="1" x14ac:dyDescent="0.2">
      <c r="B106" s="3">
        <v>45565</v>
      </c>
      <c r="C106" s="6">
        <v>17000</v>
      </c>
      <c r="D106" s="6">
        <v>24000</v>
      </c>
      <c r="E106" s="6">
        <v>11000</v>
      </c>
    </row>
    <row r="107" spans="2:5" hidden="1" x14ac:dyDescent="0.2">
      <c r="B107" s="3">
        <v>45930</v>
      </c>
      <c r="C107" s="6">
        <v>17000</v>
      </c>
      <c r="D107" s="6">
        <v>20500</v>
      </c>
      <c r="E107" s="6">
        <v>10000</v>
      </c>
    </row>
    <row r="108" spans="2:5" hidden="1" x14ac:dyDescent="0.2">
      <c r="B108" s="3">
        <v>46295</v>
      </c>
      <c r="C108" s="6">
        <v>10000</v>
      </c>
      <c r="D108" s="6">
        <v>18000</v>
      </c>
      <c r="E108" s="6">
        <v>8000</v>
      </c>
    </row>
    <row r="109" spans="2:5" hidden="1" x14ac:dyDescent="0.2">
      <c r="B109" s="3">
        <v>46660</v>
      </c>
      <c r="C109" s="6">
        <v>8000</v>
      </c>
      <c r="D109" s="6">
        <v>12000</v>
      </c>
      <c r="E109" s="6">
        <v>0</v>
      </c>
    </row>
    <row r="110" spans="2:5" ht="12.75" thickBot="1" x14ac:dyDescent="0.25">
      <c r="B110" s="1" t="s">
        <v>83</v>
      </c>
      <c r="C110" s="14">
        <f>NPV(0.065,C105:C109)</f>
        <v>57697.394147263178</v>
      </c>
      <c r="D110" s="14">
        <f t="shared" ref="D110:E110" si="0">NPV(0.065,D105:D109)</f>
        <v>83885.809678484176</v>
      </c>
      <c r="E110" s="14">
        <f t="shared" si="0"/>
        <v>34993.449821387941</v>
      </c>
    </row>
    <row r="111" spans="2:5" ht="12.75" thickTop="1" x14ac:dyDescent="0.2">
      <c r="C111" s="18"/>
      <c r="D111" s="18"/>
      <c r="E111" s="18"/>
    </row>
    <row r="112" spans="2:5" x14ac:dyDescent="0.2">
      <c r="B112" s="1" t="s">
        <v>249</v>
      </c>
      <c r="C112" s="18">
        <f>MAX(C103,C110)</f>
        <v>62560</v>
      </c>
      <c r="D112" s="18">
        <f t="shared" ref="D112:E112" si="1">MAX(D103,D110)</f>
        <v>83885.809678484176</v>
      </c>
      <c r="E112" s="18">
        <f t="shared" si="1"/>
        <v>36800</v>
      </c>
    </row>
    <row r="113" spans="2:8" x14ac:dyDescent="0.2">
      <c r="B113" s="1" t="s">
        <v>131</v>
      </c>
      <c r="C113" s="6">
        <v>0</v>
      </c>
      <c r="D113" s="6">
        <f>MAX(D110,D103)-D101</f>
        <v>-7334.1903215158236</v>
      </c>
      <c r="E113" s="6">
        <f>MAX(E110,E103)-E101</f>
        <v>-3790</v>
      </c>
    </row>
    <row r="114" spans="2:8" x14ac:dyDescent="0.2">
      <c r="C114" s="6"/>
      <c r="D114" s="6"/>
      <c r="E114" s="6"/>
    </row>
    <row r="115" spans="2:8" x14ac:dyDescent="0.2">
      <c r="B115" s="1" t="s">
        <v>615</v>
      </c>
      <c r="C115" s="6"/>
      <c r="D115" s="6"/>
      <c r="E115" s="6"/>
    </row>
    <row r="116" spans="2:8" x14ac:dyDescent="0.2">
      <c r="B116" s="1" t="s">
        <v>602</v>
      </c>
      <c r="C116" s="6"/>
      <c r="D116" s="6"/>
      <c r="E116" s="6">
        <f>-$E$113*F116</f>
        <v>3179.3422025129344</v>
      </c>
      <c r="F116" s="4">
        <f>(E98+E100)/E101</f>
        <v>0.83887657058388765</v>
      </c>
      <c r="H116" s="1" t="s">
        <v>625</v>
      </c>
    </row>
    <row r="117" spans="2:8" x14ac:dyDescent="0.2">
      <c r="B117" s="1" t="s">
        <v>592</v>
      </c>
      <c r="C117" s="6"/>
      <c r="D117" s="6"/>
      <c r="E117" s="6">
        <f>-$E$113*F117</f>
        <v>610.65779748706586</v>
      </c>
      <c r="F117" s="4">
        <f>+E99/E101</f>
        <v>0.16112342941611235</v>
      </c>
      <c r="H117" s="1" t="s">
        <v>626</v>
      </c>
    </row>
    <row r="118" spans="2:8" x14ac:dyDescent="0.2">
      <c r="B118" s="1" t="s">
        <v>131</v>
      </c>
      <c r="C118" s="6"/>
      <c r="D118" s="6"/>
      <c r="E118" s="6">
        <f>SUM(E116:E117)</f>
        <v>3790</v>
      </c>
      <c r="H118" s="1" t="s">
        <v>627</v>
      </c>
    </row>
    <row r="119" spans="2:8" x14ac:dyDescent="0.2">
      <c r="C119" s="6"/>
      <c r="D119" s="6"/>
      <c r="E119" s="6"/>
    </row>
    <row r="120" spans="2:8" x14ac:dyDescent="0.2">
      <c r="B120" s="1" t="s">
        <v>616</v>
      </c>
      <c r="C120" s="6" t="str">
        <f>+C97</f>
        <v>Antrim</v>
      </c>
      <c r="D120" s="6" t="str">
        <f t="shared" ref="D120:E120" si="2">+D97</f>
        <v>Down</v>
      </c>
      <c r="E120" s="6" t="str">
        <f t="shared" si="2"/>
        <v>Tyrone</v>
      </c>
    </row>
    <row r="121" spans="2:8" x14ac:dyDescent="0.2">
      <c r="B121" s="1" t="s">
        <v>602</v>
      </c>
      <c r="C121" s="6"/>
      <c r="D121" s="6">
        <f>-D113</f>
        <v>7334.1903215158236</v>
      </c>
      <c r="E121" s="6">
        <f>+E123-E122</f>
        <v>3250</v>
      </c>
    </row>
    <row r="122" spans="2:8" x14ac:dyDescent="0.2">
      <c r="B122" s="1" t="s">
        <v>617</v>
      </c>
      <c r="C122" s="6"/>
      <c r="D122" s="6"/>
      <c r="E122" s="6">
        <f>+E99-6000</f>
        <v>540</v>
      </c>
      <c r="F122" s="1" t="s">
        <v>618</v>
      </c>
    </row>
    <row r="123" spans="2:8" x14ac:dyDescent="0.2">
      <c r="B123" s="1" t="s">
        <v>131</v>
      </c>
      <c r="C123" s="6"/>
      <c r="D123" s="6">
        <f>SUM(D121:D122)</f>
        <v>7334.1903215158236</v>
      </c>
      <c r="E123" s="6">
        <f>+E118</f>
        <v>3790</v>
      </c>
    </row>
    <row r="124" spans="2:8" x14ac:dyDescent="0.2">
      <c r="C124" s="6"/>
      <c r="D124" s="6"/>
      <c r="E124" s="6"/>
    </row>
    <row r="125" spans="2:8" x14ac:dyDescent="0.2">
      <c r="B125" s="1" t="s">
        <v>619</v>
      </c>
      <c r="C125" s="6"/>
      <c r="D125" s="6"/>
      <c r="E125" s="6">
        <f>SUM(D121:E121)</f>
        <v>10584.190321515824</v>
      </c>
    </row>
    <row r="126" spans="2:8" x14ac:dyDescent="0.2">
      <c r="B126" s="1" t="s">
        <v>620</v>
      </c>
      <c r="C126" s="6"/>
      <c r="D126" s="6"/>
      <c r="E126" s="6">
        <f>+E122</f>
        <v>540</v>
      </c>
    </row>
    <row r="127" spans="2:8" ht="12.75" thickBot="1" x14ac:dyDescent="0.25">
      <c r="B127" s="1" t="s">
        <v>621</v>
      </c>
      <c r="C127" s="6"/>
      <c r="D127" s="6"/>
      <c r="E127" s="14">
        <f>SUM(E125:E126)</f>
        <v>11124.190321515824</v>
      </c>
    </row>
    <row r="128" spans="2:8" ht="12.75" thickTop="1" x14ac:dyDescent="0.2">
      <c r="C128" s="6"/>
      <c r="D128" s="6"/>
      <c r="E128" s="6"/>
    </row>
    <row r="129" spans="2:6" x14ac:dyDescent="0.2">
      <c r="C129" s="6"/>
      <c r="D129" s="6"/>
      <c r="E129" s="6"/>
    </row>
    <row r="130" spans="2:6" x14ac:dyDescent="0.2">
      <c r="B130" s="1" t="s">
        <v>78</v>
      </c>
      <c r="C130" s="6">
        <v>0</v>
      </c>
      <c r="D130" s="6">
        <v>0</v>
      </c>
      <c r="E130" s="6">
        <v>6</v>
      </c>
    </row>
    <row r="131" spans="2:6" x14ac:dyDescent="0.2">
      <c r="B131" s="1" t="s">
        <v>79</v>
      </c>
      <c r="C131" s="6"/>
      <c r="D131" s="6"/>
      <c r="E131" s="6">
        <f>+E130-E99</f>
        <v>-6534</v>
      </c>
    </row>
    <row r="133" spans="2:6" x14ac:dyDescent="0.2">
      <c r="B133" s="1" t="s">
        <v>622</v>
      </c>
      <c r="E133" s="6">
        <f>+E127</f>
        <v>11124.190321515824</v>
      </c>
    </row>
    <row r="134" spans="2:6" x14ac:dyDescent="0.2">
      <c r="C134" s="1" t="s">
        <v>307</v>
      </c>
      <c r="F134" s="6">
        <f>+E125</f>
        <v>10584.190321515824</v>
      </c>
    </row>
    <row r="135" spans="2:6" x14ac:dyDescent="0.2">
      <c r="C135" s="1" t="s">
        <v>623</v>
      </c>
      <c r="F135" s="6">
        <f>+E126</f>
        <v>540</v>
      </c>
    </row>
    <row r="136" spans="2:6" x14ac:dyDescent="0.2">
      <c r="B136" s="1" t="s">
        <v>624</v>
      </c>
    </row>
  </sheetData>
  <hyperlinks>
    <hyperlink ref="A1" location="Main!A1" display="Main" xr:uid="{54BEADCE-E6CE-4763-85BF-8C6348EB7762}"/>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61966-D614-4DFD-99C8-2A651E517760}">
  <dimension ref="A1:I294"/>
  <sheetViews>
    <sheetView zoomScale="160" zoomScaleNormal="160" workbookViewId="0"/>
  </sheetViews>
  <sheetFormatPr defaultRowHeight="12" x14ac:dyDescent="0.2"/>
  <cols>
    <col min="1" max="4" width="9.140625" style="1"/>
    <col min="5" max="5" width="9.7109375" style="1" customWidth="1"/>
    <col min="6" max="16384" width="9.140625" style="1"/>
  </cols>
  <sheetData>
    <row r="1" spans="1:5" ht="15" x14ac:dyDescent="0.25">
      <c r="A1" s="2" t="s">
        <v>0</v>
      </c>
    </row>
    <row r="2" spans="1:5" x14ac:dyDescent="0.2">
      <c r="B2" s="1" t="s">
        <v>3042</v>
      </c>
    </row>
    <row r="3" spans="1:5" x14ac:dyDescent="0.2">
      <c r="B3" s="1" t="s">
        <v>5</v>
      </c>
      <c r="C3" s="3">
        <v>44834</v>
      </c>
    </row>
    <row r="4" spans="1:5" x14ac:dyDescent="0.2">
      <c r="D4" s="1" t="s">
        <v>3046</v>
      </c>
      <c r="E4" s="1" t="s">
        <v>3045</v>
      </c>
    </row>
    <row r="5" spans="1:5" x14ac:dyDescent="0.2">
      <c r="C5" s="1" t="s">
        <v>3042</v>
      </c>
      <c r="D5" s="1" t="s">
        <v>3043</v>
      </c>
      <c r="E5" s="1" t="s">
        <v>3044</v>
      </c>
    </row>
    <row r="7" spans="1:5" x14ac:dyDescent="0.2">
      <c r="B7" s="1" t="s">
        <v>3047</v>
      </c>
    </row>
    <row r="10" spans="1:5" x14ac:dyDescent="0.2">
      <c r="B10" s="1" t="s">
        <v>3048</v>
      </c>
    </row>
    <row r="11" spans="1:5" x14ac:dyDescent="0.2">
      <c r="B11" s="1" t="s">
        <v>3049</v>
      </c>
    </row>
    <row r="14" spans="1:5" x14ac:dyDescent="0.2">
      <c r="B14" s="1" t="s">
        <v>1348</v>
      </c>
      <c r="C14" s="1">
        <v>27500</v>
      </c>
    </row>
    <row r="15" spans="1:5" x14ac:dyDescent="0.2">
      <c r="B15" s="1" t="s">
        <v>1330</v>
      </c>
      <c r="C15" s="1">
        <v>1</v>
      </c>
    </row>
    <row r="16" spans="1:5" x14ac:dyDescent="0.2">
      <c r="B16" s="1" t="s">
        <v>3050</v>
      </c>
      <c r="C16" s="4">
        <v>0.06</v>
      </c>
    </row>
    <row r="17" spans="2:6" x14ac:dyDescent="0.2">
      <c r="B17" s="1" t="s">
        <v>1620</v>
      </c>
      <c r="C17" s="3">
        <v>44470</v>
      </c>
    </row>
    <row r="18" spans="2:6" x14ac:dyDescent="0.2">
      <c r="B18" s="1" t="s">
        <v>3051</v>
      </c>
      <c r="C18" s="4">
        <v>0.04</v>
      </c>
    </row>
    <row r="19" spans="2:6" x14ac:dyDescent="0.2">
      <c r="C19" s="38">
        <f>+C14*(1-C18)</f>
        <v>26400</v>
      </c>
      <c r="D19" s="1" t="s">
        <v>3054</v>
      </c>
      <c r="E19" s="1" t="s">
        <v>3055</v>
      </c>
    </row>
    <row r="20" spans="2:6" x14ac:dyDescent="0.2">
      <c r="B20" s="1" t="s">
        <v>3052</v>
      </c>
      <c r="C20" s="1">
        <v>470</v>
      </c>
      <c r="D20" s="1" t="s">
        <v>3053</v>
      </c>
    </row>
    <row r="21" spans="2:6" x14ac:dyDescent="0.2">
      <c r="B21" s="1" t="s">
        <v>3056</v>
      </c>
    </row>
    <row r="22" spans="2:6" x14ac:dyDescent="0.2">
      <c r="B22" s="1" t="s">
        <v>3057</v>
      </c>
      <c r="C22" s="33">
        <v>7.9500000000000001E-2</v>
      </c>
    </row>
    <row r="24" spans="2:6" x14ac:dyDescent="0.2">
      <c r="B24" s="3" t="s">
        <v>3061</v>
      </c>
      <c r="C24" s="38"/>
      <c r="E24" s="89">
        <f>+C20</f>
        <v>470</v>
      </c>
      <c r="F24" s="89"/>
    </row>
    <row r="25" spans="2:6" x14ac:dyDescent="0.2">
      <c r="B25" s="3"/>
      <c r="C25" s="38" t="s">
        <v>3060</v>
      </c>
      <c r="E25" s="89"/>
      <c r="F25" s="89">
        <f>+E24</f>
        <v>470</v>
      </c>
    </row>
    <row r="26" spans="2:6" x14ac:dyDescent="0.2">
      <c r="B26" s="3" t="s">
        <v>3062</v>
      </c>
      <c r="C26" s="38"/>
      <c r="E26" s="38"/>
      <c r="F26" s="38"/>
    </row>
    <row r="27" spans="2:6" x14ac:dyDescent="0.2">
      <c r="B27" s="3"/>
      <c r="C27" s="38"/>
      <c r="E27" s="38"/>
      <c r="F27" s="38"/>
    </row>
    <row r="28" spans="2:6" x14ac:dyDescent="0.2">
      <c r="C28" s="1" t="s">
        <v>3058</v>
      </c>
      <c r="D28" s="1" t="s">
        <v>3057</v>
      </c>
      <c r="E28" s="1" t="s">
        <v>375</v>
      </c>
      <c r="F28" s="1" t="s">
        <v>3059</v>
      </c>
    </row>
    <row r="29" spans="2:6" x14ac:dyDescent="0.2">
      <c r="B29" s="3">
        <v>44834</v>
      </c>
      <c r="C29" s="89">
        <f>+C19-C20</f>
        <v>25930</v>
      </c>
      <c r="D29" s="89">
        <f>+C29*$C$22</f>
        <v>2061.4349999999999</v>
      </c>
      <c r="E29" s="89">
        <f>+-($C$14*$C$16)</f>
        <v>-1650</v>
      </c>
      <c r="F29" s="89">
        <f>SUM(C29:E29)</f>
        <v>26341.435000000001</v>
      </c>
    </row>
    <row r="30" spans="2:6" x14ac:dyDescent="0.2">
      <c r="B30" s="3">
        <f>+EOMONTH(B29,12)</f>
        <v>45199</v>
      </c>
      <c r="C30" s="89">
        <f>+F29</f>
        <v>26341.435000000001</v>
      </c>
      <c r="D30" s="89">
        <f t="shared" ref="D30:D33" si="0">+C30*$C$22</f>
        <v>2094.1440825</v>
      </c>
      <c r="E30" s="89">
        <f t="shared" ref="E30:E33" si="1">+-($C$14*$C$16)</f>
        <v>-1650</v>
      </c>
      <c r="F30" s="89">
        <f>SUM(C30:E30)</f>
        <v>26785.5790825</v>
      </c>
    </row>
    <row r="31" spans="2:6" x14ac:dyDescent="0.2">
      <c r="B31" s="3">
        <f t="shared" ref="B31:B33" si="2">+EOMONTH(B30,12)</f>
        <v>45565</v>
      </c>
      <c r="C31" s="89">
        <f t="shared" ref="C31:C33" si="3">+F30</f>
        <v>26785.5790825</v>
      </c>
      <c r="D31" s="89">
        <f t="shared" si="0"/>
        <v>2129.45353705875</v>
      </c>
      <c r="E31" s="89">
        <f t="shared" si="1"/>
        <v>-1650</v>
      </c>
      <c r="F31" s="89">
        <f>SUM(C31:E31)</f>
        <v>27265.032619558751</v>
      </c>
    </row>
    <row r="32" spans="2:6" x14ac:dyDescent="0.2">
      <c r="B32" s="3">
        <f t="shared" si="2"/>
        <v>45930</v>
      </c>
      <c r="C32" s="89">
        <f t="shared" si="3"/>
        <v>27265.032619558751</v>
      </c>
      <c r="D32" s="89">
        <f t="shared" si="0"/>
        <v>2167.5700932549207</v>
      </c>
      <c r="E32" s="89">
        <f t="shared" si="1"/>
        <v>-1650</v>
      </c>
      <c r="F32" s="89">
        <f>SUM(C32:E32)</f>
        <v>27782.60271281367</v>
      </c>
    </row>
    <row r="33" spans="2:6" x14ac:dyDescent="0.2">
      <c r="B33" s="3">
        <f t="shared" si="2"/>
        <v>46295</v>
      </c>
      <c r="C33" s="89">
        <f t="shared" si="3"/>
        <v>27782.60271281367</v>
      </c>
      <c r="D33" s="89">
        <f t="shared" si="0"/>
        <v>2208.7169156686869</v>
      </c>
      <c r="E33" s="89">
        <f t="shared" si="1"/>
        <v>-1650</v>
      </c>
      <c r="F33" s="89">
        <f>SUM(C33:E33)</f>
        <v>28341.319628482357</v>
      </c>
    </row>
    <row r="34" spans="2:6" x14ac:dyDescent="0.2">
      <c r="B34" s="3"/>
      <c r="C34" s="89"/>
      <c r="D34" s="89"/>
      <c r="E34" s="89"/>
      <c r="F34" s="89"/>
    </row>
    <row r="35" spans="2:6" x14ac:dyDescent="0.2">
      <c r="B35" s="3" t="s">
        <v>3063</v>
      </c>
      <c r="C35" s="89"/>
      <c r="D35" s="89"/>
      <c r="E35" s="89">
        <f>-E29</f>
        <v>1650</v>
      </c>
      <c r="F35" s="89"/>
    </row>
    <row r="36" spans="2:6" x14ac:dyDescent="0.2">
      <c r="B36" s="3"/>
      <c r="C36" s="89" t="s">
        <v>344</v>
      </c>
      <c r="D36" s="89"/>
      <c r="E36" s="89"/>
      <c r="F36" s="89">
        <f>+E35</f>
        <v>1650</v>
      </c>
    </row>
    <row r="39" spans="2:6" x14ac:dyDescent="0.2">
      <c r="B39" s="1" t="s">
        <v>748</v>
      </c>
      <c r="E39" s="89">
        <f>2061-E35</f>
        <v>411</v>
      </c>
    </row>
    <row r="40" spans="2:6" x14ac:dyDescent="0.2">
      <c r="C40" s="1" t="s">
        <v>3054</v>
      </c>
      <c r="F40" s="89">
        <f>+F29-C29</f>
        <v>411.43500000000131</v>
      </c>
    </row>
    <row r="41" spans="2:6" x14ac:dyDescent="0.2">
      <c r="B41" s="1" t="s">
        <v>3064</v>
      </c>
    </row>
    <row r="45" spans="2:6" x14ac:dyDescent="0.2">
      <c r="B45" s="1" t="s">
        <v>3065</v>
      </c>
    </row>
    <row r="46" spans="2:6" x14ac:dyDescent="0.2">
      <c r="B46" s="3">
        <v>44834</v>
      </c>
    </row>
    <row r="47" spans="2:6" x14ac:dyDescent="0.2">
      <c r="B47" s="1" t="s">
        <v>3066</v>
      </c>
      <c r="C47" s="1">
        <v>40000</v>
      </c>
    </row>
    <row r="48" spans="2:6" x14ac:dyDescent="0.2">
      <c r="B48" s="1" t="s">
        <v>1330</v>
      </c>
      <c r="C48" s="1">
        <v>1</v>
      </c>
    </row>
    <row r="49" spans="2:6" x14ac:dyDescent="0.2">
      <c r="B49" s="1" t="s">
        <v>334</v>
      </c>
      <c r="C49" s="1">
        <f>+C47*C48</f>
        <v>40000</v>
      </c>
      <c r="D49" s="1" t="s">
        <v>3067</v>
      </c>
    </row>
    <row r="50" spans="2:6" x14ac:dyDescent="0.2">
      <c r="B50" s="1" t="s">
        <v>3068</v>
      </c>
      <c r="C50" s="4">
        <v>0.08</v>
      </c>
    </row>
    <row r="51" spans="2:6" x14ac:dyDescent="0.2">
      <c r="B51" s="1" t="s">
        <v>3069</v>
      </c>
    </row>
    <row r="53" spans="2:6" x14ac:dyDescent="0.2">
      <c r="B53" s="1" t="s">
        <v>3070</v>
      </c>
    </row>
    <row r="56" spans="2:6" x14ac:dyDescent="0.2">
      <c r="B56" s="1" t="s">
        <v>3071</v>
      </c>
      <c r="E56" s="89">
        <f>+C49</f>
        <v>40000</v>
      </c>
      <c r="F56" s="89"/>
    </row>
    <row r="57" spans="2:6" x14ac:dyDescent="0.2">
      <c r="C57" s="1" t="s">
        <v>3072</v>
      </c>
      <c r="E57" s="89"/>
      <c r="F57" s="89">
        <f>+E56</f>
        <v>40000</v>
      </c>
    </row>
    <row r="58" spans="2:6" x14ac:dyDescent="0.2">
      <c r="B58" s="1" t="s">
        <v>3073</v>
      </c>
    </row>
    <row r="62" spans="2:6" x14ac:dyDescent="0.2">
      <c r="B62" s="1" t="s">
        <v>3074</v>
      </c>
    </row>
    <row r="63" spans="2:6" x14ac:dyDescent="0.2">
      <c r="B63" s="3">
        <v>44834</v>
      </c>
    </row>
    <row r="64" spans="2:6" x14ac:dyDescent="0.2">
      <c r="B64" s="1" t="s">
        <v>1329</v>
      </c>
      <c r="C64" s="1">
        <v>15000</v>
      </c>
    </row>
    <row r="65" spans="2:5" x14ac:dyDescent="0.2">
      <c r="B65" s="1" t="s">
        <v>1330</v>
      </c>
      <c r="C65" s="1">
        <v>1</v>
      </c>
    </row>
    <row r="66" spans="2:5" x14ac:dyDescent="0.2">
      <c r="B66" s="1" t="s">
        <v>3075</v>
      </c>
      <c r="C66" s="33">
        <v>5.5E-2</v>
      </c>
    </row>
    <row r="67" spans="2:5" x14ac:dyDescent="0.2">
      <c r="B67" s="1" t="s">
        <v>3076</v>
      </c>
      <c r="C67" s="3">
        <v>45930</v>
      </c>
    </row>
    <row r="68" spans="2:5" x14ac:dyDescent="0.2">
      <c r="B68" s="1" t="s">
        <v>3077</v>
      </c>
      <c r="C68" s="1" t="s">
        <v>3078</v>
      </c>
    </row>
    <row r="69" spans="2:5" x14ac:dyDescent="0.2">
      <c r="B69" s="1" t="s">
        <v>3079</v>
      </c>
      <c r="C69" s="1">
        <f>+C64/3</f>
        <v>5000</v>
      </c>
      <c r="D69" s="1" t="s">
        <v>2734</v>
      </c>
    </row>
    <row r="70" spans="2:5" x14ac:dyDescent="0.2">
      <c r="B70" s="1" t="s">
        <v>334</v>
      </c>
      <c r="C70" s="1">
        <f>+C64*C65</f>
        <v>15000</v>
      </c>
      <c r="D70" s="1" t="s">
        <v>3080</v>
      </c>
    </row>
    <row r="71" spans="2:5" x14ac:dyDescent="0.2">
      <c r="B71" s="1" t="s">
        <v>3081</v>
      </c>
    </row>
    <row r="73" spans="2:5" x14ac:dyDescent="0.2">
      <c r="C73" s="1" t="s">
        <v>3083</v>
      </c>
      <c r="D73" s="1" t="s">
        <v>3082</v>
      </c>
    </row>
    <row r="74" spans="2:5" x14ac:dyDescent="0.2">
      <c r="B74" s="3">
        <v>45199</v>
      </c>
      <c r="C74" s="89">
        <f>+$C$64*$C$66</f>
        <v>825</v>
      </c>
      <c r="D74" s="1">
        <v>0.93500000000000005</v>
      </c>
      <c r="E74" s="89">
        <f>+C74*D74</f>
        <v>771.375</v>
      </c>
    </row>
    <row r="75" spans="2:5" x14ac:dyDescent="0.2">
      <c r="B75" s="3">
        <f>EOMONTH(B74,12)</f>
        <v>45565</v>
      </c>
      <c r="C75" s="89">
        <f>+$C$64*$C$66</f>
        <v>825</v>
      </c>
      <c r="D75" s="1">
        <v>0.873</v>
      </c>
      <c r="E75" s="89">
        <f t="shared" ref="E75:E77" si="4">+C75*D75</f>
        <v>720.22500000000002</v>
      </c>
    </row>
    <row r="76" spans="2:5" x14ac:dyDescent="0.2">
      <c r="B76" s="3">
        <f t="shared" ref="B76" si="5">EOMONTH(B75,12)</f>
        <v>45930</v>
      </c>
      <c r="C76" s="89">
        <f>+$C$64*$C$66</f>
        <v>825</v>
      </c>
      <c r="D76" s="1">
        <v>0.81599999999999995</v>
      </c>
      <c r="E76" s="89">
        <f t="shared" si="4"/>
        <v>673.19999999999993</v>
      </c>
    </row>
    <row r="77" spans="2:5" x14ac:dyDescent="0.2">
      <c r="B77" s="3"/>
      <c r="C77" s="89">
        <f>+C64</f>
        <v>15000</v>
      </c>
      <c r="D77" s="1">
        <v>0.81599999999999995</v>
      </c>
      <c r="E77" s="89">
        <f t="shared" si="4"/>
        <v>12240</v>
      </c>
    </row>
    <row r="78" spans="2:5" x14ac:dyDescent="0.2">
      <c r="E78" s="89">
        <f>SUM(E74:E77)</f>
        <v>14404.8</v>
      </c>
    </row>
    <row r="81" spans="2:6" x14ac:dyDescent="0.2">
      <c r="C81" s="1" t="s">
        <v>3084</v>
      </c>
      <c r="E81" s="1" t="s">
        <v>1331</v>
      </c>
    </row>
    <row r="82" spans="2:6" x14ac:dyDescent="0.2">
      <c r="B82" s="1">
        <v>45199</v>
      </c>
      <c r="C82" s="89">
        <f>+E78</f>
        <v>14404.8</v>
      </c>
      <c r="D82" s="89">
        <f>+C82*0.07</f>
        <v>1008.336</v>
      </c>
      <c r="E82" s="89">
        <f>+$C$64*$C$66*-1</f>
        <v>-825</v>
      </c>
      <c r="F82" s="89">
        <f>SUM(C82:E82)</f>
        <v>14588.135999999999</v>
      </c>
    </row>
    <row r="83" spans="2:6" x14ac:dyDescent="0.2">
      <c r="B83" s="1">
        <v>45565</v>
      </c>
      <c r="C83" s="89">
        <f>+F82</f>
        <v>14588.135999999999</v>
      </c>
      <c r="D83" s="89">
        <f t="shared" ref="D83:D84" si="6">+C83*0.07</f>
        <v>1021.16952</v>
      </c>
      <c r="E83" s="89">
        <f t="shared" ref="E83:E84" si="7">+$C$64*$C$66*-1</f>
        <v>-825</v>
      </c>
      <c r="F83" s="89">
        <f t="shared" ref="F83:F84" si="8">SUM(C83:E83)</f>
        <v>14784.305519999998</v>
      </c>
    </row>
    <row r="84" spans="2:6" x14ac:dyDescent="0.2">
      <c r="B84" s="1">
        <v>45930</v>
      </c>
      <c r="C84" s="89">
        <f>+F83</f>
        <v>14784.305519999998</v>
      </c>
      <c r="D84" s="89">
        <f t="shared" si="6"/>
        <v>1034.9013863999999</v>
      </c>
      <c r="E84" s="89">
        <f t="shared" si="7"/>
        <v>-825</v>
      </c>
      <c r="F84" s="89">
        <f t="shared" si="8"/>
        <v>14994.206906399999</v>
      </c>
    </row>
    <row r="87" spans="2:6" x14ac:dyDescent="0.2">
      <c r="B87" s="1" t="s">
        <v>1311</v>
      </c>
      <c r="E87" s="89">
        <f>+C70-C82</f>
        <v>595.20000000000073</v>
      </c>
    </row>
    <row r="88" spans="2:6" x14ac:dyDescent="0.2">
      <c r="C88" s="1" t="s">
        <v>1872</v>
      </c>
      <c r="F88" s="89">
        <f>+E87</f>
        <v>595.20000000000073</v>
      </c>
    </row>
    <row r="89" spans="2:6" x14ac:dyDescent="0.2">
      <c r="B89" s="1" t="s">
        <v>3085</v>
      </c>
    </row>
    <row r="92" spans="2:6" x14ac:dyDescent="0.2">
      <c r="B92" s="1" t="s">
        <v>3086</v>
      </c>
    </row>
    <row r="94" spans="2:6" x14ac:dyDescent="0.2">
      <c r="D94" s="1" t="s">
        <v>3087</v>
      </c>
      <c r="F94" s="1" t="s">
        <v>476</v>
      </c>
    </row>
    <row r="95" spans="2:6" x14ac:dyDescent="0.2">
      <c r="B95" s="1" t="s">
        <v>1318</v>
      </c>
      <c r="C95" s="3">
        <v>44805</v>
      </c>
      <c r="D95" s="89">
        <v>90000</v>
      </c>
      <c r="E95" s="1">
        <v>5.8</v>
      </c>
      <c r="F95" s="89">
        <f>+D95/E95</f>
        <v>15517.241379310346</v>
      </c>
    </row>
    <row r="96" spans="2:6" x14ac:dyDescent="0.2">
      <c r="B96" s="1" t="s">
        <v>3088</v>
      </c>
      <c r="C96" s="3">
        <v>44834</v>
      </c>
      <c r="D96" s="89">
        <v>90000</v>
      </c>
      <c r="E96" s="1">
        <v>5.92</v>
      </c>
      <c r="F96" s="89">
        <f>+D96/E96</f>
        <v>15202.702702702703</v>
      </c>
    </row>
    <row r="97" spans="2:6" x14ac:dyDescent="0.2">
      <c r="B97" s="1" t="s">
        <v>3089</v>
      </c>
      <c r="F97" s="89">
        <f>+F96-F95</f>
        <v>-314.53867660764263</v>
      </c>
    </row>
    <row r="98" spans="2:6" x14ac:dyDescent="0.2">
      <c r="B98" s="1" t="s">
        <v>3090</v>
      </c>
    </row>
    <row r="100" spans="2:6" x14ac:dyDescent="0.2">
      <c r="B100" s="1" t="s">
        <v>2176</v>
      </c>
      <c r="E100" s="89">
        <f>-F97</f>
        <v>314.53867660764263</v>
      </c>
    </row>
    <row r="101" spans="2:6" x14ac:dyDescent="0.2">
      <c r="C101" s="1" t="s">
        <v>3091</v>
      </c>
      <c r="F101" s="89">
        <f>+E100</f>
        <v>314.53867660764263</v>
      </c>
    </row>
    <row r="102" spans="2:6" x14ac:dyDescent="0.2">
      <c r="B102" s="1" t="s">
        <v>3092</v>
      </c>
    </row>
    <row r="106" spans="2:6" x14ac:dyDescent="0.2">
      <c r="B106" s="1" t="s">
        <v>49</v>
      </c>
    </row>
    <row r="109" spans="2:6" x14ac:dyDescent="0.2">
      <c r="B109" s="1" t="s">
        <v>2469</v>
      </c>
      <c r="E109" s="89">
        <v>50000</v>
      </c>
    </row>
    <row r="110" spans="2:6" x14ac:dyDescent="0.2">
      <c r="B110" s="1" t="s">
        <v>1261</v>
      </c>
      <c r="D110" s="4">
        <v>0.2</v>
      </c>
      <c r="E110" s="89">
        <f>-D110*E113</f>
        <v>10790.04</v>
      </c>
    </row>
    <row r="111" spans="2:6" x14ac:dyDescent="0.2">
      <c r="B111" s="1" t="s">
        <v>1262</v>
      </c>
      <c r="D111" s="89">
        <v>40000</v>
      </c>
      <c r="E111" s="89"/>
    </row>
    <row r="112" spans="2:6" x14ac:dyDescent="0.2">
      <c r="B112" s="1" t="s">
        <v>1263</v>
      </c>
      <c r="D112" s="89">
        <v>10000</v>
      </c>
      <c r="E112" s="89"/>
    </row>
    <row r="113" spans="2:6" x14ac:dyDescent="0.2">
      <c r="B113" s="1" t="s">
        <v>1264</v>
      </c>
      <c r="D113" s="89">
        <v>3950</v>
      </c>
      <c r="E113" s="89">
        <f>-SUM(D110:D113)</f>
        <v>-53950.2</v>
      </c>
    </row>
    <row r="114" spans="2:6" x14ac:dyDescent="0.2">
      <c r="B114" s="1" t="s">
        <v>1266</v>
      </c>
      <c r="E114" s="89">
        <f>SUM(E109:E113)</f>
        <v>6839.8400000000038</v>
      </c>
    </row>
    <row r="117" spans="2:6" x14ac:dyDescent="0.2">
      <c r="B117" s="1" t="s">
        <v>1271</v>
      </c>
      <c r="E117" s="89">
        <f>+D111</f>
        <v>40000</v>
      </c>
    </row>
    <row r="118" spans="2:6" x14ac:dyDescent="0.2">
      <c r="B118" s="1" t="s">
        <v>1272</v>
      </c>
      <c r="E118" s="89">
        <f>+D112</f>
        <v>10000</v>
      </c>
    </row>
    <row r="119" spans="2:6" x14ac:dyDescent="0.2">
      <c r="B119" s="1" t="s">
        <v>1108</v>
      </c>
      <c r="E119" s="89">
        <f>+D113</f>
        <v>3950</v>
      </c>
    </row>
    <row r="120" spans="2:6" x14ac:dyDescent="0.2">
      <c r="B120" s="1" t="s">
        <v>2513</v>
      </c>
      <c r="E120" s="89">
        <f>+E114</f>
        <v>6839.8400000000038</v>
      </c>
    </row>
    <row r="121" spans="2:6" x14ac:dyDescent="0.2">
      <c r="C121" s="1" t="s">
        <v>3093</v>
      </c>
      <c r="F121" s="89">
        <f>+E109</f>
        <v>50000</v>
      </c>
    </row>
    <row r="122" spans="2:6" x14ac:dyDescent="0.2">
      <c r="C122" s="1" t="s">
        <v>1276</v>
      </c>
      <c r="F122" s="89">
        <f>+E110</f>
        <v>10790.04</v>
      </c>
    </row>
    <row r="124" spans="2:6" x14ac:dyDescent="0.2">
      <c r="B124" s="1" t="s">
        <v>3094</v>
      </c>
    </row>
    <row r="125" spans="2:6" x14ac:dyDescent="0.2">
      <c r="B125" s="1" t="s">
        <v>2978</v>
      </c>
    </row>
    <row r="127" spans="2:6" x14ac:dyDescent="0.2">
      <c r="B127" s="1" t="s">
        <v>3095</v>
      </c>
    </row>
    <row r="129" spans="2:6" x14ac:dyDescent="0.2">
      <c r="B129" s="1" t="s">
        <v>1264</v>
      </c>
      <c r="C129" s="3">
        <v>44834</v>
      </c>
      <c r="E129" s="1">
        <v>28670</v>
      </c>
    </row>
    <row r="130" spans="2:6" x14ac:dyDescent="0.2">
      <c r="B130" s="1" t="s">
        <v>2250</v>
      </c>
      <c r="C130" s="3">
        <v>44834</v>
      </c>
      <c r="E130" s="1">
        <v>22360</v>
      </c>
    </row>
    <row r="131" spans="2:6" x14ac:dyDescent="0.2">
      <c r="B131" s="1" t="s">
        <v>3096</v>
      </c>
      <c r="C131" s="3"/>
      <c r="E131" s="89">
        <v>15000</v>
      </c>
    </row>
    <row r="132" spans="2:6" x14ac:dyDescent="0.2">
      <c r="B132" s="1" t="s">
        <v>1264</v>
      </c>
      <c r="C132" s="3">
        <v>44469</v>
      </c>
      <c r="E132" s="89">
        <f>+E129-E130+E131</f>
        <v>21310</v>
      </c>
    </row>
    <row r="133" spans="2:6" x14ac:dyDescent="0.2">
      <c r="B133" s="1" t="s">
        <v>3097</v>
      </c>
      <c r="C133" s="1" t="s">
        <v>3098</v>
      </c>
      <c r="E133" s="1">
        <v>3950</v>
      </c>
    </row>
    <row r="134" spans="2:6" x14ac:dyDescent="0.2">
      <c r="B134" s="1" t="s">
        <v>1796</v>
      </c>
      <c r="E134" s="89">
        <f>+E132-E133</f>
        <v>17360</v>
      </c>
    </row>
    <row r="135" spans="2:6" x14ac:dyDescent="0.2">
      <c r="B135" s="1" t="s">
        <v>2493</v>
      </c>
      <c r="D135" s="1">
        <v>0.2</v>
      </c>
      <c r="E135" s="1">
        <f>+D135*E134</f>
        <v>3472</v>
      </c>
    </row>
    <row r="138" spans="2:6" x14ac:dyDescent="0.2">
      <c r="B138" s="1" t="s">
        <v>1108</v>
      </c>
      <c r="E138" s="1">
        <f>+E135</f>
        <v>3472</v>
      </c>
    </row>
    <row r="139" spans="2:6" x14ac:dyDescent="0.2">
      <c r="C139" s="1" t="s">
        <v>1276</v>
      </c>
      <c r="F139" s="1">
        <f>+E138</f>
        <v>3472</v>
      </c>
    </row>
    <row r="140" spans="2:6" x14ac:dyDescent="0.2">
      <c r="B140" s="1" t="s">
        <v>3099</v>
      </c>
    </row>
    <row r="142" spans="2:6" x14ac:dyDescent="0.2">
      <c r="B142" s="1" t="s">
        <v>3100</v>
      </c>
    </row>
    <row r="143" spans="2:6" x14ac:dyDescent="0.2">
      <c r="B143" s="1" t="s">
        <v>2711</v>
      </c>
      <c r="E143" s="89">
        <f>0.2*E130</f>
        <v>4472</v>
      </c>
      <c r="F143" s="89"/>
    </row>
    <row r="144" spans="2:6" x14ac:dyDescent="0.2">
      <c r="C144" s="1" t="s">
        <v>3101</v>
      </c>
      <c r="E144" s="89"/>
      <c r="F144" s="89">
        <f>+E143</f>
        <v>4472</v>
      </c>
    </row>
    <row r="145" spans="2:9" x14ac:dyDescent="0.2">
      <c r="H145" s="38"/>
      <c r="I145" s="4"/>
    </row>
    <row r="146" spans="2:9" x14ac:dyDescent="0.2">
      <c r="H146" s="286"/>
      <c r="I146" s="4"/>
    </row>
    <row r="147" spans="2:9" x14ac:dyDescent="0.2">
      <c r="B147" s="1" t="s">
        <v>3102</v>
      </c>
      <c r="H147" s="38"/>
    </row>
    <row r="148" spans="2:9" x14ac:dyDescent="0.2">
      <c r="H148" s="38"/>
    </row>
    <row r="149" spans="2:9" x14ac:dyDescent="0.2">
      <c r="B149" s="1" t="s">
        <v>2996</v>
      </c>
      <c r="H149" s="38"/>
    </row>
    <row r="150" spans="2:9" x14ac:dyDescent="0.2">
      <c r="B150" s="1" t="s">
        <v>2492</v>
      </c>
      <c r="E150" s="1">
        <f>15000*0.8</f>
        <v>12000</v>
      </c>
      <c r="H150" s="38"/>
    </row>
    <row r="151" spans="2:9" x14ac:dyDescent="0.2">
      <c r="B151" s="1" t="s">
        <v>2493</v>
      </c>
      <c r="E151" s="1">
        <f>0.2*15000</f>
        <v>3000</v>
      </c>
      <c r="H151" s="38"/>
    </row>
    <row r="152" spans="2:9" x14ac:dyDescent="0.2">
      <c r="E152" s="1">
        <f>SUM(E150:E151)</f>
        <v>15000</v>
      </c>
    </row>
    <row r="154" spans="2:9" x14ac:dyDescent="0.2">
      <c r="B154" s="1" t="s">
        <v>2619</v>
      </c>
      <c r="E154" s="1">
        <f>+E150</f>
        <v>12000</v>
      </c>
    </row>
    <row r="155" spans="2:9" x14ac:dyDescent="0.2">
      <c r="B155" s="1" t="s">
        <v>1428</v>
      </c>
      <c r="E155" s="1">
        <f>+E151</f>
        <v>3000</v>
      </c>
    </row>
    <row r="156" spans="2:9" x14ac:dyDescent="0.2">
      <c r="C156" s="1" t="s">
        <v>3157</v>
      </c>
      <c r="F156" s="1" cm="1">
        <f t="array" ref="F156">SUM(+E154:E155)</f>
        <v>15000</v>
      </c>
    </row>
    <row r="157" spans="2:9" x14ac:dyDescent="0.2">
      <c r="B157" s="1" t="s">
        <v>3158</v>
      </c>
    </row>
    <row r="159" spans="2:9" x14ac:dyDescent="0.2">
      <c r="B159" s="1" t="s">
        <v>1015</v>
      </c>
    </row>
    <row r="160" spans="2:9" x14ac:dyDescent="0.2">
      <c r="B160" s="1" t="s">
        <v>2505</v>
      </c>
      <c r="E160" s="89">
        <v>47340</v>
      </c>
    </row>
    <row r="161" spans="2:6" x14ac:dyDescent="0.2">
      <c r="B161" s="1" t="s">
        <v>2506</v>
      </c>
      <c r="E161" s="89">
        <f>+E160*0.714285714285714</f>
        <v>33814.285714285717</v>
      </c>
    </row>
    <row r="162" spans="2:6" x14ac:dyDescent="0.2">
      <c r="B162" s="1" t="s">
        <v>2507</v>
      </c>
      <c r="E162" s="89">
        <f>+E160-E161</f>
        <v>13525.714285714283</v>
      </c>
    </row>
    <row r="163" spans="2:6" x14ac:dyDescent="0.2">
      <c r="E163" s="6"/>
    </row>
    <row r="164" spans="2:6" x14ac:dyDescent="0.2">
      <c r="B164" s="1" t="s">
        <v>2508</v>
      </c>
      <c r="E164" s="38">
        <f>88%*E162</f>
        <v>11902.62857142857</v>
      </c>
    </row>
    <row r="165" spans="2:6" x14ac:dyDescent="0.2">
      <c r="B165" s="1" t="s">
        <v>2509</v>
      </c>
      <c r="E165" s="38">
        <f>+E162-E164</f>
        <v>1623.085714285713</v>
      </c>
    </row>
    <row r="166" spans="2:6" x14ac:dyDescent="0.2">
      <c r="E166" s="89"/>
    </row>
    <row r="167" spans="2:6" x14ac:dyDescent="0.2">
      <c r="E167" s="89"/>
    </row>
    <row r="168" spans="2:6" x14ac:dyDescent="0.2">
      <c r="B168" s="1" t="s">
        <v>2510</v>
      </c>
      <c r="E168" s="89">
        <f>0.2*E165</f>
        <v>324.61714285714265</v>
      </c>
    </row>
    <row r="169" spans="2:6" x14ac:dyDescent="0.2">
      <c r="E169" s="89"/>
    </row>
    <row r="170" spans="2:6" x14ac:dyDescent="0.2">
      <c r="B170" s="1" t="s">
        <v>727</v>
      </c>
      <c r="E170" s="89">
        <f>+E160</f>
        <v>47340</v>
      </c>
    </row>
    <row r="171" spans="2:6" x14ac:dyDescent="0.2">
      <c r="C171" s="1" t="s">
        <v>3159</v>
      </c>
      <c r="E171" s="89"/>
      <c r="F171" s="89">
        <f>+E170</f>
        <v>47340</v>
      </c>
    </row>
    <row r="172" spans="2:6" x14ac:dyDescent="0.2">
      <c r="E172" s="89"/>
    </row>
    <row r="173" spans="2:6" x14ac:dyDescent="0.2">
      <c r="B173" s="1" t="s">
        <v>777</v>
      </c>
      <c r="E173" s="89">
        <f>+E165</f>
        <v>1623.085714285713</v>
      </c>
    </row>
    <row r="174" spans="2:6" x14ac:dyDescent="0.2">
      <c r="C174" s="1" t="s">
        <v>2598</v>
      </c>
      <c r="F174" s="89">
        <f>+E173</f>
        <v>1623.085714285713</v>
      </c>
    </row>
    <row r="175" spans="2:6" x14ac:dyDescent="0.2">
      <c r="F175" s="89"/>
    </row>
    <row r="176" spans="2:6" x14ac:dyDescent="0.2">
      <c r="B176" s="1" t="s">
        <v>3160</v>
      </c>
      <c r="E176" s="89">
        <f>+E168</f>
        <v>324.61714285714265</v>
      </c>
      <c r="F176" s="89"/>
    </row>
    <row r="177" spans="2:7" x14ac:dyDescent="0.2">
      <c r="C177" s="1" t="s">
        <v>2999</v>
      </c>
      <c r="F177" s="89">
        <f>+E176</f>
        <v>324.61714285714265</v>
      </c>
    </row>
    <row r="178" spans="2:7" x14ac:dyDescent="0.2">
      <c r="B178" s="1" t="s">
        <v>3161</v>
      </c>
      <c r="F178" s="89"/>
    </row>
    <row r="179" spans="2:7" x14ac:dyDescent="0.2">
      <c r="F179" s="89"/>
    </row>
    <row r="181" spans="2:7" x14ac:dyDescent="0.2">
      <c r="B181" s="1" t="s">
        <v>3103</v>
      </c>
      <c r="C181" s="1" t="s">
        <v>2983</v>
      </c>
      <c r="E181" s="89">
        <f>+E161*3/12</f>
        <v>8453.5714285714294</v>
      </c>
    </row>
    <row r="182" spans="2:7" x14ac:dyDescent="0.2">
      <c r="B182" s="1" t="s">
        <v>26</v>
      </c>
    </row>
    <row r="183" spans="2:7" x14ac:dyDescent="0.2">
      <c r="B183" s="1" t="s">
        <v>3043</v>
      </c>
      <c r="D183" s="34" t="s">
        <v>3104</v>
      </c>
      <c r="E183" s="34"/>
    </row>
    <row r="184" spans="2:7" x14ac:dyDescent="0.2">
      <c r="B184" s="34" t="s">
        <v>765</v>
      </c>
      <c r="C184" s="34"/>
      <c r="D184" s="34" t="s">
        <v>765</v>
      </c>
      <c r="E184" s="34"/>
      <c r="F184" s="34" t="s">
        <v>3105</v>
      </c>
      <c r="G184" s="34"/>
    </row>
    <row r="185" spans="2:7" x14ac:dyDescent="0.2">
      <c r="B185" s="89">
        <f>+E181</f>
        <v>8453.5714285714294</v>
      </c>
      <c r="D185" s="1">
        <v>11835</v>
      </c>
      <c r="E185" s="1">
        <v>11835</v>
      </c>
      <c r="F185" s="1">
        <v>11835</v>
      </c>
    </row>
    <row r="187" spans="2:7" x14ac:dyDescent="0.2">
      <c r="B187" s="1" t="s">
        <v>445</v>
      </c>
      <c r="E187" s="89">
        <f>+F188</f>
        <v>11835</v>
      </c>
      <c r="F187" s="89"/>
    </row>
    <row r="188" spans="2:7" x14ac:dyDescent="0.2">
      <c r="C188" s="1" t="s">
        <v>344</v>
      </c>
      <c r="E188" s="89"/>
      <c r="F188" s="89">
        <f>+F185</f>
        <v>11835</v>
      </c>
    </row>
    <row r="189" spans="2:7" x14ac:dyDescent="0.2">
      <c r="B189" s="1" t="s">
        <v>3106</v>
      </c>
    </row>
    <row r="192" spans="2:7" x14ac:dyDescent="0.2">
      <c r="B192" s="1" t="s">
        <v>3044</v>
      </c>
    </row>
    <row r="193" spans="2:6" x14ac:dyDescent="0.2">
      <c r="B193" s="1" t="s">
        <v>3107</v>
      </c>
    </row>
    <row r="194" spans="2:6" x14ac:dyDescent="0.2">
      <c r="B194" s="3">
        <v>44105</v>
      </c>
    </row>
    <row r="195" spans="2:6" x14ac:dyDescent="0.2">
      <c r="B195" s="4">
        <v>0.25</v>
      </c>
    </row>
    <row r="198" spans="2:6" x14ac:dyDescent="0.2">
      <c r="B198" s="1" t="s">
        <v>1418</v>
      </c>
      <c r="E198" s="89">
        <v>8000</v>
      </c>
    </row>
    <row r="199" spans="2:6" x14ac:dyDescent="0.2">
      <c r="B199" s="1" t="s">
        <v>2492</v>
      </c>
      <c r="D199" s="4">
        <v>0.25</v>
      </c>
    </row>
    <row r="200" spans="2:6" x14ac:dyDescent="0.2">
      <c r="B200" s="1" t="s">
        <v>1262</v>
      </c>
      <c r="D200" s="89">
        <v>30000</v>
      </c>
      <c r="E200" s="89"/>
    </row>
    <row r="201" spans="2:6" x14ac:dyDescent="0.2">
      <c r="B201" s="1" t="s">
        <v>1264</v>
      </c>
      <c r="D201" s="89">
        <v>4600</v>
      </c>
      <c r="E201" s="89"/>
    </row>
    <row r="202" spans="2:6" x14ac:dyDescent="0.2">
      <c r="D202" s="89">
        <f>SUM(D200:D201)</f>
        <v>34600</v>
      </c>
      <c r="E202" s="89">
        <f>-D202*D199</f>
        <v>-8650</v>
      </c>
    </row>
    <row r="203" spans="2:6" x14ac:dyDescent="0.2">
      <c r="B203" s="1" t="s">
        <v>3108</v>
      </c>
      <c r="D203" s="89"/>
      <c r="E203" s="89">
        <f>SUM(E198:E202)</f>
        <v>-650</v>
      </c>
    </row>
    <row r="205" spans="2:6" x14ac:dyDescent="0.2">
      <c r="B205" s="1" t="s">
        <v>3109</v>
      </c>
      <c r="E205" s="89">
        <f>-E203</f>
        <v>650</v>
      </c>
    </row>
    <row r="206" spans="2:6" x14ac:dyDescent="0.2">
      <c r="C206" s="1" t="s">
        <v>2671</v>
      </c>
      <c r="F206" s="89">
        <f>+E205</f>
        <v>650</v>
      </c>
    </row>
    <row r="207" spans="2:6" x14ac:dyDescent="0.2">
      <c r="B207" s="1" t="s">
        <v>3110</v>
      </c>
    </row>
    <row r="209" spans="2:5" x14ac:dyDescent="0.2">
      <c r="B209" s="1" t="s">
        <v>3111</v>
      </c>
      <c r="D209" s="1" t="s">
        <v>3112</v>
      </c>
      <c r="E209" s="1">
        <v>0.25</v>
      </c>
    </row>
    <row r="210" spans="2:5" x14ac:dyDescent="0.2">
      <c r="D210" s="1" t="s">
        <v>248</v>
      </c>
      <c r="E210" s="1" t="s">
        <v>248</v>
      </c>
    </row>
    <row r="211" spans="2:5" x14ac:dyDescent="0.2">
      <c r="B211" s="1" t="s">
        <v>3113</v>
      </c>
      <c r="E211" s="1">
        <v>8000</v>
      </c>
    </row>
    <row r="213" spans="2:5" x14ac:dyDescent="0.2">
      <c r="B213" s="1" t="s">
        <v>1751</v>
      </c>
      <c r="D213" s="1">
        <v>30000</v>
      </c>
    </row>
    <row r="214" spans="2:5" x14ac:dyDescent="0.2">
      <c r="B214" s="1" t="s">
        <v>974</v>
      </c>
    </row>
    <row r="215" spans="2:5" x14ac:dyDescent="0.2">
      <c r="B215" s="1" t="s">
        <v>3114</v>
      </c>
      <c r="D215" s="1">
        <v>4600</v>
      </c>
    </row>
    <row r="216" spans="2:5" x14ac:dyDescent="0.2">
      <c r="B216" s="1" t="s">
        <v>3115</v>
      </c>
      <c r="D216" s="1">
        <v>0</v>
      </c>
    </row>
    <row r="217" spans="2:5" x14ac:dyDescent="0.2">
      <c r="D217" s="1">
        <v>34600</v>
      </c>
    </row>
    <row r="218" spans="2:5" x14ac:dyDescent="0.2">
      <c r="B218" s="1" t="s">
        <v>3116</v>
      </c>
      <c r="E218" s="1">
        <v>8650</v>
      </c>
    </row>
    <row r="219" spans="2:5" x14ac:dyDescent="0.2">
      <c r="B219" s="1" t="s">
        <v>405</v>
      </c>
      <c r="E219" s="1">
        <v>-650</v>
      </c>
    </row>
    <row r="221" spans="2:5" x14ac:dyDescent="0.2">
      <c r="B221" s="1">
        <v>1</v>
      </c>
      <c r="C221" s="1" t="s">
        <v>3136</v>
      </c>
      <c r="D221" s="1">
        <v>650</v>
      </c>
    </row>
    <row r="222" spans="2:5" x14ac:dyDescent="0.2">
      <c r="C222" s="1" t="s">
        <v>3137</v>
      </c>
      <c r="E222" s="1">
        <v>650</v>
      </c>
    </row>
    <row r="224" spans="2:5" x14ac:dyDescent="0.2">
      <c r="B224" s="1" t="s">
        <v>3117</v>
      </c>
    </row>
    <row r="225" spans="2:5" x14ac:dyDescent="0.2">
      <c r="B225" s="1" t="s">
        <v>3118</v>
      </c>
      <c r="E225" s="1">
        <v>6850</v>
      </c>
    </row>
    <row r="226" spans="2:5" x14ac:dyDescent="0.2">
      <c r="B226" s="1" t="s">
        <v>3119</v>
      </c>
      <c r="E226" s="1">
        <v>5800</v>
      </c>
    </row>
    <row r="227" spans="2:5" x14ac:dyDescent="0.2">
      <c r="B227" s="1" t="s">
        <v>3120</v>
      </c>
      <c r="E227" s="1">
        <v>4000</v>
      </c>
    </row>
    <row r="228" spans="2:5" x14ac:dyDescent="0.2">
      <c r="B228" s="1" t="s">
        <v>3121</v>
      </c>
      <c r="E228" s="1">
        <v>4600</v>
      </c>
    </row>
    <row r="229" spans="2:5" x14ac:dyDescent="0.2">
      <c r="B229" s="1" t="s">
        <v>3122</v>
      </c>
      <c r="E229" s="1">
        <v>450</v>
      </c>
    </row>
    <row r="230" spans="2:5" x14ac:dyDescent="0.2">
      <c r="B230" s="1" t="s">
        <v>3123</v>
      </c>
      <c r="E230" s="1">
        <v>112.5</v>
      </c>
    </row>
    <row r="232" spans="2:5" x14ac:dyDescent="0.2">
      <c r="B232" s="1">
        <v>2</v>
      </c>
      <c r="C232" s="1" t="s">
        <v>3136</v>
      </c>
      <c r="D232" s="1">
        <v>112.5</v>
      </c>
    </row>
    <row r="233" spans="2:5" x14ac:dyDescent="0.2">
      <c r="C233" s="1" t="s">
        <v>1743</v>
      </c>
      <c r="E233" s="1">
        <v>112.5</v>
      </c>
    </row>
    <row r="235" spans="2:5" x14ac:dyDescent="0.2">
      <c r="B235" s="1" t="s">
        <v>3124</v>
      </c>
    </row>
    <row r="236" spans="2:5" x14ac:dyDescent="0.2">
      <c r="B236" s="1" t="s">
        <v>3125</v>
      </c>
      <c r="E236" s="1">
        <v>5800</v>
      </c>
    </row>
    <row r="237" spans="2:5" x14ac:dyDescent="0.2">
      <c r="B237" s="1" t="s">
        <v>3126</v>
      </c>
      <c r="E237" s="1">
        <v>1450</v>
      </c>
    </row>
    <row r="239" spans="2:5" x14ac:dyDescent="0.2">
      <c r="B239" s="1">
        <v>3</v>
      </c>
      <c r="C239" s="1" t="s">
        <v>3136</v>
      </c>
      <c r="D239" s="1">
        <v>1450</v>
      </c>
    </row>
    <row r="240" spans="2:5" x14ac:dyDescent="0.2">
      <c r="C240" s="1" t="s">
        <v>3138</v>
      </c>
      <c r="E240" s="1">
        <v>1450</v>
      </c>
    </row>
    <row r="242" spans="2:5" x14ac:dyDescent="0.2">
      <c r="B242" s="1" t="s">
        <v>3127</v>
      </c>
    </row>
    <row r="243" spans="2:5" x14ac:dyDescent="0.2">
      <c r="B243" s="1" t="s">
        <v>2652</v>
      </c>
      <c r="E243" s="1">
        <v>4000</v>
      </c>
    </row>
    <row r="245" spans="2:5" x14ac:dyDescent="0.2">
      <c r="B245" s="1" t="s">
        <v>3128</v>
      </c>
      <c r="E245" s="1">
        <v>1000</v>
      </c>
    </row>
    <row r="247" spans="2:5" x14ac:dyDescent="0.2">
      <c r="B247" s="1">
        <v>4</v>
      </c>
      <c r="C247" s="1" t="s">
        <v>3139</v>
      </c>
      <c r="D247" s="1">
        <v>1000</v>
      </c>
    </row>
    <row r="248" spans="2:5" x14ac:dyDescent="0.2">
      <c r="C248" s="1" t="s">
        <v>3140</v>
      </c>
      <c r="E248" s="1">
        <v>1000</v>
      </c>
    </row>
    <row r="251" spans="2:5" x14ac:dyDescent="0.2">
      <c r="B251" s="1" t="s">
        <v>2503</v>
      </c>
    </row>
    <row r="252" spans="2:5" x14ac:dyDescent="0.2">
      <c r="B252" s="1" t="s">
        <v>3129</v>
      </c>
    </row>
    <row r="253" spans="2:5" x14ac:dyDescent="0.2">
      <c r="B253" s="1" t="s">
        <v>2505</v>
      </c>
      <c r="E253" s="1">
        <v>3240</v>
      </c>
    </row>
    <row r="254" spans="2:5" x14ac:dyDescent="0.2">
      <c r="B254" s="1" t="s">
        <v>2506</v>
      </c>
      <c r="E254" s="1">
        <v>2592</v>
      </c>
    </row>
    <row r="255" spans="2:5" x14ac:dyDescent="0.2">
      <c r="B255" s="1" t="s">
        <v>2507</v>
      </c>
      <c r="E255" s="1">
        <v>648</v>
      </c>
    </row>
    <row r="257" spans="2:5" x14ac:dyDescent="0.2">
      <c r="B257" s="1" t="s">
        <v>2508</v>
      </c>
      <c r="E257" s="1">
        <v>583.20000000000005</v>
      </c>
    </row>
    <row r="258" spans="2:5" x14ac:dyDescent="0.2">
      <c r="B258" s="1" t="s">
        <v>3130</v>
      </c>
      <c r="E258" s="1">
        <v>64.799999999999955</v>
      </c>
    </row>
    <row r="261" spans="2:5" x14ac:dyDescent="0.2">
      <c r="B261" s="1" t="s">
        <v>3131</v>
      </c>
      <c r="E261" s="1">
        <v>16.199999999999989</v>
      </c>
    </row>
    <row r="263" spans="2:5" x14ac:dyDescent="0.2">
      <c r="B263" s="1">
        <v>5</v>
      </c>
      <c r="C263" s="1" t="s">
        <v>3141</v>
      </c>
    </row>
    <row r="264" spans="2:5" x14ac:dyDescent="0.2">
      <c r="C264" s="1" t="s">
        <v>2590</v>
      </c>
      <c r="D264" s="1">
        <v>16.199999999999989</v>
      </c>
    </row>
    <row r="265" spans="2:5" x14ac:dyDescent="0.2">
      <c r="C265" s="1" t="s">
        <v>3140</v>
      </c>
      <c r="E265" s="1">
        <v>16.199999999999989</v>
      </c>
    </row>
    <row r="267" spans="2:5" x14ac:dyDescent="0.2">
      <c r="B267" s="1" t="s">
        <v>3132</v>
      </c>
    </row>
    <row r="268" spans="2:5" x14ac:dyDescent="0.2">
      <c r="B268" s="1" t="s">
        <v>3133</v>
      </c>
      <c r="E268" s="1">
        <v>1450</v>
      </c>
    </row>
    <row r="269" spans="2:5" x14ac:dyDescent="0.2">
      <c r="B269" s="1" t="s">
        <v>3134</v>
      </c>
      <c r="E269" s="1">
        <v>-1000</v>
      </c>
    </row>
    <row r="270" spans="2:5" x14ac:dyDescent="0.2">
      <c r="B270" s="1" t="s">
        <v>3135</v>
      </c>
      <c r="E270" s="1">
        <v>-16.199999999999989</v>
      </c>
    </row>
    <row r="271" spans="2:5" x14ac:dyDescent="0.2">
      <c r="E271" s="1">
        <v>433.8</v>
      </c>
    </row>
    <row r="273" spans="2:5" x14ac:dyDescent="0.2">
      <c r="B273" s="1">
        <v>6</v>
      </c>
      <c r="C273" s="1" t="s">
        <v>3142</v>
      </c>
      <c r="D273" s="1">
        <v>433.8</v>
      </c>
    </row>
    <row r="274" spans="2:5" x14ac:dyDescent="0.2">
      <c r="C274" s="1" t="s">
        <v>1743</v>
      </c>
      <c r="E274" s="1">
        <v>433.8</v>
      </c>
    </row>
    <row r="276" spans="2:5" x14ac:dyDescent="0.2">
      <c r="B276" s="1" t="s">
        <v>3143</v>
      </c>
    </row>
    <row r="278" spans="2:5" x14ac:dyDescent="0.2">
      <c r="B278" s="1" t="s">
        <v>3146</v>
      </c>
    </row>
    <row r="279" spans="2:5" x14ac:dyDescent="0.2">
      <c r="B279" s="419" t="s">
        <v>3145</v>
      </c>
    </row>
    <row r="281" spans="2:5" x14ac:dyDescent="0.2">
      <c r="B281" s="1" t="s">
        <v>3147</v>
      </c>
    </row>
    <row r="282" spans="2:5" x14ac:dyDescent="0.2">
      <c r="B282" s="1" t="s">
        <v>3148</v>
      </c>
    </row>
    <row r="283" spans="2:5" x14ac:dyDescent="0.2">
      <c r="B283" s="1" t="s">
        <v>3149</v>
      </c>
    </row>
    <row r="284" spans="2:5" x14ac:dyDescent="0.2">
      <c r="B284" s="1" t="s">
        <v>3150</v>
      </c>
    </row>
    <row r="286" spans="2:5" x14ac:dyDescent="0.2">
      <c r="B286" s="1" t="s">
        <v>3144</v>
      </c>
    </row>
    <row r="287" spans="2:5" x14ac:dyDescent="0.2">
      <c r="B287" s="1" t="s">
        <v>3151</v>
      </c>
    </row>
    <row r="289" spans="2:2" x14ac:dyDescent="0.2">
      <c r="B289" s="1" t="s">
        <v>3152</v>
      </c>
    </row>
    <row r="290" spans="2:2" x14ac:dyDescent="0.2">
      <c r="B290" s="1" t="s">
        <v>3153</v>
      </c>
    </row>
    <row r="291" spans="2:2" x14ac:dyDescent="0.2">
      <c r="B291" s="1" t="s">
        <v>3154</v>
      </c>
    </row>
    <row r="293" spans="2:2" x14ac:dyDescent="0.2">
      <c r="B293" s="1" t="s">
        <v>3155</v>
      </c>
    </row>
    <row r="294" spans="2:2" x14ac:dyDescent="0.2">
      <c r="B294" s="1" t="s">
        <v>3156</v>
      </c>
    </row>
  </sheetData>
  <hyperlinks>
    <hyperlink ref="A1" location="Main!A1" display="Main" xr:uid="{CF7DEE20-E140-4C90-BDE2-FF7E2E176747}"/>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CB7DD-20A9-4D70-8DDF-FCEB9B4A2D69}">
  <sheetPr codeName="Sheet27"/>
  <dimension ref="A1:I228"/>
  <sheetViews>
    <sheetView zoomScale="145" zoomScaleNormal="145" workbookViewId="0"/>
  </sheetViews>
  <sheetFormatPr defaultRowHeight="12" x14ac:dyDescent="0.2"/>
  <cols>
    <col min="1" max="1" width="9.140625" style="1"/>
    <col min="2" max="2" width="16.28515625" style="1" customWidth="1"/>
    <col min="3" max="3" width="15.85546875" style="1" customWidth="1"/>
    <col min="4" max="16384" width="9.140625" style="1"/>
  </cols>
  <sheetData>
    <row r="1" spans="1:5" ht="15" x14ac:dyDescent="0.25">
      <c r="A1" s="2" t="s">
        <v>0</v>
      </c>
      <c r="B1" s="1" t="s">
        <v>1605</v>
      </c>
    </row>
    <row r="2" spans="1:5" x14ac:dyDescent="0.2">
      <c r="B2" s="1" t="s">
        <v>1564</v>
      </c>
    </row>
    <row r="11" spans="1:5" x14ac:dyDescent="0.2">
      <c r="B11" s="1" t="s">
        <v>9</v>
      </c>
    </row>
    <row r="12" spans="1:5" x14ac:dyDescent="0.2">
      <c r="B12" s="1" t="s">
        <v>5</v>
      </c>
      <c r="C12" s="3">
        <v>44895</v>
      </c>
    </row>
    <row r="13" spans="1:5" x14ac:dyDescent="0.2">
      <c r="D13" s="1" t="s">
        <v>1565</v>
      </c>
      <c r="E13" s="1" t="s">
        <v>1566</v>
      </c>
    </row>
    <row r="14" spans="1:5" x14ac:dyDescent="0.2">
      <c r="B14" s="3"/>
      <c r="C14" s="3"/>
      <c r="D14" s="11" t="s">
        <v>44</v>
      </c>
      <c r="E14" s="11" t="s">
        <v>44</v>
      </c>
    </row>
    <row r="15" spans="1:5" x14ac:dyDescent="0.2">
      <c r="B15" s="1" t="s">
        <v>34</v>
      </c>
      <c r="C15" s="3">
        <v>43617</v>
      </c>
      <c r="D15" s="6">
        <v>1250</v>
      </c>
      <c r="E15" s="6"/>
    </row>
    <row r="16" spans="1:5" x14ac:dyDescent="0.2">
      <c r="B16" s="1" t="s">
        <v>34</v>
      </c>
      <c r="C16" s="3">
        <v>43252</v>
      </c>
      <c r="D16" s="6"/>
      <c r="E16" s="6">
        <v>650</v>
      </c>
    </row>
    <row r="17" spans="2:6" x14ac:dyDescent="0.2">
      <c r="B17" s="1" t="s">
        <v>1567</v>
      </c>
      <c r="D17" s="6">
        <v>350</v>
      </c>
      <c r="E17" s="6">
        <v>200</v>
      </c>
    </row>
    <row r="18" spans="2:6" x14ac:dyDescent="0.2">
      <c r="B18" s="1" t="s">
        <v>1568</v>
      </c>
      <c r="D18" s="6">
        <f>28*12</f>
        <v>336</v>
      </c>
      <c r="E18" s="6">
        <f>28*12</f>
        <v>336</v>
      </c>
    </row>
    <row r="19" spans="2:6" x14ac:dyDescent="0.2">
      <c r="B19" s="1" t="s">
        <v>32</v>
      </c>
      <c r="C19" s="3">
        <v>44530</v>
      </c>
      <c r="D19" s="6">
        <v>1800</v>
      </c>
      <c r="E19" s="6">
        <v>770</v>
      </c>
    </row>
    <row r="20" spans="2:6" x14ac:dyDescent="0.2">
      <c r="B20" s="1" t="s">
        <v>32</v>
      </c>
      <c r="C20" s="3">
        <v>44713</v>
      </c>
      <c r="D20" s="6">
        <v>1700</v>
      </c>
      <c r="E20" s="6">
        <v>800</v>
      </c>
    </row>
    <row r="21" spans="2:6" x14ac:dyDescent="0.2">
      <c r="B21" s="1" t="s">
        <v>32</v>
      </c>
      <c r="C21" s="3">
        <v>44895</v>
      </c>
      <c r="D21" s="6">
        <v>1600</v>
      </c>
      <c r="E21" s="6">
        <v>820</v>
      </c>
    </row>
    <row r="23" spans="2:6" x14ac:dyDescent="0.2">
      <c r="B23" s="1" t="s">
        <v>1569</v>
      </c>
    </row>
    <row r="25" spans="2:6" x14ac:dyDescent="0.2">
      <c r="B25" s="1" t="s">
        <v>1572</v>
      </c>
    </row>
    <row r="27" spans="2:6" x14ac:dyDescent="0.2">
      <c r="B27" s="1" t="s">
        <v>1570</v>
      </c>
      <c r="E27" s="6">
        <f>+D20-D21</f>
        <v>100</v>
      </c>
    </row>
    <row r="28" spans="2:6" x14ac:dyDescent="0.2">
      <c r="C28" s="1" t="s">
        <v>1573</v>
      </c>
      <c r="F28" s="6">
        <f>+E27</f>
        <v>100</v>
      </c>
    </row>
    <row r="29" spans="2:6" x14ac:dyDescent="0.2">
      <c r="B29" s="1" t="s">
        <v>1574</v>
      </c>
    </row>
    <row r="31" spans="2:6" x14ac:dyDescent="0.2">
      <c r="B31" s="1" t="s">
        <v>1575</v>
      </c>
      <c r="E31" s="26">
        <f>+D20</f>
        <v>1700</v>
      </c>
    </row>
    <row r="32" spans="2:6" x14ac:dyDescent="0.2">
      <c r="C32" s="1" t="s">
        <v>1576</v>
      </c>
      <c r="F32" s="26">
        <f>+E31</f>
        <v>1700</v>
      </c>
    </row>
    <row r="33" spans="2:7" x14ac:dyDescent="0.2">
      <c r="B33" s="1" t="s">
        <v>1577</v>
      </c>
    </row>
    <row r="35" spans="2:7" x14ac:dyDescent="0.2">
      <c r="D35" s="1" t="s">
        <v>1565</v>
      </c>
    </row>
    <row r="36" spans="2:7" x14ac:dyDescent="0.2">
      <c r="B36" s="3"/>
      <c r="C36" s="3"/>
      <c r="D36" s="11" t="s">
        <v>44</v>
      </c>
    </row>
    <row r="37" spans="2:7" x14ac:dyDescent="0.2">
      <c r="B37" s="1" t="s">
        <v>34</v>
      </c>
      <c r="C37" s="3">
        <v>44713</v>
      </c>
      <c r="D37" s="6">
        <f>+E31</f>
        <v>1700</v>
      </c>
    </row>
    <row r="38" spans="2:7" x14ac:dyDescent="0.2">
      <c r="B38" s="1" t="s">
        <v>1567</v>
      </c>
      <c r="D38" s="6">
        <v>350</v>
      </c>
    </row>
    <row r="39" spans="2:7" x14ac:dyDescent="0.2">
      <c r="B39" s="1" t="s">
        <v>1578</v>
      </c>
      <c r="D39" s="6">
        <f>(28*12)-36</f>
        <v>300</v>
      </c>
    </row>
    <row r="40" spans="2:7" x14ac:dyDescent="0.2">
      <c r="B40" s="3">
        <f>+C12</f>
        <v>44895</v>
      </c>
      <c r="C40" s="1">
        <f>+YEARFRAC(C37,B40)*12</f>
        <v>5.9666666666666668</v>
      </c>
    </row>
    <row r="41" spans="2:7" x14ac:dyDescent="0.2">
      <c r="B41" s="1" t="s">
        <v>35</v>
      </c>
      <c r="D41" s="6">
        <f>(D37-D38)*C40/D39</f>
        <v>26.85</v>
      </c>
    </row>
    <row r="42" spans="2:7" ht="12.75" thickBot="1" x14ac:dyDescent="0.25">
      <c r="B42" s="1" t="s">
        <v>302</v>
      </c>
      <c r="D42" s="14">
        <f>+D37-D41</f>
        <v>1673.15</v>
      </c>
    </row>
    <row r="43" spans="2:7" ht="13.5" thickTop="1" thickBot="1" x14ac:dyDescent="0.25">
      <c r="B43" s="1" t="s">
        <v>32</v>
      </c>
      <c r="C43" s="3">
        <f>+C21</f>
        <v>44895</v>
      </c>
      <c r="D43" s="14">
        <f>+D21</f>
        <v>1600</v>
      </c>
    </row>
    <row r="44" spans="2:7" ht="12.75" thickTop="1" x14ac:dyDescent="0.2">
      <c r="D44" s="6">
        <f>+D43-D42</f>
        <v>-73.150000000000091</v>
      </c>
    </row>
    <row r="46" spans="2:7" x14ac:dyDescent="0.2">
      <c r="B46" s="1" t="s">
        <v>1579</v>
      </c>
      <c r="E46" s="26">
        <f>-D44</f>
        <v>73.150000000000091</v>
      </c>
    </row>
    <row r="47" spans="2:7" x14ac:dyDescent="0.2">
      <c r="B47" s="1" t="s">
        <v>127</v>
      </c>
      <c r="E47" s="8">
        <f>+D41</f>
        <v>26.85</v>
      </c>
      <c r="G47" s="1" t="s">
        <v>1606</v>
      </c>
    </row>
    <row r="48" spans="2:7" x14ac:dyDescent="0.2">
      <c r="C48" s="1" t="s">
        <v>881</v>
      </c>
      <c r="F48" s="26">
        <f>SUM(E46:E47)</f>
        <v>100.00000000000009</v>
      </c>
    </row>
    <row r="49" spans="2:6" x14ac:dyDescent="0.2">
      <c r="B49" s="1" t="s">
        <v>1580</v>
      </c>
    </row>
    <row r="51" spans="2:6" x14ac:dyDescent="0.2">
      <c r="B51" s="1" t="s">
        <v>865</v>
      </c>
    </row>
    <row r="52" spans="2:6" x14ac:dyDescent="0.2">
      <c r="B52" s="1" t="s">
        <v>298</v>
      </c>
      <c r="E52" s="26">
        <f>+D41</f>
        <v>26.85</v>
      </c>
    </row>
    <row r="53" spans="2:6" x14ac:dyDescent="0.2">
      <c r="C53" s="1" t="s">
        <v>1571</v>
      </c>
      <c r="F53" s="26">
        <f>+E52</f>
        <v>26.85</v>
      </c>
    </row>
    <row r="54" spans="2:6" x14ac:dyDescent="0.2">
      <c r="B54" s="1" t="s">
        <v>1581</v>
      </c>
    </row>
    <row r="58" spans="2:6" x14ac:dyDescent="0.2">
      <c r="B58" s="1" t="s">
        <v>1582</v>
      </c>
    </row>
    <row r="59" spans="2:6" x14ac:dyDescent="0.2">
      <c r="B59" s="1" t="s">
        <v>1583</v>
      </c>
    </row>
    <row r="60" spans="2:6" x14ac:dyDescent="0.2">
      <c r="B60" s="1" t="s">
        <v>1309</v>
      </c>
      <c r="C60" s="3">
        <v>44713</v>
      </c>
      <c r="D60" s="6">
        <f>+E20</f>
        <v>800</v>
      </c>
    </row>
    <row r="61" spans="2:6" x14ac:dyDescent="0.2">
      <c r="B61" s="1" t="s">
        <v>302</v>
      </c>
      <c r="D61" s="6">
        <v>770</v>
      </c>
    </row>
    <row r="62" spans="2:6" x14ac:dyDescent="0.2">
      <c r="B62" s="1" t="s">
        <v>1584</v>
      </c>
      <c r="D62" s="6">
        <f>+D60-D61</f>
        <v>30</v>
      </c>
    </row>
    <row r="64" spans="2:6" x14ac:dyDescent="0.2">
      <c r="B64" s="1" t="s">
        <v>47</v>
      </c>
      <c r="E64" s="26">
        <f>+D60</f>
        <v>800</v>
      </c>
    </row>
    <row r="65" spans="2:6" x14ac:dyDescent="0.2">
      <c r="C65" s="1" t="s">
        <v>1586</v>
      </c>
      <c r="E65" s="6"/>
      <c r="F65" s="26">
        <f>+D62</f>
        <v>30</v>
      </c>
    </row>
    <row r="66" spans="2:6" x14ac:dyDescent="0.2">
      <c r="C66" s="1" t="s">
        <v>1585</v>
      </c>
      <c r="F66" s="26">
        <f>+E64-D62</f>
        <v>770</v>
      </c>
    </row>
    <row r="67" spans="2:6" x14ac:dyDescent="0.2">
      <c r="B67" s="1" t="s">
        <v>1587</v>
      </c>
    </row>
    <row r="69" spans="2:6" x14ac:dyDescent="0.2">
      <c r="B69" s="1" t="s">
        <v>1588</v>
      </c>
    </row>
    <row r="71" spans="2:6" x14ac:dyDescent="0.2">
      <c r="B71" s="1" t="s">
        <v>1589</v>
      </c>
      <c r="E71" s="16">
        <v>20</v>
      </c>
    </row>
    <row r="72" spans="2:6" x14ac:dyDescent="0.2">
      <c r="C72" s="1" t="s">
        <v>1590</v>
      </c>
      <c r="F72" s="16">
        <f>+E71</f>
        <v>20</v>
      </c>
    </row>
    <row r="73" spans="2:6" x14ac:dyDescent="0.2">
      <c r="B73" s="1" t="s">
        <v>1591</v>
      </c>
    </row>
    <row r="84" spans="2:5" x14ac:dyDescent="0.2">
      <c r="B84" s="7" t="s">
        <v>49</v>
      </c>
      <c r="C84" s="1" t="s">
        <v>1618</v>
      </c>
    </row>
    <row r="86" spans="2:5" x14ac:dyDescent="0.2">
      <c r="B86" s="1" t="s">
        <v>1592</v>
      </c>
      <c r="C86" s="3">
        <v>41974</v>
      </c>
    </row>
    <row r="87" spans="2:5" x14ac:dyDescent="0.2">
      <c r="B87" s="1" t="s">
        <v>294</v>
      </c>
      <c r="C87" s="1">
        <f>25*12</f>
        <v>300</v>
      </c>
      <c r="D87" s="1" t="s">
        <v>52</v>
      </c>
    </row>
    <row r="90" spans="2:5" x14ac:dyDescent="0.2">
      <c r="B90" s="1" t="s">
        <v>1593</v>
      </c>
      <c r="D90" s="1" t="s">
        <v>322</v>
      </c>
      <c r="E90" s="1" t="s">
        <v>1595</v>
      </c>
    </row>
    <row r="91" spans="2:5" x14ac:dyDescent="0.2">
      <c r="B91" s="1" t="s">
        <v>34</v>
      </c>
      <c r="C91" s="3">
        <v>41974</v>
      </c>
      <c r="D91" s="89">
        <v>650</v>
      </c>
      <c r="E91" s="89">
        <v>450</v>
      </c>
    </row>
    <row r="92" spans="2:5" x14ac:dyDescent="0.2">
      <c r="B92" s="1" t="s">
        <v>32</v>
      </c>
      <c r="C92" s="3">
        <v>43799</v>
      </c>
      <c r="D92" s="89">
        <v>725</v>
      </c>
      <c r="E92" s="89">
        <v>476</v>
      </c>
    </row>
    <row r="93" spans="2:5" x14ac:dyDescent="0.2">
      <c r="B93" s="1" t="s">
        <v>32</v>
      </c>
      <c r="C93" s="3">
        <v>44895</v>
      </c>
      <c r="D93" s="89">
        <v>745</v>
      </c>
      <c r="E93" s="89">
        <v>501</v>
      </c>
    </row>
    <row r="94" spans="2:5" x14ac:dyDescent="0.2">
      <c r="B94" s="1" t="s">
        <v>1596</v>
      </c>
      <c r="C94" s="3"/>
      <c r="D94" s="89">
        <f>+D93-D92</f>
        <v>20</v>
      </c>
      <c r="E94" s="89">
        <f>+E93-E92</f>
        <v>25</v>
      </c>
    </row>
    <row r="96" spans="2:5" x14ac:dyDescent="0.2">
      <c r="B96" s="1" t="s">
        <v>1597</v>
      </c>
      <c r="E96" s="89">
        <f>+D94+E94</f>
        <v>45</v>
      </c>
    </row>
    <row r="97" spans="2:9" x14ac:dyDescent="0.2">
      <c r="C97" s="1" t="s">
        <v>1598</v>
      </c>
      <c r="F97" s="89">
        <f>+E96</f>
        <v>45</v>
      </c>
    </row>
    <row r="98" spans="2:9" x14ac:dyDescent="0.2">
      <c r="B98" s="1" t="s">
        <v>1599</v>
      </c>
    </row>
    <row r="101" spans="2:9" x14ac:dyDescent="0.2">
      <c r="B101" s="1" t="s">
        <v>1594</v>
      </c>
      <c r="D101" s="1" t="s">
        <v>322</v>
      </c>
      <c r="E101" s="1" t="s">
        <v>1595</v>
      </c>
    </row>
    <row r="102" spans="2:9" x14ac:dyDescent="0.2">
      <c r="B102" s="1" t="s">
        <v>34</v>
      </c>
      <c r="C102" s="3">
        <v>41974</v>
      </c>
      <c r="D102" s="89">
        <v>1200</v>
      </c>
      <c r="E102" s="89">
        <v>800</v>
      </c>
      <c r="I102" s="1">
        <v>3761</v>
      </c>
    </row>
    <row r="103" spans="2:9" x14ac:dyDescent="0.2">
      <c r="B103" s="1" t="s">
        <v>32</v>
      </c>
      <c r="C103" s="3">
        <v>43799</v>
      </c>
      <c r="D103" s="89">
        <v>1410</v>
      </c>
      <c r="E103" s="89">
        <v>1150</v>
      </c>
      <c r="I103" s="1">
        <v>3236</v>
      </c>
    </row>
    <row r="104" spans="2:9" x14ac:dyDescent="0.2">
      <c r="B104" s="1" t="s">
        <v>35</v>
      </c>
      <c r="C104" s="3">
        <v>44530</v>
      </c>
      <c r="D104" s="89">
        <v>113</v>
      </c>
      <c r="E104" s="89">
        <v>92</v>
      </c>
      <c r="I104" s="1">
        <f>+I103-I102</f>
        <v>-525</v>
      </c>
    </row>
    <row r="105" spans="2:9" x14ac:dyDescent="0.2">
      <c r="B105" s="1" t="s">
        <v>865</v>
      </c>
      <c r="C105" s="3">
        <v>44895</v>
      </c>
      <c r="D105" s="89">
        <f>+D103/25</f>
        <v>56.4</v>
      </c>
      <c r="E105" s="89">
        <f>+E103/25</f>
        <v>46</v>
      </c>
    </row>
    <row r="106" spans="2:9" x14ac:dyDescent="0.2">
      <c r="B106" s="1" t="s">
        <v>302</v>
      </c>
      <c r="C106" s="3">
        <v>44895</v>
      </c>
      <c r="D106" s="89">
        <f>+D103-D104-D105</f>
        <v>1240.5999999999999</v>
      </c>
      <c r="E106" s="89">
        <f>+E103-E104-E105</f>
        <v>1012</v>
      </c>
    </row>
    <row r="108" spans="2:9" x14ac:dyDescent="0.2">
      <c r="B108" s="1" t="s">
        <v>32</v>
      </c>
      <c r="C108" s="3">
        <v>44895</v>
      </c>
      <c r="D108" s="89">
        <v>1390</v>
      </c>
      <c r="E108" s="89">
        <v>600</v>
      </c>
    </row>
    <row r="109" spans="2:9" ht="12.75" thickBot="1" x14ac:dyDescent="0.25">
      <c r="D109" s="90">
        <f>+D108-D106</f>
        <v>149.40000000000009</v>
      </c>
      <c r="E109" s="90">
        <f>+E108-E106</f>
        <v>-412</v>
      </c>
    </row>
    <row r="110" spans="2:9" ht="12.75" thickTop="1" x14ac:dyDescent="0.2">
      <c r="D110" s="89"/>
      <c r="E110" s="89"/>
    </row>
    <row r="111" spans="2:9" x14ac:dyDescent="0.2">
      <c r="B111" s="1" t="s">
        <v>976</v>
      </c>
      <c r="D111" s="89"/>
      <c r="E111" s="89"/>
    </row>
    <row r="112" spans="2:9" x14ac:dyDescent="0.2">
      <c r="B112" s="1" t="s">
        <v>1265</v>
      </c>
      <c r="C112" s="3">
        <v>44530</v>
      </c>
      <c r="D112" s="89">
        <v>326</v>
      </c>
      <c r="E112" s="89">
        <v>410</v>
      </c>
    </row>
    <row r="113" spans="2:6" x14ac:dyDescent="0.2">
      <c r="B113" s="1" t="s">
        <v>1607</v>
      </c>
      <c r="D113" s="89">
        <f>-+D112/23</f>
        <v>-14.173913043478262</v>
      </c>
      <c r="E113" s="89">
        <f>-+E112/23</f>
        <v>-17.826086956521738</v>
      </c>
      <c r="F113" s="89">
        <f>SUM(D113:E113)</f>
        <v>-32</v>
      </c>
    </row>
    <row r="114" spans="2:6" x14ac:dyDescent="0.2">
      <c r="D114" s="142">
        <f>SUM(D112:D113)</f>
        <v>311.82608695652175</v>
      </c>
      <c r="E114" s="142">
        <f>SUM(E112:E113)</f>
        <v>392.17391304347825</v>
      </c>
    </row>
    <row r="115" spans="2:6" ht="12.75" thickBot="1" x14ac:dyDescent="0.25">
      <c r="B115" s="1" t="s">
        <v>1608</v>
      </c>
      <c r="D115" s="89"/>
      <c r="E115" s="141">
        <f>+E109+E114</f>
        <v>-19.826086956521749</v>
      </c>
    </row>
    <row r="116" spans="2:6" ht="12.75" thickTop="1" x14ac:dyDescent="0.2">
      <c r="D116" s="89"/>
      <c r="E116" s="89"/>
    </row>
    <row r="117" spans="2:6" x14ac:dyDescent="0.2">
      <c r="B117" s="1" t="s">
        <v>1600</v>
      </c>
      <c r="E117" s="89">
        <f>+D105</f>
        <v>56.4</v>
      </c>
    </row>
    <row r="118" spans="2:6" x14ac:dyDescent="0.2">
      <c r="C118" s="1" t="s">
        <v>1571</v>
      </c>
      <c r="F118" s="89">
        <f>+E117</f>
        <v>56.4</v>
      </c>
    </row>
    <row r="119" spans="2:6" x14ac:dyDescent="0.2">
      <c r="B119" s="1" t="s">
        <v>1601</v>
      </c>
    </row>
    <row r="120" spans="2:6" x14ac:dyDescent="0.2">
      <c r="B120" s="1" t="s">
        <v>1600</v>
      </c>
      <c r="E120" s="89">
        <f>+E105</f>
        <v>46</v>
      </c>
    </row>
    <row r="121" spans="2:6" x14ac:dyDescent="0.2">
      <c r="C121" s="1" t="s">
        <v>1571</v>
      </c>
      <c r="F121" s="9">
        <f>+E120</f>
        <v>46</v>
      </c>
    </row>
    <row r="122" spans="2:6" x14ac:dyDescent="0.2">
      <c r="B122" s="1" t="s">
        <v>1601</v>
      </c>
    </row>
    <row r="124" spans="2:6" x14ac:dyDescent="0.2">
      <c r="B124" s="1" t="s">
        <v>1609</v>
      </c>
    </row>
    <row r="126" spans="2:6" x14ac:dyDescent="0.2">
      <c r="B126" s="1" t="s">
        <v>1394</v>
      </c>
      <c r="E126" s="89">
        <f>-F113</f>
        <v>32</v>
      </c>
    </row>
    <row r="127" spans="2:6" x14ac:dyDescent="0.2">
      <c r="C127" s="1" t="s">
        <v>1105</v>
      </c>
      <c r="F127" s="89">
        <f>+E126</f>
        <v>32</v>
      </c>
    </row>
    <row r="128" spans="2:6" x14ac:dyDescent="0.2">
      <c r="B128" s="1" t="s">
        <v>1610</v>
      </c>
    </row>
    <row r="131" spans="2:7" x14ac:dyDescent="0.2">
      <c r="B131" s="1" t="s">
        <v>1611</v>
      </c>
      <c r="D131" s="89">
        <f>+D94+E94+D109-E114</f>
        <v>-197.77391304347816</v>
      </c>
    </row>
    <row r="132" spans="2:7" x14ac:dyDescent="0.2">
      <c r="B132" s="1" t="s">
        <v>1612</v>
      </c>
      <c r="D132" s="89">
        <f>+D104+E104+D105+E105</f>
        <v>307.39999999999998</v>
      </c>
    </row>
    <row r="133" spans="2:7" x14ac:dyDescent="0.2">
      <c r="B133" s="1" t="s">
        <v>1613</v>
      </c>
      <c r="D133" s="89">
        <f>+D108-D103+E108-E103+D94+E94</f>
        <v>-525</v>
      </c>
      <c r="G133" s="89"/>
    </row>
    <row r="135" spans="2:7" x14ac:dyDescent="0.2">
      <c r="B135" s="1" t="s">
        <v>1394</v>
      </c>
      <c r="E135" s="89">
        <f>-D131</f>
        <v>197.77391304347816</v>
      </c>
    </row>
    <row r="136" spans="2:7" x14ac:dyDescent="0.2">
      <c r="B136" s="1" t="s">
        <v>1614</v>
      </c>
      <c r="E136" s="89">
        <f>-E115</f>
        <v>19.826086956521749</v>
      </c>
    </row>
    <row r="137" spans="2:7" x14ac:dyDescent="0.2">
      <c r="B137" s="1" t="s">
        <v>1615</v>
      </c>
      <c r="E137" s="89">
        <f>+D132</f>
        <v>307.39999999999998</v>
      </c>
    </row>
    <row r="138" spans="2:7" x14ac:dyDescent="0.2">
      <c r="C138" s="1" t="s">
        <v>1616</v>
      </c>
      <c r="F138" s="89">
        <f>-D133</f>
        <v>525</v>
      </c>
    </row>
    <row r="139" spans="2:7" x14ac:dyDescent="0.2">
      <c r="B139" s="1" t="s">
        <v>1617</v>
      </c>
    </row>
    <row r="140" spans="2:7" x14ac:dyDescent="0.2">
      <c r="D140" s="89"/>
      <c r="E140" s="89"/>
    </row>
    <row r="141" spans="2:7" x14ac:dyDescent="0.2">
      <c r="C141" s="3"/>
      <c r="D141" s="89"/>
      <c r="E141" s="89"/>
    </row>
    <row r="142" spans="2:7" x14ac:dyDescent="0.2">
      <c r="D142" s="89"/>
      <c r="E142" s="89"/>
    </row>
    <row r="153" spans="2:3" x14ac:dyDescent="0.2">
      <c r="B153" s="16" t="s">
        <v>72</v>
      </c>
      <c r="C153" s="16" t="s">
        <v>1604</v>
      </c>
    </row>
    <row r="155" spans="2:3" x14ac:dyDescent="0.2">
      <c r="B155" s="1" t="s">
        <v>1262</v>
      </c>
      <c r="C155" s="6">
        <v>1000</v>
      </c>
    </row>
    <row r="156" spans="2:3" x14ac:dyDescent="0.2">
      <c r="B156" s="1" t="s">
        <v>1263</v>
      </c>
      <c r="C156" s="6">
        <v>150</v>
      </c>
    </row>
    <row r="157" spans="2:3" x14ac:dyDescent="0.2">
      <c r="B157" s="1" t="s">
        <v>1264</v>
      </c>
      <c r="C157" s="6">
        <v>4229</v>
      </c>
    </row>
    <row r="158" spans="2:3" x14ac:dyDescent="0.2">
      <c r="B158" s="1" t="s">
        <v>1265</v>
      </c>
      <c r="C158" s="6">
        <v>876</v>
      </c>
    </row>
    <row r="159" spans="2:3" ht="12.75" thickBot="1" x14ac:dyDescent="0.25">
      <c r="B159" s="1" t="s">
        <v>1602</v>
      </c>
      <c r="C159" s="14">
        <f>SUM(C155:C158)</f>
        <v>6255</v>
      </c>
    </row>
    <row r="160" spans="2:3" ht="12.75" thickTop="1" x14ac:dyDescent="0.2"/>
    <row r="161" spans="2:5" x14ac:dyDescent="0.2">
      <c r="B161" s="1" t="s">
        <v>1603</v>
      </c>
      <c r="C161" s="1">
        <v>1000</v>
      </c>
    </row>
    <row r="162" spans="2:5" x14ac:dyDescent="0.2">
      <c r="B162" s="1" t="s">
        <v>1330</v>
      </c>
      <c r="C162" s="1">
        <v>1</v>
      </c>
    </row>
    <row r="165" spans="2:5" x14ac:dyDescent="0.2">
      <c r="B165" s="1" t="s">
        <v>2389</v>
      </c>
    </row>
    <row r="167" spans="2:5" ht="15" x14ac:dyDescent="0.25">
      <c r="B167" s="94" t="s">
        <v>2389</v>
      </c>
      <c r="C167"/>
      <c r="D167"/>
      <c r="E167"/>
    </row>
    <row r="168" spans="2:5" ht="15" x14ac:dyDescent="0.25">
      <c r="B168" t="s">
        <v>2390</v>
      </c>
      <c r="C168" s="104">
        <v>3</v>
      </c>
      <c r="D168" t="s">
        <v>2391</v>
      </c>
      <c r="E168" s="263">
        <v>10</v>
      </c>
    </row>
    <row r="169" spans="2:5" ht="15" x14ac:dyDescent="0.25">
      <c r="B169" t="s">
        <v>1844</v>
      </c>
      <c r="C169" s="212">
        <v>1.75</v>
      </c>
      <c r="D169"/>
      <c r="E169"/>
    </row>
    <row r="170" spans="2:5" ht="15" x14ac:dyDescent="0.25">
      <c r="B170" t="s">
        <v>2392</v>
      </c>
      <c r="C170" s="183">
        <v>1000</v>
      </c>
      <c r="D170"/>
      <c r="E170"/>
    </row>
    <row r="171" spans="2:5" ht="15" x14ac:dyDescent="0.25">
      <c r="B171" t="s">
        <v>2393</v>
      </c>
      <c r="C171" s="147">
        <v>0.9</v>
      </c>
      <c r="D171"/>
      <c r="E171"/>
    </row>
    <row r="172" spans="2:5" ht="15" x14ac:dyDescent="0.25">
      <c r="B172" t="s">
        <v>1858</v>
      </c>
      <c r="C172" s="212">
        <v>1</v>
      </c>
      <c r="D172"/>
      <c r="E172"/>
    </row>
    <row r="173" spans="2:5" ht="15" x14ac:dyDescent="0.25">
      <c r="B173"/>
      <c r="C173"/>
      <c r="D173"/>
      <c r="E173"/>
    </row>
    <row r="174" spans="2:5" ht="15" x14ac:dyDescent="0.25">
      <c r="B174"/>
      <c r="C174"/>
      <c r="D174"/>
      <c r="E174"/>
    </row>
    <row r="175" spans="2:5" ht="15" x14ac:dyDescent="0.25">
      <c r="B175" t="s">
        <v>2394</v>
      </c>
      <c r="C175" s="164">
        <f>(C170/E168)*C168*C171</f>
        <v>270</v>
      </c>
      <c r="D175"/>
      <c r="E175" s="103" t="str">
        <f>"="&amp;C170&amp;"/"&amp;E168&amp;"*"&amp;C168&amp;"*"&amp;C171</f>
        <v>=1000/10*3*0.9</v>
      </c>
    </row>
    <row r="176" spans="2:5" ht="15" x14ac:dyDescent="0.25">
      <c r="B176" t="s">
        <v>1309</v>
      </c>
      <c r="C176" s="164">
        <f>C175*C169</f>
        <v>472.5</v>
      </c>
      <c r="D176"/>
      <c r="E176"/>
    </row>
    <row r="177" spans="2:6" ht="15" x14ac:dyDescent="0.25">
      <c r="B177"/>
      <c r="C177" s="164"/>
      <c r="D177"/>
      <c r="E177"/>
    </row>
    <row r="178" spans="2:6" ht="15" x14ac:dyDescent="0.25">
      <c r="B178" t="str">
        <f>"Share capital (£"&amp;C172&amp;"*"&amp;C175&amp;")"</f>
        <v>Share capital (£1*270)</v>
      </c>
      <c r="C178" s="164">
        <f>C172*C175</f>
        <v>270</v>
      </c>
      <c r="D178"/>
      <c r="E178"/>
    </row>
    <row r="179" spans="2:6" ht="15" x14ac:dyDescent="0.25">
      <c r="B179" t="s">
        <v>974</v>
      </c>
      <c r="C179" s="164">
        <f>C176-C175</f>
        <v>202.5</v>
      </c>
      <c r="D179"/>
      <c r="E179"/>
    </row>
    <row r="180" spans="2:6" ht="15.75" thickBot="1" x14ac:dyDescent="0.3">
      <c r="B180" t="s">
        <v>1309</v>
      </c>
      <c r="C180" s="285">
        <f>SUM(C178:C179)</f>
        <v>472.5</v>
      </c>
      <c r="D180"/>
      <c r="E180"/>
    </row>
    <row r="181" spans="2:6" ht="15.75" thickTop="1" x14ac:dyDescent="0.25">
      <c r="B181"/>
      <c r="C181"/>
      <c r="D181"/>
      <c r="E181"/>
    </row>
    <row r="182" spans="2:6" ht="15" x14ac:dyDescent="0.25">
      <c r="B182" s="104" t="s">
        <v>2395</v>
      </c>
      <c r="C182" s="164">
        <f>C180</f>
        <v>472.5</v>
      </c>
      <c r="D182" s="164"/>
      <c r="E182" s="164"/>
      <c r="F182" s="89"/>
    </row>
    <row r="183" spans="2:6" ht="15" x14ac:dyDescent="0.25">
      <c r="B183" t="s">
        <v>1855</v>
      </c>
      <c r="C183" s="164"/>
      <c r="D183" s="164"/>
      <c r="E183" s="164">
        <f>C178</f>
        <v>270</v>
      </c>
      <c r="F183" s="89"/>
    </row>
    <row r="184" spans="2:6" ht="15" x14ac:dyDescent="0.25">
      <c r="B184" t="s">
        <v>1854</v>
      </c>
      <c r="C184" s="164"/>
      <c r="D184" s="164"/>
      <c r="E184" s="164">
        <f>C179</f>
        <v>202.5</v>
      </c>
      <c r="F184" s="89"/>
    </row>
    <row r="188" spans="2:6" x14ac:dyDescent="0.2">
      <c r="B188" s="1" t="s">
        <v>2396</v>
      </c>
    </row>
    <row r="192" spans="2:6" ht="15" x14ac:dyDescent="0.25">
      <c r="B192" s="94" t="s">
        <v>2397</v>
      </c>
      <c r="C192"/>
      <c r="D192"/>
      <c r="E192"/>
    </row>
    <row r="193" spans="1:9" ht="15" x14ac:dyDescent="0.25">
      <c r="B193" t="s">
        <v>2398</v>
      </c>
      <c r="C193" s="100">
        <v>500</v>
      </c>
      <c r="D193"/>
      <c r="E193"/>
    </row>
    <row r="194" spans="1:9" ht="15" x14ac:dyDescent="0.25">
      <c r="B194" t="s">
        <v>2399</v>
      </c>
      <c r="C194" s="284">
        <v>1</v>
      </c>
      <c r="D194"/>
      <c r="E194"/>
    </row>
    <row r="195" spans="1:9" ht="15" x14ac:dyDescent="0.25">
      <c r="B195" t="s">
        <v>2400</v>
      </c>
      <c r="C195" s="212">
        <v>2.1</v>
      </c>
      <c r="D195"/>
      <c r="E195"/>
    </row>
    <row r="196" spans="1:9" ht="15" x14ac:dyDescent="0.25">
      <c r="B196" t="s">
        <v>2401</v>
      </c>
      <c r="C196" s="104">
        <v>30</v>
      </c>
      <c r="D196"/>
      <c r="E196"/>
    </row>
    <row r="197" spans="1:9" ht="15" x14ac:dyDescent="0.25">
      <c r="B197"/>
      <c r="C197"/>
      <c r="D197"/>
      <c r="E197"/>
    </row>
    <row r="198" spans="1:9" ht="15" x14ac:dyDescent="0.25">
      <c r="B198" t="s">
        <v>2395</v>
      </c>
      <c r="C198" s="106">
        <f>C193*C195</f>
        <v>1050</v>
      </c>
      <c r="D198"/>
      <c r="E198"/>
    </row>
    <row r="199" spans="1:9" ht="15" x14ac:dyDescent="0.25">
      <c r="B199" t="s">
        <v>2403</v>
      </c>
      <c r="D199"/>
      <c r="E199" s="106">
        <f>+C196</f>
        <v>30</v>
      </c>
      <c r="H199" s="6"/>
    </row>
    <row r="200" spans="1:9" ht="15" x14ac:dyDescent="0.25">
      <c r="B200" t="s">
        <v>1855</v>
      </c>
      <c r="C200"/>
      <c r="D200"/>
      <c r="E200" s="106">
        <f>C193*C194</f>
        <v>500</v>
      </c>
    </row>
    <row r="201" spans="1:9" ht="15" x14ac:dyDescent="0.25">
      <c r="B201" t="s">
        <v>1854</v>
      </c>
      <c r="C201"/>
      <c r="D201"/>
      <c r="E201" s="106">
        <f>IF(C196&lt;(C195-C194)*C193,(C195-C194)*C193-C196,(C195-C194)*C193)</f>
        <v>520</v>
      </c>
    </row>
    <row r="205" spans="1:9" x14ac:dyDescent="0.2">
      <c r="B205" s="1" t="s">
        <v>2404</v>
      </c>
    </row>
    <row r="206" spans="1:9" x14ac:dyDescent="0.2">
      <c r="E206" s="1">
        <v>2015</v>
      </c>
    </row>
    <row r="207" spans="1:9" x14ac:dyDescent="0.2">
      <c r="A207" s="89"/>
      <c r="B207" s="89" t="str">
        <f>+B27</f>
        <v>dr - FV Aberdeen</v>
      </c>
      <c r="C207" s="89"/>
      <c r="D207" s="89"/>
      <c r="E207" s="89">
        <f>+E27</f>
        <v>100</v>
      </c>
      <c r="F207" s="1" t="s">
        <v>21</v>
      </c>
    </row>
    <row r="208" spans="1:9" x14ac:dyDescent="0.2">
      <c r="A208" s="89"/>
      <c r="B208" s="89" t="str">
        <f>+B46</f>
        <v>dr - SPL loss on revaluatoin</v>
      </c>
      <c r="C208" s="89"/>
      <c r="D208" s="89"/>
      <c r="E208" s="89">
        <f>+E46</f>
        <v>73.150000000000091</v>
      </c>
      <c r="F208" s="1" t="s">
        <v>21</v>
      </c>
      <c r="I208" s="6"/>
    </row>
    <row r="209" spans="1:9" x14ac:dyDescent="0.2">
      <c r="A209" s="89"/>
      <c r="B209" s="89" t="str">
        <f>+B52</f>
        <v>dr - SPL depr</v>
      </c>
      <c r="C209" s="89"/>
      <c r="D209" s="89"/>
      <c r="E209" s="89">
        <f>+E52</f>
        <v>26.85</v>
      </c>
      <c r="F209" s="1" t="s">
        <v>21</v>
      </c>
    </row>
    <row r="210" spans="1:9" x14ac:dyDescent="0.2">
      <c r="A210" s="89"/>
      <c r="B210" s="89" t="str">
        <f>+C65</f>
        <v>cr - gain on revalation</v>
      </c>
      <c r="C210" s="89"/>
      <c r="D210" s="89"/>
      <c r="E210" s="89">
        <f>+F65</f>
        <v>30</v>
      </c>
      <c r="F210" s="1" t="s">
        <v>816</v>
      </c>
      <c r="I210" s="6"/>
    </row>
    <row r="211" spans="1:9" x14ac:dyDescent="0.2">
      <c r="A211" s="89"/>
      <c r="B211" s="89" t="str">
        <f>+C72</f>
        <v>cr - SPL - increase in FV of NCAHFS</v>
      </c>
      <c r="C211" s="89"/>
      <c r="D211" s="89"/>
      <c r="E211" s="89">
        <f>+F72</f>
        <v>20</v>
      </c>
      <c r="F211" s="1" t="s">
        <v>816</v>
      </c>
    </row>
    <row r="212" spans="1:9" x14ac:dyDescent="0.2">
      <c r="A212" s="89"/>
      <c r="B212" s="89" t="str">
        <f>+B120</f>
        <v>dr - depr charge</v>
      </c>
      <c r="C212" s="89"/>
      <c r="D212" s="89"/>
      <c r="E212" s="89">
        <f>(+E117+E120)</f>
        <v>102.4</v>
      </c>
      <c r="F212" s="1" t="s">
        <v>21</v>
      </c>
    </row>
    <row r="213" spans="1:9" x14ac:dyDescent="0.2">
      <c r="A213" s="89"/>
      <c r="B213" s="89" t="str">
        <f>+B136</f>
        <v>dr - SPL revaluatoin decrease</v>
      </c>
      <c r="C213" s="89"/>
      <c r="D213" s="89"/>
      <c r="E213" s="89">
        <f>+E136</f>
        <v>19.826086956521749</v>
      </c>
      <c r="F213" s="1" t="s">
        <v>21</v>
      </c>
    </row>
    <row r="214" spans="1:9" x14ac:dyDescent="0.2">
      <c r="A214" s="89"/>
      <c r="B214" s="89" t="str">
        <f>+B182</f>
        <v>DR other income</v>
      </c>
      <c r="C214" s="89"/>
      <c r="E214" s="89">
        <f>+C182</f>
        <v>472.5</v>
      </c>
      <c r="F214" s="1" t="s">
        <v>21</v>
      </c>
    </row>
    <row r="215" spans="1:9" x14ac:dyDescent="0.2">
      <c r="A215" s="89"/>
      <c r="B215" s="89" t="str">
        <f>+B198</f>
        <v>DR other income</v>
      </c>
      <c r="C215" s="89"/>
      <c r="E215" s="89">
        <f>+C198</f>
        <v>1050</v>
      </c>
      <c r="F215" s="1" t="s">
        <v>21</v>
      </c>
    </row>
    <row r="216" spans="1:9" x14ac:dyDescent="0.2">
      <c r="A216" s="89"/>
      <c r="B216" s="89" t="str">
        <f>+B199</f>
        <v>cR SPL - financnce cost</v>
      </c>
      <c r="C216" s="89"/>
      <c r="D216" s="89"/>
      <c r="E216" s="89">
        <f>+E199</f>
        <v>30</v>
      </c>
      <c r="F216" s="1" t="s">
        <v>816</v>
      </c>
    </row>
    <row r="217" spans="1:9" ht="12.75" thickBot="1" x14ac:dyDescent="0.25">
      <c r="E217" s="90">
        <f>+E206-E207-E208-E209+E210+E211+-E212-E213-E214-E215+E216</f>
        <v>250.27391304347816</v>
      </c>
    </row>
    <row r="218" spans="1:9" ht="12.75" thickTop="1" x14ac:dyDescent="0.2">
      <c r="E218" s="89"/>
    </row>
    <row r="219" spans="1:9" x14ac:dyDescent="0.2">
      <c r="C219" s="89"/>
    </row>
    <row r="221" spans="1:9" x14ac:dyDescent="0.2">
      <c r="C221" s="1" t="s">
        <v>1262</v>
      </c>
      <c r="D221" s="1" t="s">
        <v>1263</v>
      </c>
      <c r="E221" s="1" t="s">
        <v>1264</v>
      </c>
      <c r="F221" s="1" t="s">
        <v>1265</v>
      </c>
      <c r="G221" s="1" t="s">
        <v>281</v>
      </c>
    </row>
    <row r="222" spans="1:9" x14ac:dyDescent="0.2">
      <c r="B222" s="1" t="s">
        <v>2405</v>
      </c>
      <c r="C222" s="89">
        <f>+C155</f>
        <v>1000</v>
      </c>
      <c r="D222" s="89">
        <f>+C156</f>
        <v>150</v>
      </c>
      <c r="E222" s="89">
        <f>+C157</f>
        <v>4229</v>
      </c>
      <c r="F222" s="89">
        <f>+C158</f>
        <v>876</v>
      </c>
      <c r="G222" s="89">
        <f>SUM(C222:F222)</f>
        <v>6255</v>
      </c>
    </row>
    <row r="223" spans="1:9" x14ac:dyDescent="0.2">
      <c r="B223" s="1" t="s">
        <v>2406</v>
      </c>
      <c r="C223" s="89"/>
      <c r="D223" s="89"/>
      <c r="E223" s="89">
        <f>+F127</f>
        <v>32</v>
      </c>
      <c r="F223" s="89">
        <f>-E126</f>
        <v>-32</v>
      </c>
      <c r="G223" s="89">
        <f>SUM(C223:F223)</f>
        <v>0</v>
      </c>
    </row>
    <row r="224" spans="1:9" x14ac:dyDescent="0.2">
      <c r="B224" s="1" t="s">
        <v>2402</v>
      </c>
      <c r="C224" s="89"/>
      <c r="D224" s="89"/>
      <c r="E224" s="89">
        <f>+E217</f>
        <v>250.27391304347816</v>
      </c>
      <c r="F224" s="89">
        <f>-+E135</f>
        <v>-197.77391304347816</v>
      </c>
      <c r="G224" s="89">
        <f>SUM(C224:F224)</f>
        <v>52.5</v>
      </c>
    </row>
    <row r="225" spans="2:7" x14ac:dyDescent="0.2">
      <c r="B225" s="1" t="s">
        <v>2407</v>
      </c>
      <c r="C225" s="89">
        <f>+E183+E200</f>
        <v>770</v>
      </c>
      <c r="D225" s="89">
        <f>+E184+E201</f>
        <v>722.5</v>
      </c>
      <c r="E225" s="89"/>
      <c r="F225" s="89"/>
      <c r="G225" s="89">
        <f>SUM(C225:F225)</f>
        <v>1492.5</v>
      </c>
    </row>
    <row r="226" spans="2:7" x14ac:dyDescent="0.2">
      <c r="B226" s="1" t="s">
        <v>943</v>
      </c>
      <c r="C226" s="89"/>
      <c r="D226" s="89"/>
      <c r="E226" s="89">
        <v>-1260</v>
      </c>
      <c r="F226" s="89"/>
      <c r="G226" s="89">
        <f>SUM(C226:F226)</f>
        <v>-1260</v>
      </c>
    </row>
    <row r="227" spans="2:7" ht="12.75" thickBot="1" x14ac:dyDescent="0.25">
      <c r="B227" s="1" t="s">
        <v>2408</v>
      </c>
      <c r="C227" s="90">
        <f>SUM(C222:C226)</f>
        <v>1770</v>
      </c>
      <c r="D227" s="90">
        <f t="shared" ref="D227:G227" si="0">SUM(D222:D226)</f>
        <v>872.5</v>
      </c>
      <c r="E227" s="90">
        <f t="shared" si="0"/>
        <v>3251.2739130434784</v>
      </c>
      <c r="F227" s="90">
        <f t="shared" si="0"/>
        <v>646.22608695652184</v>
      </c>
      <c r="G227" s="90">
        <f t="shared" si="0"/>
        <v>6540</v>
      </c>
    </row>
    <row r="228" spans="2:7" ht="12.75" thickTop="1" x14ac:dyDescent="0.2"/>
  </sheetData>
  <hyperlinks>
    <hyperlink ref="A1" location="Main!A1" display="Main" xr:uid="{B6D8A245-74B2-4261-83B6-8C7866768EA0}"/>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42E4B-BEB4-4E5A-B397-4F28AE407105}">
  <sheetPr codeName="Sheet28"/>
  <dimension ref="A1:N50"/>
  <sheetViews>
    <sheetView zoomScaleNormal="100" workbookViewId="0"/>
  </sheetViews>
  <sheetFormatPr defaultRowHeight="12" x14ac:dyDescent="0.2"/>
  <cols>
    <col min="1" max="16384" width="9.140625" style="1"/>
  </cols>
  <sheetData>
    <row r="1" spans="1:14" ht="15" x14ac:dyDescent="0.25">
      <c r="A1" s="2" t="s">
        <v>0</v>
      </c>
    </row>
    <row r="2" spans="1:14" ht="15" x14ac:dyDescent="0.25">
      <c r="B2" s="94" t="s">
        <v>1436</v>
      </c>
      <c r="C2" s="95" t="s">
        <v>1435</v>
      </c>
      <c r="D2" s="95" t="s">
        <v>1437</v>
      </c>
      <c r="E2" s="95" t="s">
        <v>1434</v>
      </c>
      <c r="F2" s="95" t="s">
        <v>1438</v>
      </c>
      <c r="G2" s="95" t="s">
        <v>1439</v>
      </c>
      <c r="H2" s="95" t="s">
        <v>1440</v>
      </c>
      <c r="I2" s="95" t="s">
        <v>1441</v>
      </c>
      <c r="J2"/>
      <c r="K2" s="96" t="s">
        <v>1442</v>
      </c>
      <c r="L2" s="95" t="s">
        <v>1443</v>
      </c>
      <c r="M2" s="95" t="s">
        <v>1444</v>
      </c>
    </row>
    <row r="3" spans="1:14" ht="15" x14ac:dyDescent="0.25">
      <c r="B3"/>
      <c r="C3" s="97" t="s">
        <v>248</v>
      </c>
      <c r="D3" s="97" t="s">
        <v>248</v>
      </c>
      <c r="E3" s="97" t="s">
        <v>248</v>
      </c>
      <c r="F3" s="97" t="s">
        <v>248</v>
      </c>
      <c r="G3" s="97" t="s">
        <v>248</v>
      </c>
      <c r="H3" s="97" t="s">
        <v>248</v>
      </c>
      <c r="I3" s="97" t="s">
        <v>248</v>
      </c>
      <c r="J3"/>
      <c r="K3" s="97" t="s">
        <v>248</v>
      </c>
      <c r="L3" s="97" t="s">
        <v>248</v>
      </c>
      <c r="M3" s="97" t="s">
        <v>248</v>
      </c>
    </row>
    <row r="4" spans="1:14" ht="15" x14ac:dyDescent="0.25">
      <c r="B4" s="98" t="s">
        <v>1445</v>
      </c>
      <c r="C4" s="99">
        <v>0</v>
      </c>
      <c r="D4" s="99">
        <v>0</v>
      </c>
      <c r="E4" s="99">
        <v>19</v>
      </c>
      <c r="F4" s="100">
        <v>42</v>
      </c>
      <c r="G4" s="100">
        <v>0</v>
      </c>
      <c r="H4" s="101">
        <v>45</v>
      </c>
      <c r="I4" s="102">
        <f>SUM(C4:H4)</f>
        <v>106</v>
      </c>
      <c r="J4" s="103"/>
      <c r="K4" s="104"/>
      <c r="L4" s="99"/>
      <c r="M4" s="100">
        <v>0</v>
      </c>
    </row>
    <row r="5" spans="1:14" ht="15" x14ac:dyDescent="0.25">
      <c r="B5" s="98" t="s">
        <v>1446</v>
      </c>
      <c r="C5" s="99">
        <v>135</v>
      </c>
      <c r="D5" s="99">
        <v>24</v>
      </c>
      <c r="E5" s="99">
        <v>11</v>
      </c>
      <c r="F5" s="100"/>
      <c r="G5" s="100">
        <v>12</v>
      </c>
      <c r="H5" s="101">
        <v>60</v>
      </c>
      <c r="I5" s="102">
        <f>SUM(C5:H5)</f>
        <v>242</v>
      </c>
      <c r="J5" s="103"/>
      <c r="K5" s="104"/>
      <c r="L5" s="99">
        <v>15</v>
      </c>
      <c r="M5" s="104"/>
    </row>
    <row r="6" spans="1:14" ht="15" x14ac:dyDescent="0.25">
      <c r="B6" s="98" t="s">
        <v>1447</v>
      </c>
      <c r="C6" s="99">
        <v>114</v>
      </c>
      <c r="D6" s="99">
        <v>23</v>
      </c>
      <c r="E6" s="99">
        <v>12</v>
      </c>
      <c r="F6" s="100"/>
      <c r="G6" s="100">
        <v>10</v>
      </c>
      <c r="H6" s="101">
        <v>90</v>
      </c>
      <c r="I6" s="102">
        <f>SUM(C6:H6)</f>
        <v>249</v>
      </c>
      <c r="J6" s="103" t="s">
        <v>1448</v>
      </c>
      <c r="K6" s="105"/>
      <c r="L6" s="99">
        <v>24</v>
      </c>
      <c r="M6" s="104"/>
    </row>
    <row r="7" spans="1:14" ht="15" x14ac:dyDescent="0.25">
      <c r="B7" s="98" t="s">
        <v>1449</v>
      </c>
      <c r="C7" s="99">
        <v>45</v>
      </c>
      <c r="D7" s="99">
        <v>8</v>
      </c>
      <c r="E7" s="99">
        <v>3</v>
      </c>
      <c r="F7" s="100"/>
      <c r="G7" s="100">
        <v>4</v>
      </c>
      <c r="H7" s="101">
        <v>0</v>
      </c>
      <c r="I7" s="102">
        <f>SUM(C7:H7)</f>
        <v>60</v>
      </c>
      <c r="J7" s="103"/>
      <c r="K7" s="105">
        <f>19+10</f>
        <v>29</v>
      </c>
      <c r="L7" s="99">
        <v>9</v>
      </c>
      <c r="M7" s="104"/>
    </row>
    <row r="8" spans="1:14" ht="15" x14ac:dyDescent="0.25">
      <c r="B8"/>
      <c r="C8" s="106">
        <f t="shared" ref="C8:I8" si="0">SUM(C4:C7)</f>
        <v>294</v>
      </c>
      <c r="D8" s="106">
        <f t="shared" si="0"/>
        <v>55</v>
      </c>
      <c r="E8" s="106">
        <f t="shared" si="0"/>
        <v>45</v>
      </c>
      <c r="F8" s="106">
        <f t="shared" si="0"/>
        <v>42</v>
      </c>
      <c r="G8" s="106">
        <f t="shared" si="0"/>
        <v>26</v>
      </c>
      <c r="H8" s="106">
        <f t="shared" si="0"/>
        <v>195</v>
      </c>
      <c r="I8" s="102">
        <f t="shared" si="0"/>
        <v>657</v>
      </c>
      <c r="J8"/>
      <c r="K8" s="106">
        <f>SUM(K4:K7)</f>
        <v>29</v>
      </c>
      <c r="L8" s="106">
        <f>SUM(L4:L7)</f>
        <v>48</v>
      </c>
      <c r="M8" s="106">
        <f>SUM(M4:M7)</f>
        <v>0</v>
      </c>
    </row>
    <row r="9" spans="1:14" ht="15" x14ac:dyDescent="0.25">
      <c r="B9"/>
      <c r="C9"/>
      <c r="D9"/>
      <c r="E9"/>
      <c r="F9"/>
      <c r="G9"/>
      <c r="H9"/>
      <c r="I9"/>
      <c r="J9"/>
      <c r="K9"/>
      <c r="L9"/>
      <c r="M9"/>
      <c r="N9"/>
    </row>
    <row r="10" spans="1:14" ht="15.75" thickBot="1" x14ac:dyDescent="0.3">
      <c r="B10"/>
      <c r="C10"/>
      <c r="D10"/>
      <c r="E10"/>
      <c r="F10"/>
      <c r="G10"/>
      <c r="H10"/>
      <c r="I10"/>
      <c r="J10"/>
      <c r="K10"/>
      <c r="L10"/>
      <c r="M10" s="103" t="s">
        <v>1450</v>
      </c>
      <c r="N10"/>
    </row>
    <row r="11" spans="1:14" ht="15" x14ac:dyDescent="0.25">
      <c r="B11" s="107" t="s">
        <v>1451</v>
      </c>
      <c r="C11" s="108"/>
      <c r="D11" s="109"/>
      <c r="E11"/>
      <c r="F11"/>
      <c r="G11" s="110"/>
      <c r="H11"/>
      <c r="I11"/>
      <c r="J11"/>
      <c r="K11"/>
      <c r="L11"/>
      <c r="M11"/>
      <c r="N11"/>
    </row>
    <row r="12" spans="1:14" ht="15" x14ac:dyDescent="0.25">
      <c r="B12" s="111" t="s">
        <v>1452</v>
      </c>
      <c r="C12"/>
      <c r="D12" s="112"/>
      <c r="E12"/>
      <c r="F12"/>
      <c r="G12"/>
      <c r="H12"/>
      <c r="I12"/>
      <c r="J12"/>
      <c r="K12"/>
      <c r="L12"/>
      <c r="M12"/>
      <c r="N12"/>
    </row>
    <row r="13" spans="1:14" ht="15" x14ac:dyDescent="0.25">
      <c r="B13" s="113" t="s">
        <v>1435</v>
      </c>
      <c r="C13"/>
      <c r="D13" s="114">
        <f>C8</f>
        <v>294</v>
      </c>
      <c r="E13"/>
      <c r="F13"/>
      <c r="G13"/>
      <c r="H13"/>
      <c r="I13"/>
      <c r="J13"/>
      <c r="K13"/>
      <c r="L13"/>
      <c r="M13"/>
      <c r="N13"/>
    </row>
    <row r="14" spans="1:14" ht="15.75" thickBot="1" x14ac:dyDescent="0.3">
      <c r="B14" s="113" t="s">
        <v>1453</v>
      </c>
      <c r="C14"/>
      <c r="D14" s="114">
        <f>D8</f>
        <v>55</v>
      </c>
      <c r="E14"/>
      <c r="F14"/>
      <c r="G14"/>
      <c r="H14"/>
      <c r="I14"/>
      <c r="J14"/>
      <c r="K14"/>
      <c r="L14"/>
      <c r="M14"/>
      <c r="N14"/>
    </row>
    <row r="15" spans="1:14" ht="15" x14ac:dyDescent="0.25">
      <c r="B15" s="113" t="s">
        <v>1434</v>
      </c>
      <c r="C15"/>
      <c r="D15" s="114">
        <f>E8</f>
        <v>45</v>
      </c>
      <c r="E15"/>
      <c r="F15" s="107" t="s">
        <v>1454</v>
      </c>
      <c r="G15" s="108"/>
      <c r="H15" s="108"/>
      <c r="I15" s="108"/>
      <c r="J15" s="109"/>
      <c r="K15"/>
      <c r="L15" s="115" t="s">
        <v>1455</v>
      </c>
      <c r="M15"/>
      <c r="N15"/>
    </row>
    <row r="16" spans="1:14" ht="15" x14ac:dyDescent="0.25">
      <c r="B16" s="116" t="s">
        <v>1456</v>
      </c>
      <c r="C16"/>
      <c r="D16" s="114">
        <f>+F8</f>
        <v>42</v>
      </c>
      <c r="E16"/>
      <c r="F16" s="113"/>
      <c r="G16"/>
      <c r="H16"/>
      <c r="I16"/>
      <c r="J16" s="112"/>
      <c r="K16"/>
      <c r="L16"/>
      <c r="M16"/>
      <c r="N16"/>
    </row>
    <row r="17" spans="2:14" ht="15.75" thickBot="1" x14ac:dyDescent="0.3">
      <c r="B17" s="113"/>
      <c r="C17"/>
      <c r="D17" s="117">
        <f>SUM(D13:D16)</f>
        <v>436</v>
      </c>
      <c r="E17"/>
      <c r="F17" s="113"/>
      <c r="G17" s="102">
        <f>D17+G8+H8</f>
        <v>657</v>
      </c>
      <c r="H17" t="s">
        <v>1457</v>
      </c>
      <c r="I17"/>
      <c r="J17" s="112"/>
      <c r="K17"/>
      <c r="L17"/>
      <c r="M17"/>
      <c r="N17"/>
    </row>
    <row r="18" spans="2:14" ht="16.5" thickTop="1" thickBot="1" x14ac:dyDescent="0.3">
      <c r="B18" s="113"/>
      <c r="C18"/>
      <c r="D18" s="112"/>
      <c r="E18"/>
      <c r="F18" s="118"/>
      <c r="G18" s="119"/>
      <c r="H18" s="119"/>
      <c r="I18" s="119"/>
      <c r="J18" s="120"/>
      <c r="K18"/>
      <c r="L18"/>
      <c r="M18"/>
      <c r="N18"/>
    </row>
    <row r="19" spans="2:14" ht="15" x14ac:dyDescent="0.25">
      <c r="B19" s="111" t="s">
        <v>1458</v>
      </c>
      <c r="C19"/>
      <c r="D19" s="112"/>
      <c r="E19"/>
      <c r="F19"/>
      <c r="G19"/>
      <c r="H19"/>
      <c r="I19"/>
      <c r="J19"/>
      <c r="K19"/>
      <c r="L19"/>
      <c r="M19"/>
      <c r="N19"/>
    </row>
    <row r="20" spans="2:14" ht="15" x14ac:dyDescent="0.25">
      <c r="B20" s="113" t="s">
        <v>1435</v>
      </c>
      <c r="C20"/>
      <c r="D20" s="121">
        <f>SUMIF($J$4:$J$7,"Highest paid director",C4:C7)</f>
        <v>114</v>
      </c>
      <c r="E20"/>
      <c r="K20"/>
      <c r="L20"/>
      <c r="M20"/>
      <c r="N20"/>
    </row>
    <row r="21" spans="2:14" ht="15" x14ac:dyDescent="0.25">
      <c r="B21" s="113" t="s">
        <v>1453</v>
      </c>
      <c r="C21"/>
      <c r="D21" s="121">
        <f>SUMIF($J$4:$J$7,"Highest paid director",D4:D7)</f>
        <v>23</v>
      </c>
      <c r="E21"/>
      <c r="K21"/>
      <c r="L21"/>
      <c r="M21"/>
      <c r="N21"/>
    </row>
    <row r="22" spans="2:14" ht="15" x14ac:dyDescent="0.25">
      <c r="B22" s="113" t="s">
        <v>1434</v>
      </c>
      <c r="C22"/>
      <c r="D22" s="121">
        <f>SUMIF($J$4:$J$7,"Highest paid director",E4:E7)</f>
        <v>12</v>
      </c>
      <c r="E22"/>
      <c r="F22"/>
      <c r="G22"/>
      <c r="H22"/>
      <c r="I22"/>
      <c r="J22"/>
      <c r="K22"/>
      <c r="L22"/>
      <c r="M22"/>
      <c r="N22"/>
    </row>
    <row r="23" spans="2:14" ht="15.75" thickBot="1" x14ac:dyDescent="0.3">
      <c r="B23" s="113" t="s">
        <v>1462</v>
      </c>
      <c r="C23"/>
      <c r="D23" s="121">
        <f>SUMIF($J$4:$J$7,"Highest paid director",H4:H7)</f>
        <v>90</v>
      </c>
      <c r="E23"/>
      <c r="F23"/>
      <c r="G23"/>
      <c r="H23"/>
      <c r="I23"/>
      <c r="J23"/>
      <c r="K23"/>
      <c r="L23"/>
      <c r="M23"/>
      <c r="N23"/>
    </row>
    <row r="24" spans="2:14" ht="15" x14ac:dyDescent="0.25">
      <c r="B24" s="113" t="s">
        <v>1463</v>
      </c>
      <c r="C24"/>
      <c r="D24" s="121">
        <f>SUMIF($J$4:$J$7,"Highest paid director",G4:G7)</f>
        <v>10</v>
      </c>
      <c r="E24"/>
      <c r="F24" s="107" t="s">
        <v>1459</v>
      </c>
      <c r="G24" s="108"/>
      <c r="H24" s="108"/>
      <c r="I24" s="108"/>
      <c r="J24" s="109"/>
      <c r="K24"/>
      <c r="L24"/>
      <c r="M24"/>
      <c r="N24"/>
    </row>
    <row r="25" spans="2:14" ht="15" x14ac:dyDescent="0.25">
      <c r="B25" s="116" t="s">
        <v>1464</v>
      </c>
      <c r="C25"/>
      <c r="D25" s="121">
        <f>SUMIF($J$4:$J$7,"Highest paid director",F4:F7)</f>
        <v>0</v>
      </c>
      <c r="E25"/>
      <c r="F25" s="113" t="s">
        <v>1460</v>
      </c>
      <c r="G25"/>
      <c r="H25"/>
      <c r="I25" s="122" t="str">
        <f>IF(G17&gt;200,"Yes","No")</f>
        <v>Yes</v>
      </c>
      <c r="J25" s="112"/>
      <c r="K25"/>
      <c r="L25"/>
      <c r="M25"/>
      <c r="N25"/>
    </row>
    <row r="26" spans="2:14" ht="15.75" thickBot="1" x14ac:dyDescent="0.3">
      <c r="B26" s="124" t="s">
        <v>1452</v>
      </c>
      <c r="C26" s="119"/>
      <c r="D26" s="125">
        <f>SUM(D20:D25)</f>
        <v>249</v>
      </c>
      <c r="E26"/>
      <c r="F26" s="118" t="s">
        <v>1461</v>
      </c>
      <c r="G26" s="119"/>
      <c r="H26" s="119"/>
      <c r="I26" s="123" t="str">
        <f>IF(I25="Yes","Disclose Highest Paid Director","Do not disclose highest  paid director")</f>
        <v>Disclose Highest Paid Director</v>
      </c>
      <c r="J26" s="120"/>
      <c r="K26"/>
      <c r="L26"/>
      <c r="M26"/>
      <c r="N26"/>
    </row>
    <row r="27" spans="2:14" ht="15.75" thickBot="1" x14ac:dyDescent="0.3">
      <c r="B27"/>
      <c r="C27"/>
      <c r="D27"/>
      <c r="E27"/>
      <c r="F27"/>
      <c r="G27"/>
      <c r="H27"/>
      <c r="I27"/>
      <c r="J27"/>
      <c r="K27"/>
      <c r="L27"/>
      <c r="M27"/>
      <c r="N27"/>
    </row>
    <row r="28" spans="2:14" ht="15" x14ac:dyDescent="0.25">
      <c r="B28" s="126" t="s">
        <v>1465</v>
      </c>
      <c r="C28" s="108"/>
      <c r="D28" s="108"/>
      <c r="E28" s="109"/>
      <c r="F28"/>
      <c r="G28"/>
      <c r="H28"/>
      <c r="I28"/>
      <c r="J28"/>
      <c r="K28"/>
      <c r="L28"/>
      <c r="M28"/>
      <c r="N28"/>
    </row>
    <row r="29" spans="2:14" ht="15" x14ac:dyDescent="0.25">
      <c r="B29" s="113" t="s">
        <v>1466</v>
      </c>
      <c r="C29"/>
      <c r="D29"/>
      <c r="E29" s="112"/>
      <c r="F29"/>
      <c r="G29"/>
      <c r="H29"/>
      <c r="I29"/>
      <c r="J29"/>
      <c r="K29"/>
      <c r="L29"/>
      <c r="M29"/>
      <c r="N29"/>
    </row>
    <row r="30" spans="2:14" ht="15" x14ac:dyDescent="0.25">
      <c r="B30" s="113" t="s">
        <v>1467</v>
      </c>
      <c r="C30"/>
      <c r="D30" s="102">
        <f>D17</f>
        <v>436</v>
      </c>
      <c r="E30" s="112"/>
      <c r="F30"/>
      <c r="G30"/>
      <c r="H30"/>
      <c r="I30"/>
      <c r="J30"/>
      <c r="K30"/>
      <c r="L30"/>
      <c r="M30"/>
      <c r="N30"/>
    </row>
    <row r="31" spans="2:14" ht="15" x14ac:dyDescent="0.25">
      <c r="B31" s="113" t="s">
        <v>1468</v>
      </c>
      <c r="C31"/>
      <c r="D31" s="102">
        <f>G8</f>
        <v>26</v>
      </c>
      <c r="E31" s="112"/>
      <c r="F31"/>
      <c r="G31"/>
      <c r="H31"/>
      <c r="I31"/>
      <c r="J31"/>
      <c r="K31"/>
      <c r="L31"/>
      <c r="M31"/>
      <c r="N31"/>
    </row>
    <row r="32" spans="2:14" ht="15" x14ac:dyDescent="0.25">
      <c r="B32" s="113" t="s">
        <v>1469</v>
      </c>
      <c r="C32"/>
      <c r="D32" s="102">
        <f>L8</f>
        <v>48</v>
      </c>
      <c r="E32" s="112"/>
      <c r="F32" s="103" t="s">
        <v>1470</v>
      </c>
      <c r="G32"/>
      <c r="H32"/>
      <c r="I32"/>
      <c r="J32"/>
      <c r="K32"/>
      <c r="L32"/>
      <c r="M32"/>
      <c r="N32"/>
    </row>
    <row r="33" spans="2:14" ht="15.75" thickBot="1" x14ac:dyDescent="0.3">
      <c r="B33" s="111" t="s">
        <v>1471</v>
      </c>
      <c r="C33"/>
      <c r="D33" s="127">
        <f>SUM(D30:D32)</f>
        <v>510</v>
      </c>
      <c r="E33" s="112"/>
      <c r="F33"/>
      <c r="G33"/>
      <c r="H33"/>
      <c r="I33"/>
      <c r="J33"/>
      <c r="K33"/>
      <c r="L33"/>
      <c r="M33"/>
      <c r="N33"/>
    </row>
    <row r="34" spans="2:14" ht="15.75" thickTop="1" x14ac:dyDescent="0.25">
      <c r="B34" s="113"/>
      <c r="C34"/>
      <c r="D34"/>
      <c r="E34" s="112"/>
      <c r="F34"/>
      <c r="G34"/>
      <c r="H34"/>
      <c r="I34"/>
      <c r="J34"/>
      <c r="K34"/>
      <c r="L34"/>
      <c r="M34"/>
      <c r="N34"/>
    </row>
    <row r="35" spans="2:14" ht="15" x14ac:dyDescent="0.25">
      <c r="B35" s="113"/>
      <c r="C35"/>
      <c r="D35" s="102"/>
      <c r="E35" s="112"/>
      <c r="F35"/>
      <c r="G35"/>
      <c r="H35"/>
      <c r="I35"/>
      <c r="J35"/>
      <c r="K35"/>
      <c r="L35"/>
      <c r="M35"/>
      <c r="N35"/>
    </row>
    <row r="36" spans="2:14" ht="15" x14ac:dyDescent="0.25">
      <c r="B36" s="113" t="str">
        <f>COUNT(L4:L7)&amp;" directors are members of the defined contribution pension scheme"</f>
        <v>3 directors are members of the defined contribution pension scheme</v>
      </c>
      <c r="C36"/>
      <c r="D36"/>
      <c r="E36" s="112"/>
      <c r="F36"/>
      <c r="G36"/>
      <c r="H36"/>
      <c r="I36"/>
      <c r="J36"/>
      <c r="K36"/>
      <c r="L36"/>
      <c r="M36"/>
      <c r="N36"/>
    </row>
    <row r="37" spans="2:14" ht="15" x14ac:dyDescent="0.25">
      <c r="B37" s="113" t="str">
        <f>COUNT(M4:M7)&amp;" directors are members of the defined benefit pension scheme"</f>
        <v>1 directors are members of the defined benefit pension scheme</v>
      </c>
      <c r="C37"/>
      <c r="D37"/>
      <c r="E37" s="112"/>
      <c r="F37"/>
      <c r="G37"/>
      <c r="H37"/>
      <c r="I37"/>
      <c r="J37"/>
      <c r="K37"/>
      <c r="L37"/>
      <c r="M37"/>
      <c r="N37"/>
    </row>
    <row r="38" spans="2:14" ht="15" x14ac:dyDescent="0.25">
      <c r="B38" s="113"/>
      <c r="C38"/>
      <c r="D38"/>
      <c r="E38" s="112"/>
      <c r="F38"/>
      <c r="G38"/>
      <c r="H38"/>
      <c r="I38"/>
      <c r="J38"/>
      <c r="K38"/>
      <c r="L38"/>
      <c r="M38"/>
      <c r="N38"/>
    </row>
    <row r="39" spans="2:14" ht="15" x14ac:dyDescent="0.25">
      <c r="B39" s="113" t="s">
        <v>1472</v>
      </c>
      <c r="C39"/>
      <c r="D39"/>
      <c r="E39" s="112"/>
      <c r="F39"/>
      <c r="G39"/>
      <c r="H39"/>
      <c r="I39"/>
      <c r="J39"/>
      <c r="K39"/>
      <c r="L39"/>
      <c r="M39"/>
      <c r="N39"/>
    </row>
    <row r="40" spans="2:14" ht="15" x14ac:dyDescent="0.25">
      <c r="B40" s="113" t="s">
        <v>1452</v>
      </c>
      <c r="C40"/>
      <c r="D40" s="128">
        <f>D26</f>
        <v>249</v>
      </c>
      <c r="E40" s="112"/>
      <c r="F40"/>
      <c r="G40"/>
      <c r="H40"/>
      <c r="I40"/>
      <c r="J40"/>
      <c r="K40"/>
      <c r="L40"/>
      <c r="M40"/>
      <c r="N40"/>
    </row>
    <row r="41" spans="2:14" ht="15" x14ac:dyDescent="0.25">
      <c r="B41" s="113" t="s">
        <v>1469</v>
      </c>
      <c r="C41"/>
      <c r="D41" s="128">
        <f>SUMIF(J4:J7,"Highest paid director",L4:L7)</f>
        <v>24</v>
      </c>
      <c r="E41" s="112"/>
      <c r="F41"/>
      <c r="G41"/>
      <c r="H41"/>
      <c r="I41"/>
      <c r="J41"/>
      <c r="K41"/>
      <c r="L41"/>
      <c r="M41"/>
      <c r="N41"/>
    </row>
    <row r="42" spans="2:14" ht="15.75" thickBot="1" x14ac:dyDescent="0.3">
      <c r="B42" s="111" t="s">
        <v>1473</v>
      </c>
      <c r="C42"/>
      <c r="D42" s="127">
        <f>SUM(D40:D41)</f>
        <v>273</v>
      </c>
      <c r="E42" s="112"/>
      <c r="F42"/>
      <c r="G42"/>
      <c r="H42"/>
      <c r="I42"/>
      <c r="J42"/>
      <c r="K42"/>
      <c r="L42"/>
      <c r="M42"/>
      <c r="N42"/>
    </row>
    <row r="43" spans="2:14" ht="15.75" thickTop="1" x14ac:dyDescent="0.25">
      <c r="B43" s="111"/>
      <c r="C43"/>
      <c r="D43" s="102"/>
      <c r="E43" s="112"/>
      <c r="F43"/>
      <c r="G43"/>
      <c r="H43"/>
      <c r="I43"/>
      <c r="J43"/>
      <c r="K43"/>
      <c r="L43"/>
      <c r="M43"/>
      <c r="N43"/>
    </row>
    <row r="44" spans="2:14" ht="15" x14ac:dyDescent="0.25">
      <c r="B44" s="116" t="str">
        <f>COUNTIF(G4:G7,"&gt;0")&amp;" of the directors have share options accruing at the year end. The exercies date of these options is xx/xx/xx"</f>
        <v>3 of the directors have share options accruing at the year end. The exercies date of these options is xx/xx/xx</v>
      </c>
      <c r="C44" s="104"/>
      <c r="D44" s="104"/>
      <c r="E44" s="104"/>
      <c r="F44"/>
      <c r="G44"/>
      <c r="H44"/>
      <c r="I44"/>
      <c r="J44"/>
      <c r="K44"/>
      <c r="L44"/>
      <c r="M44"/>
      <c r="N44"/>
    </row>
    <row r="45" spans="2:14" ht="15" x14ac:dyDescent="0.25">
      <c r="B45" s="129" t="str">
        <f>"Compensation for loss of office of a director amounted to £"&amp;K8&amp;" which consisted of cash and a car"</f>
        <v>Compensation for loss of office of a director amounted to £29 which consisted of cash and a car</v>
      </c>
      <c r="C45" s="130"/>
      <c r="D45" s="130"/>
      <c r="E45" s="131"/>
      <c r="F45"/>
      <c r="G45"/>
      <c r="H45"/>
      <c r="I45"/>
      <c r="J45"/>
      <c r="K45"/>
      <c r="L45"/>
      <c r="M45"/>
      <c r="N45"/>
    </row>
    <row r="46" spans="2:14" ht="15" x14ac:dyDescent="0.25">
      <c r="B46" s="132"/>
      <c r="C46" s="130"/>
      <c r="D46" s="130"/>
      <c r="E46" s="131"/>
      <c r="F46"/>
      <c r="G46"/>
      <c r="H46"/>
      <c r="I46"/>
      <c r="J46"/>
      <c r="K46"/>
      <c r="L46"/>
      <c r="M46"/>
      <c r="N46"/>
    </row>
    <row r="47" spans="2:14" ht="15" x14ac:dyDescent="0.25">
      <c r="B47" s="116" t="s">
        <v>1474</v>
      </c>
      <c r="C47" s="133"/>
      <c r="D47" s="133"/>
      <c r="E47" s="134"/>
      <c r="F47"/>
      <c r="G47"/>
      <c r="H47"/>
      <c r="I47"/>
      <c r="J47"/>
      <c r="K47"/>
      <c r="L47"/>
      <c r="M47"/>
      <c r="N47"/>
    </row>
    <row r="48" spans="2:14" ht="15.75" thickBot="1" x14ac:dyDescent="0.3">
      <c r="B48" s="118"/>
      <c r="C48" s="119"/>
      <c r="D48" s="119"/>
      <c r="E48" s="120"/>
      <c r="F48"/>
      <c r="G48"/>
      <c r="H48"/>
      <c r="I48"/>
      <c r="J48"/>
      <c r="K48"/>
      <c r="L48"/>
      <c r="M48"/>
      <c r="N48"/>
    </row>
    <row r="49" spans="2:14" ht="15" x14ac:dyDescent="0.25">
      <c r="B49" s="135"/>
      <c r="C49" s="135"/>
      <c r="D49" s="135"/>
      <c r="E49" s="135"/>
      <c r="F49"/>
      <c r="G49"/>
      <c r="H49"/>
      <c r="I49"/>
      <c r="J49"/>
      <c r="K49"/>
      <c r="L49"/>
      <c r="M49"/>
      <c r="N49"/>
    </row>
    <row r="50" spans="2:14" ht="15" x14ac:dyDescent="0.25">
      <c r="B50" s="135"/>
      <c r="C50" s="135"/>
      <c r="D50" s="135"/>
      <c r="E50" s="135"/>
      <c r="F50"/>
      <c r="G50"/>
      <c r="H50"/>
      <c r="I50"/>
      <c r="J50"/>
      <c r="K50"/>
      <c r="L50"/>
      <c r="M50"/>
      <c r="N50"/>
    </row>
  </sheetData>
  <hyperlinks>
    <hyperlink ref="A1" location="Main!A1" display="Main" xr:uid="{653D204A-6D8B-435E-994C-4A00E250E739}"/>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34F37-9E6A-4BD1-B236-C58F62BAB409}">
  <sheetPr codeName="Sheet34"/>
  <dimension ref="A1:K77"/>
  <sheetViews>
    <sheetView zoomScale="145" zoomScaleNormal="145" workbookViewId="0"/>
  </sheetViews>
  <sheetFormatPr defaultRowHeight="12" x14ac:dyDescent="0.2"/>
  <cols>
    <col min="1" max="4" width="9.140625" style="1"/>
    <col min="5" max="5" width="11.7109375" style="1" bestFit="1" customWidth="1"/>
    <col min="6" max="16384" width="9.140625" style="1"/>
  </cols>
  <sheetData>
    <row r="1" spans="1:11" ht="15" x14ac:dyDescent="0.25">
      <c r="A1" s="2" t="s">
        <v>0</v>
      </c>
    </row>
    <row r="2" spans="1:11" x14ac:dyDescent="0.2">
      <c r="B2" s="1" t="s">
        <v>1816</v>
      </c>
    </row>
    <row r="3" spans="1:11" x14ac:dyDescent="0.2">
      <c r="B3" s="1" t="s">
        <v>1817</v>
      </c>
    </row>
    <row r="5" spans="1:11" ht="12.75" thickBot="1" x14ac:dyDescent="0.25">
      <c r="B5" s="1" t="s">
        <v>1840</v>
      </c>
    </row>
    <row r="6" spans="1:11" customFormat="1" ht="15" x14ac:dyDescent="0.25">
      <c r="B6" s="126" t="s">
        <v>1818</v>
      </c>
      <c r="C6" s="108"/>
      <c r="D6" s="196"/>
      <c r="E6" s="109"/>
      <c r="F6" s="103" t="s">
        <v>1819</v>
      </c>
    </row>
    <row r="7" spans="1:11" customFormat="1" ht="15" x14ac:dyDescent="0.25">
      <c r="B7" s="113"/>
      <c r="E7" s="189" t="s">
        <v>1820</v>
      </c>
      <c r="F7" s="103" t="s">
        <v>1821</v>
      </c>
    </row>
    <row r="8" spans="1:11" customFormat="1" ht="15" x14ac:dyDescent="0.25">
      <c r="B8" s="113" t="s">
        <v>183</v>
      </c>
      <c r="E8" s="197">
        <f>72-3</f>
        <v>69</v>
      </c>
      <c r="F8" s="103" t="s">
        <v>1822</v>
      </c>
    </row>
    <row r="9" spans="1:11" customFormat="1" ht="15" x14ac:dyDescent="0.25">
      <c r="B9" s="113"/>
      <c r="E9" s="112"/>
      <c r="F9" s="103" t="s">
        <v>1823</v>
      </c>
      <c r="K9" s="198"/>
    </row>
    <row r="10" spans="1:11" customFormat="1" ht="15" x14ac:dyDescent="0.25">
      <c r="B10" s="113" t="s">
        <v>1824</v>
      </c>
      <c r="E10" s="197">
        <v>10.65</v>
      </c>
      <c r="F10" s="103" t="s">
        <v>1825</v>
      </c>
    </row>
    <row r="11" spans="1:11" customFormat="1" ht="15" x14ac:dyDescent="0.25">
      <c r="B11" s="113" t="s">
        <v>1826</v>
      </c>
      <c r="E11" s="197">
        <f>14.4*12</f>
        <v>172.8</v>
      </c>
    </row>
    <row r="12" spans="1:11" customFormat="1" ht="15" x14ac:dyDescent="0.25">
      <c r="B12" s="113"/>
      <c r="E12" s="112"/>
      <c r="F12" s="103" t="s">
        <v>1827</v>
      </c>
    </row>
    <row r="13" spans="1:11" customFormat="1" ht="15" x14ac:dyDescent="0.25">
      <c r="B13" s="113" t="s">
        <v>1828</v>
      </c>
      <c r="C13" t="s">
        <v>261</v>
      </c>
      <c r="D13" t="s">
        <v>1829</v>
      </c>
      <c r="E13" s="112"/>
    </row>
    <row r="14" spans="1:11" customFormat="1" ht="15" x14ac:dyDescent="0.25">
      <c r="B14" s="116" t="s">
        <v>1830</v>
      </c>
      <c r="C14" s="193">
        <v>0</v>
      </c>
      <c r="D14" s="193">
        <f>3*14.4</f>
        <v>43.2</v>
      </c>
      <c r="E14" s="199">
        <f>IF(C14&lt;&gt;0,C14/D14,0)</f>
        <v>0</v>
      </c>
    </row>
    <row r="15" spans="1:11" customFormat="1" ht="15" x14ac:dyDescent="0.25">
      <c r="B15" s="116" t="s">
        <v>1831</v>
      </c>
      <c r="C15" s="193">
        <v>-88</v>
      </c>
      <c r="D15" s="193">
        <f>3*14.4</f>
        <v>43.2</v>
      </c>
      <c r="E15" s="199">
        <f>IF(C15&lt;&gt;0,C15/D15,0)</f>
        <v>-2.0370370370370368</v>
      </c>
      <c r="F15" s="102"/>
    </row>
    <row r="16" spans="1:11" customFormat="1" ht="15" x14ac:dyDescent="0.25">
      <c r="B16" s="116" t="s">
        <v>1832</v>
      </c>
      <c r="C16" s="193">
        <v>-45</v>
      </c>
      <c r="D16" s="193">
        <f>3*14.4</f>
        <v>43.2</v>
      </c>
      <c r="E16" s="199">
        <f>IF(C16&lt;&gt;0,C16/D16,0)</f>
        <v>-1.0416666666666665</v>
      </c>
      <c r="F16" s="102"/>
    </row>
    <row r="17" spans="2:10" customFormat="1" ht="15" x14ac:dyDescent="0.25">
      <c r="B17" s="116" t="s">
        <v>1833</v>
      </c>
      <c r="C17" s="193">
        <v>16</v>
      </c>
      <c r="D17" s="193">
        <f>2*14.4</f>
        <v>28.8</v>
      </c>
      <c r="E17" s="199">
        <f>IF(C17&lt;&gt;0,C17/D17,0)</f>
        <v>0.55555555555555558</v>
      </c>
      <c r="F17" s="102"/>
    </row>
    <row r="18" spans="2:10" customFormat="1" ht="15" x14ac:dyDescent="0.25">
      <c r="B18" s="116" t="s">
        <v>1834</v>
      </c>
      <c r="C18" s="193">
        <v>0</v>
      </c>
      <c r="D18" s="193">
        <f>3*14.4</f>
        <v>43.2</v>
      </c>
      <c r="E18" s="199">
        <f>IF(C18&lt;&gt;0,C18/D18,0)</f>
        <v>0</v>
      </c>
      <c r="F18" s="103" t="s">
        <v>1835</v>
      </c>
    </row>
    <row r="19" spans="2:10" customFormat="1" ht="15" x14ac:dyDescent="0.25">
      <c r="B19" s="113"/>
      <c r="E19" s="199">
        <f>SUM(E14:E18)</f>
        <v>-2.5231481481481479</v>
      </c>
    </row>
    <row r="20" spans="2:10" customFormat="1" ht="15" x14ac:dyDescent="0.25">
      <c r="B20" s="113"/>
      <c r="E20" s="112"/>
    </row>
    <row r="21" spans="2:10" customFormat="1" ht="15" x14ac:dyDescent="0.25">
      <c r="B21" s="113" t="s">
        <v>1836</v>
      </c>
      <c r="E21" s="114">
        <f>E8+E19</f>
        <v>66.476851851851848</v>
      </c>
      <c r="J21" s="200"/>
    </row>
    <row r="22" spans="2:10" customFormat="1" ht="15.75" thickBot="1" x14ac:dyDescent="0.3">
      <c r="B22" s="118" t="s">
        <v>1824</v>
      </c>
      <c r="C22" s="119"/>
      <c r="D22" s="119"/>
      <c r="E22" s="201">
        <f>E21*E10</f>
        <v>707.97847222222219</v>
      </c>
    </row>
    <row r="27" spans="2:10" x14ac:dyDescent="0.2">
      <c r="B27" s="1" t="s">
        <v>1837</v>
      </c>
      <c r="E27" s="1">
        <v>14</v>
      </c>
    </row>
    <row r="28" spans="2:10" x14ac:dyDescent="0.2">
      <c r="B28" s="1" t="s">
        <v>1839</v>
      </c>
      <c r="E28" s="1">
        <v>3</v>
      </c>
    </row>
    <row r="29" spans="2:10" x14ac:dyDescent="0.2">
      <c r="C29" s="1" t="s">
        <v>465</v>
      </c>
      <c r="F29" s="1">
        <f>+E28+E27</f>
        <v>17</v>
      </c>
    </row>
    <row r="30" spans="2:10" x14ac:dyDescent="0.2">
      <c r="B30" s="1" t="s">
        <v>1838</v>
      </c>
    </row>
    <row r="33" spans="2:6" x14ac:dyDescent="0.2">
      <c r="B33" s="1" t="s">
        <v>1841</v>
      </c>
      <c r="E33" s="89">
        <v>72</v>
      </c>
    </row>
    <row r="34" spans="2:6" x14ac:dyDescent="0.2">
      <c r="B34" s="1" t="s">
        <v>1842</v>
      </c>
      <c r="E34" s="89">
        <f>+E21</f>
        <v>66.476851851851848</v>
      </c>
    </row>
    <row r="35" spans="2:6" x14ac:dyDescent="0.2">
      <c r="B35" s="1" t="s">
        <v>1844</v>
      </c>
      <c r="D35" s="1">
        <v>70</v>
      </c>
    </row>
    <row r="36" spans="2:6" x14ac:dyDescent="0.2">
      <c r="B36" s="1" t="s">
        <v>1845</v>
      </c>
      <c r="D36" s="1">
        <v>-3</v>
      </c>
      <c r="E36" s="1">
        <f>SUM(D35:D36)</f>
        <v>67</v>
      </c>
    </row>
    <row r="37" spans="2:6" x14ac:dyDescent="0.2">
      <c r="B37" s="1" t="s">
        <v>1846</v>
      </c>
      <c r="E37" s="89">
        <f>MIN(E33,E34,E36)</f>
        <v>66.476851851851848</v>
      </c>
    </row>
    <row r="38" spans="2:6" x14ac:dyDescent="0.2">
      <c r="E38" s="89">
        <f>+E37-E33</f>
        <v>-5.5231481481481524</v>
      </c>
    </row>
    <row r="39" spans="2:6" x14ac:dyDescent="0.2">
      <c r="B39" s="1" t="s">
        <v>1843</v>
      </c>
      <c r="E39" s="89">
        <f>+E38*E10</f>
        <v>-58.821527777777824</v>
      </c>
    </row>
    <row r="41" spans="2:6" x14ac:dyDescent="0.2">
      <c r="B41" s="1" t="s">
        <v>1029</v>
      </c>
      <c r="E41" s="89">
        <f>-E39</f>
        <v>58.821527777777824</v>
      </c>
    </row>
    <row r="42" spans="2:6" x14ac:dyDescent="0.2">
      <c r="C42" s="1" t="s">
        <v>465</v>
      </c>
      <c r="F42" s="89">
        <f>+E41</f>
        <v>58.821527777777824</v>
      </c>
    </row>
    <row r="43" spans="2:6" x14ac:dyDescent="0.2">
      <c r="B43" s="1" t="s">
        <v>1847</v>
      </c>
    </row>
    <row r="47" spans="2:6" ht="12.75" thickBot="1" x14ac:dyDescent="0.25">
      <c r="B47" s="1" t="s">
        <v>1848</v>
      </c>
    </row>
    <row r="48" spans="2:6" ht="15" x14ac:dyDescent="0.25">
      <c r="B48" s="126" t="s">
        <v>1818</v>
      </c>
      <c r="C48" s="108"/>
      <c r="D48" s="196"/>
      <c r="E48" s="109"/>
      <c r="F48" s="103" t="s">
        <v>1819</v>
      </c>
    </row>
    <row r="49" spans="2:6" ht="15" x14ac:dyDescent="0.25">
      <c r="B49" s="113"/>
      <c r="C49"/>
      <c r="D49"/>
      <c r="E49" s="189" t="s">
        <v>1820</v>
      </c>
      <c r="F49" s="103" t="s">
        <v>1821</v>
      </c>
    </row>
    <row r="50" spans="2:6" ht="15" x14ac:dyDescent="0.25">
      <c r="B50" s="113" t="s">
        <v>183</v>
      </c>
      <c r="C50"/>
      <c r="D50"/>
      <c r="E50" s="202">
        <f>91-3</f>
        <v>88</v>
      </c>
      <c r="F50" s="103" t="s">
        <v>1822</v>
      </c>
    </row>
    <row r="51" spans="2:6" ht="15" x14ac:dyDescent="0.25">
      <c r="B51" s="113"/>
      <c r="C51"/>
      <c r="D51"/>
      <c r="E51" s="165"/>
      <c r="F51" s="103" t="s">
        <v>1823</v>
      </c>
    </row>
    <row r="52" spans="2:6" ht="15" x14ac:dyDescent="0.25">
      <c r="B52" s="113" t="s">
        <v>1824</v>
      </c>
      <c r="C52"/>
      <c r="D52"/>
      <c r="E52" s="202">
        <v>11.25</v>
      </c>
      <c r="F52" s="103" t="s">
        <v>1825</v>
      </c>
    </row>
    <row r="53" spans="2:6" ht="15" x14ac:dyDescent="0.25">
      <c r="B53" s="113" t="s">
        <v>1826</v>
      </c>
      <c r="C53"/>
      <c r="D53"/>
      <c r="E53" s="202">
        <f>12.1*4</f>
        <v>48.4</v>
      </c>
      <c r="F53"/>
    </row>
    <row r="54" spans="2:6" ht="15" x14ac:dyDescent="0.25">
      <c r="B54" s="113"/>
      <c r="C54"/>
      <c r="D54"/>
      <c r="E54" s="112"/>
      <c r="F54" s="103" t="s">
        <v>1827</v>
      </c>
    </row>
    <row r="55" spans="2:6" ht="15" x14ac:dyDescent="0.25">
      <c r="B55" s="113" t="s">
        <v>1828</v>
      </c>
      <c r="C55" t="s">
        <v>261</v>
      </c>
      <c r="D55" t="s">
        <v>1829</v>
      </c>
      <c r="E55" s="112"/>
      <c r="F55"/>
    </row>
    <row r="56" spans="2:6" ht="15" x14ac:dyDescent="0.25">
      <c r="B56" s="116" t="s">
        <v>1830</v>
      </c>
      <c r="C56" s="203">
        <v>0</v>
      </c>
      <c r="D56" s="203">
        <f>3*14.4</f>
        <v>43.2</v>
      </c>
      <c r="E56" s="204">
        <f>IF(C56&lt;&gt;0,C56/D56,0)</f>
        <v>0</v>
      </c>
      <c r="F56"/>
    </row>
    <row r="57" spans="2:6" ht="15" x14ac:dyDescent="0.25">
      <c r="B57" s="116" t="s">
        <v>1831</v>
      </c>
      <c r="C57" s="203">
        <v>0</v>
      </c>
      <c r="D57" s="203">
        <f>3*14.4</f>
        <v>43.2</v>
      </c>
      <c r="E57" s="204">
        <f>IF(C57&lt;&gt;0,C57/D57,0)</f>
        <v>0</v>
      </c>
      <c r="F57" s="102"/>
    </row>
    <row r="58" spans="2:6" ht="15" x14ac:dyDescent="0.25">
      <c r="B58" s="116" t="s">
        <v>1832</v>
      </c>
      <c r="C58" s="203">
        <v>0</v>
      </c>
      <c r="D58" s="203">
        <f>3*14.4</f>
        <v>43.2</v>
      </c>
      <c r="E58" s="204">
        <f>IF(C58&lt;&gt;0,C58/D58,0)</f>
        <v>0</v>
      </c>
      <c r="F58" s="102"/>
    </row>
    <row r="59" spans="2:6" ht="15" x14ac:dyDescent="0.25">
      <c r="B59" s="116" t="s">
        <v>1833</v>
      </c>
      <c r="C59" s="203">
        <v>23</v>
      </c>
      <c r="D59" s="203">
        <f>2*12.1</f>
        <v>24.2</v>
      </c>
      <c r="E59" s="204">
        <f>IF(C59&lt;&gt;0,C59/D59,0)</f>
        <v>0.95041322314049592</v>
      </c>
      <c r="F59" s="102"/>
    </row>
    <row r="60" spans="2:6" ht="15" x14ac:dyDescent="0.25">
      <c r="B60" s="116" t="s">
        <v>1834</v>
      </c>
      <c r="C60" s="203">
        <v>0</v>
      </c>
      <c r="D60" s="203">
        <f>3*14.4</f>
        <v>43.2</v>
      </c>
      <c r="E60" s="204">
        <f>IF(C60&lt;&gt;0,C60/D60,0)</f>
        <v>0</v>
      </c>
      <c r="F60" s="103" t="s">
        <v>1835</v>
      </c>
    </row>
    <row r="61" spans="2:6" ht="15" x14ac:dyDescent="0.25">
      <c r="B61" s="113"/>
      <c r="C61" s="205"/>
      <c r="D61" s="205"/>
      <c r="E61" s="204">
        <f>SUM(E56:E60)</f>
        <v>0.95041322314049592</v>
      </c>
      <c r="F61"/>
    </row>
    <row r="62" spans="2:6" ht="15" x14ac:dyDescent="0.25">
      <c r="B62" s="113"/>
      <c r="C62"/>
      <c r="D62"/>
      <c r="E62" s="112"/>
      <c r="F62"/>
    </row>
    <row r="63" spans="2:6" ht="15" x14ac:dyDescent="0.25">
      <c r="B63" s="113" t="s">
        <v>1836</v>
      </c>
      <c r="C63"/>
      <c r="D63"/>
      <c r="E63" s="114">
        <f>E50+E61</f>
        <v>88.950413223140501</v>
      </c>
      <c r="F63"/>
    </row>
    <row r="64" spans="2:6" ht="15.75" thickBot="1" x14ac:dyDescent="0.3">
      <c r="B64" s="118" t="s">
        <v>1824</v>
      </c>
      <c r="C64" s="119"/>
      <c r="D64" s="119"/>
      <c r="E64" s="201">
        <f>E63*E52</f>
        <v>1000.6921487603306</v>
      </c>
      <c r="F64"/>
    </row>
    <row r="67" spans="2:6" x14ac:dyDescent="0.2">
      <c r="B67" s="1" t="s">
        <v>693</v>
      </c>
      <c r="D67" s="1">
        <v>90</v>
      </c>
    </row>
    <row r="68" spans="2:6" x14ac:dyDescent="0.2">
      <c r="B68" s="1" t="s">
        <v>1849</v>
      </c>
      <c r="D68" s="1">
        <v>-3</v>
      </c>
    </row>
    <row r="69" spans="2:6" x14ac:dyDescent="0.2">
      <c r="B69" s="1" t="s">
        <v>775</v>
      </c>
      <c r="D69" s="1">
        <f>SUM(D67:D68)</f>
        <v>87</v>
      </c>
    </row>
    <row r="71" spans="2:6" x14ac:dyDescent="0.2">
      <c r="B71" s="1" t="s">
        <v>1850</v>
      </c>
      <c r="E71" s="1">
        <f>+D69-91</f>
        <v>-4</v>
      </c>
    </row>
    <row r="72" spans="2:6" x14ac:dyDescent="0.2">
      <c r="E72" s="89">
        <f>+E52</f>
        <v>11.25</v>
      </c>
    </row>
    <row r="73" spans="2:6" x14ac:dyDescent="0.2">
      <c r="B73" s="1" t="s">
        <v>1851</v>
      </c>
      <c r="E73" s="1">
        <f>+E71*E72</f>
        <v>-45</v>
      </c>
    </row>
    <row r="75" spans="2:6" x14ac:dyDescent="0.2">
      <c r="B75" s="1" t="s">
        <v>1029</v>
      </c>
      <c r="E75" s="89">
        <f>-E73</f>
        <v>45</v>
      </c>
    </row>
    <row r="76" spans="2:6" x14ac:dyDescent="0.2">
      <c r="C76" s="1" t="s">
        <v>465</v>
      </c>
      <c r="F76" s="89">
        <f>+E75</f>
        <v>45</v>
      </c>
    </row>
    <row r="77" spans="2:6" x14ac:dyDescent="0.2">
      <c r="B77" s="1" t="s">
        <v>1852</v>
      </c>
    </row>
  </sheetData>
  <hyperlinks>
    <hyperlink ref="A1" location="Main!A1" display="Main" xr:uid="{34E437CA-ADF2-44C8-8506-8EE22E77955F}"/>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ED181-374E-4282-ABD2-7CFAE7E9253B}">
  <dimension ref="A1:F63"/>
  <sheetViews>
    <sheetView zoomScale="190" zoomScaleNormal="190" workbookViewId="0"/>
  </sheetViews>
  <sheetFormatPr defaultRowHeight="12" x14ac:dyDescent="0.2"/>
  <cols>
    <col min="1" max="16384" width="9.140625" style="1"/>
  </cols>
  <sheetData>
    <row r="1" spans="1:3" ht="15" x14ac:dyDescent="0.25">
      <c r="A1" s="2" t="s">
        <v>0</v>
      </c>
    </row>
    <row r="2" spans="1:3" x14ac:dyDescent="0.2">
      <c r="B2" s="1" t="s">
        <v>2169</v>
      </c>
    </row>
    <row r="3" spans="1:3" x14ac:dyDescent="0.2">
      <c r="B3" s="1" t="s">
        <v>5</v>
      </c>
      <c r="C3" s="3">
        <v>44865</v>
      </c>
    </row>
    <row r="14" spans="1:3" x14ac:dyDescent="0.2">
      <c r="B14" s="1" t="s">
        <v>2170</v>
      </c>
    </row>
    <row r="15" spans="1:3" x14ac:dyDescent="0.2">
      <c r="B15" s="1" t="s">
        <v>2184</v>
      </c>
    </row>
    <row r="16" spans="1:3" x14ac:dyDescent="0.2">
      <c r="B16" s="1" t="s">
        <v>2185</v>
      </c>
    </row>
    <row r="17" spans="2:6" x14ac:dyDescent="0.2">
      <c r="B17" s="1" t="s">
        <v>2186</v>
      </c>
    </row>
    <row r="19" spans="2:6" x14ac:dyDescent="0.2">
      <c r="B19" s="1" t="s">
        <v>2171</v>
      </c>
    </row>
    <row r="20" spans="2:6" x14ac:dyDescent="0.2">
      <c r="B20" s="1" t="s">
        <v>2181</v>
      </c>
      <c r="D20" s="1">
        <v>316</v>
      </c>
    </row>
    <row r="21" spans="2:6" x14ac:dyDescent="0.2">
      <c r="B21" s="1" t="s">
        <v>2182</v>
      </c>
      <c r="D21" s="1">
        <v>240</v>
      </c>
    </row>
    <row r="22" spans="2:6" x14ac:dyDescent="0.2">
      <c r="B22" s="1" t="s">
        <v>2183</v>
      </c>
      <c r="D22" s="1">
        <f>+D20-D21</f>
        <v>76</v>
      </c>
    </row>
    <row r="24" spans="2:6" x14ac:dyDescent="0.2">
      <c r="B24" s="1" t="s">
        <v>2180</v>
      </c>
      <c r="E24" s="1">
        <f>+D20</f>
        <v>316</v>
      </c>
    </row>
    <row r="25" spans="2:6" x14ac:dyDescent="0.2">
      <c r="C25" s="1" t="s">
        <v>2172</v>
      </c>
      <c r="F25" s="1">
        <f>+D21</f>
        <v>240</v>
      </c>
    </row>
    <row r="26" spans="2:6" x14ac:dyDescent="0.2">
      <c r="C26" s="1" t="s">
        <v>1033</v>
      </c>
      <c r="F26" s="1">
        <f>+E24</f>
        <v>316</v>
      </c>
    </row>
    <row r="27" spans="2:6" x14ac:dyDescent="0.2">
      <c r="B27" s="1" t="s">
        <v>2173</v>
      </c>
    </row>
    <row r="30" spans="2:6" x14ac:dyDescent="0.2">
      <c r="B30" s="1" t="s">
        <v>2174</v>
      </c>
    </row>
    <row r="31" spans="2:6" x14ac:dyDescent="0.2">
      <c r="B31" s="1" t="s">
        <v>2189</v>
      </c>
    </row>
    <row r="32" spans="2:6" x14ac:dyDescent="0.2">
      <c r="B32" s="1" t="s">
        <v>2187</v>
      </c>
    </row>
    <row r="33" spans="2:6" x14ac:dyDescent="0.2">
      <c r="B33" s="1" t="s">
        <v>2188</v>
      </c>
    </row>
    <row r="35" spans="2:6" x14ac:dyDescent="0.2">
      <c r="B35" s="1" t="s">
        <v>2190</v>
      </c>
    </row>
    <row r="36" spans="2:6" x14ac:dyDescent="0.2">
      <c r="B36" s="1" t="s">
        <v>2191</v>
      </c>
    </row>
    <row r="37" spans="2:6" x14ac:dyDescent="0.2">
      <c r="B37" s="1" t="s">
        <v>2192</v>
      </c>
    </row>
    <row r="38" spans="2:6" x14ac:dyDescent="0.2">
      <c r="B38" s="1" t="s">
        <v>2193</v>
      </c>
    </row>
    <row r="39" spans="2:6" x14ac:dyDescent="0.2">
      <c r="B39" s="1" t="s">
        <v>2194</v>
      </c>
    </row>
    <row r="42" spans="2:6" x14ac:dyDescent="0.2">
      <c r="B42" s="1" t="s">
        <v>2175</v>
      </c>
    </row>
    <row r="44" spans="2:6" x14ac:dyDescent="0.2">
      <c r="B44" s="1" t="s">
        <v>2176</v>
      </c>
      <c r="E44" s="1">
        <v>180</v>
      </c>
    </row>
    <row r="45" spans="2:6" x14ac:dyDescent="0.2">
      <c r="C45" s="1" t="s">
        <v>2177</v>
      </c>
      <c r="F45" s="1">
        <f>+E44</f>
        <v>180</v>
      </c>
    </row>
    <row r="46" spans="2:6" x14ac:dyDescent="0.2">
      <c r="B46" s="1" t="s">
        <v>2178</v>
      </c>
    </row>
    <row r="49" spans="2:6" x14ac:dyDescent="0.2">
      <c r="B49" s="1" t="s">
        <v>2179</v>
      </c>
    </row>
    <row r="51" spans="2:6" x14ac:dyDescent="0.2">
      <c r="B51" s="1" t="s">
        <v>2195</v>
      </c>
    </row>
    <row r="53" spans="2:6" x14ac:dyDescent="0.2">
      <c r="B53" s="1" t="s">
        <v>354</v>
      </c>
      <c r="E53" s="1">
        <v>292</v>
      </c>
    </row>
    <row r="54" spans="2:6" x14ac:dyDescent="0.2">
      <c r="C54" s="1" t="s">
        <v>1527</v>
      </c>
      <c r="F54" s="1">
        <f>+E53</f>
        <v>292</v>
      </c>
    </row>
    <row r="55" spans="2:6" x14ac:dyDescent="0.2">
      <c r="B55" s="1" t="s">
        <v>2196</v>
      </c>
    </row>
    <row r="57" spans="2:6" x14ac:dyDescent="0.2">
      <c r="B57" s="1" t="s">
        <v>2197</v>
      </c>
    </row>
    <row r="59" spans="2:6" x14ac:dyDescent="0.2">
      <c r="B59" s="1" t="s">
        <v>2198</v>
      </c>
      <c r="E59" s="1">
        <v>185</v>
      </c>
    </row>
    <row r="60" spans="2:6" x14ac:dyDescent="0.2">
      <c r="C60" s="1" t="s">
        <v>2199</v>
      </c>
      <c r="F60" s="1">
        <v>185</v>
      </c>
    </row>
    <row r="62" spans="2:6" x14ac:dyDescent="0.2">
      <c r="B62" s="1" t="s">
        <v>2200</v>
      </c>
    </row>
    <row r="63" spans="2:6" x14ac:dyDescent="0.2">
      <c r="B63" s="1" t="s">
        <v>2201</v>
      </c>
    </row>
  </sheetData>
  <hyperlinks>
    <hyperlink ref="A1" location="Main!A1" display="Main" xr:uid="{5E3BD1F2-A001-4B90-BF1C-87764478C50A}"/>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C54D1-5DA1-4A5C-9707-DC3A14CA0912}">
  <sheetPr codeName="Sheet32"/>
  <dimension ref="A1:E34"/>
  <sheetViews>
    <sheetView zoomScale="175" zoomScaleNormal="175" workbookViewId="0"/>
  </sheetViews>
  <sheetFormatPr defaultRowHeight="12" x14ac:dyDescent="0.2"/>
  <cols>
    <col min="1" max="1" width="9.140625" style="1"/>
    <col min="2" max="2" width="11" style="1" customWidth="1"/>
    <col min="3" max="16384" width="9.140625" style="1"/>
  </cols>
  <sheetData>
    <row r="1" spans="1:2" ht="15" x14ac:dyDescent="0.25">
      <c r="A1" s="2" t="s">
        <v>0</v>
      </c>
    </row>
    <row r="2" spans="1:2" x14ac:dyDescent="0.2">
      <c r="B2" s="1" t="s">
        <v>1798</v>
      </c>
    </row>
    <row r="6" spans="1:2" x14ac:dyDescent="0.2">
      <c r="B6" s="1" t="s">
        <v>1794</v>
      </c>
    </row>
    <row r="7" spans="1:2" x14ac:dyDescent="0.2">
      <c r="B7" s="1" t="s">
        <v>1799</v>
      </c>
    </row>
    <row r="8" spans="1:2" x14ac:dyDescent="0.2">
      <c r="B8" s="1" t="s">
        <v>1800</v>
      </c>
    </row>
    <row r="9" spans="1:2" x14ac:dyDescent="0.2">
      <c r="B9" s="1" t="s">
        <v>1801</v>
      </c>
    </row>
    <row r="10" spans="1:2" x14ac:dyDescent="0.2">
      <c r="B10" s="1" t="s">
        <v>1802</v>
      </c>
    </row>
    <row r="11" spans="1:2" x14ac:dyDescent="0.2">
      <c r="B11" s="1" t="s">
        <v>1803</v>
      </c>
    </row>
    <row r="13" spans="1:2" x14ac:dyDescent="0.2">
      <c r="B13" s="1" t="s">
        <v>1804</v>
      </c>
    </row>
    <row r="14" spans="1:2" x14ac:dyDescent="0.2">
      <c r="B14" s="1" t="s">
        <v>1805</v>
      </c>
    </row>
    <row r="15" spans="1:2" x14ac:dyDescent="0.2">
      <c r="B15" s="1" t="s">
        <v>1806</v>
      </c>
    </row>
    <row r="16" spans="1:2" x14ac:dyDescent="0.2">
      <c r="B16" s="1" t="s">
        <v>1807</v>
      </c>
    </row>
    <row r="18" spans="2:5" x14ac:dyDescent="0.2">
      <c r="B18" s="1" t="s">
        <v>1808</v>
      </c>
    </row>
    <row r="20" spans="2:5" x14ac:dyDescent="0.2">
      <c r="B20" s="1" t="s">
        <v>1809</v>
      </c>
    </row>
    <row r="22" spans="2:5" x14ac:dyDescent="0.2">
      <c r="B22" s="1" t="s">
        <v>1810</v>
      </c>
    </row>
    <row r="24" spans="2:5" x14ac:dyDescent="0.2">
      <c r="B24" s="1" t="s">
        <v>1811</v>
      </c>
    </row>
    <row r="25" spans="2:5" x14ac:dyDescent="0.2">
      <c r="C25" s="1">
        <v>2022</v>
      </c>
      <c r="D25" s="1">
        <v>2021</v>
      </c>
      <c r="E25" s="1">
        <v>2020</v>
      </c>
    </row>
    <row r="26" spans="2:5" x14ac:dyDescent="0.2">
      <c r="B26" s="1" t="s">
        <v>1795</v>
      </c>
      <c r="C26" s="1">
        <v>100</v>
      </c>
      <c r="D26" s="1">
        <v>80</v>
      </c>
      <c r="E26" s="1">
        <v>120</v>
      </c>
    </row>
    <row r="27" spans="2:5" x14ac:dyDescent="0.2">
      <c r="B27" s="1" t="s">
        <v>253</v>
      </c>
      <c r="C27" s="1">
        <f>1.1*C26</f>
        <v>110.00000000000001</v>
      </c>
      <c r="D27" s="1">
        <f t="shared" ref="D27:E27" si="0">1.1*D26</f>
        <v>88</v>
      </c>
      <c r="E27" s="1">
        <f t="shared" si="0"/>
        <v>132</v>
      </c>
    </row>
    <row r="28" spans="2:5" x14ac:dyDescent="0.2">
      <c r="B28" s="1" t="s">
        <v>1796</v>
      </c>
      <c r="C28" s="1">
        <f>+C27-C26</f>
        <v>10.000000000000014</v>
      </c>
      <c r="D28" s="1">
        <f t="shared" ref="D28:E28" si="1">+D27-D26</f>
        <v>8</v>
      </c>
      <c r="E28" s="1">
        <f t="shared" si="1"/>
        <v>12</v>
      </c>
    </row>
    <row r="29" spans="2:5" x14ac:dyDescent="0.2">
      <c r="B29" s="1" t="s">
        <v>1797</v>
      </c>
      <c r="C29" s="1">
        <f>+(D27-C27)-(D26-C26)</f>
        <v>-2.0000000000000142</v>
      </c>
      <c r="D29" s="1">
        <f>+(E27-D27)-(E26-D26)</f>
        <v>4</v>
      </c>
    </row>
    <row r="32" spans="2:5" x14ac:dyDescent="0.2">
      <c r="B32" s="1" t="s">
        <v>1812</v>
      </c>
    </row>
    <row r="33" spans="2:2" x14ac:dyDescent="0.2">
      <c r="B33" s="1" t="s">
        <v>1813</v>
      </c>
    </row>
    <row r="34" spans="2:2" x14ac:dyDescent="0.2">
      <c r="B34" s="1" t="s">
        <v>1814</v>
      </c>
    </row>
  </sheetData>
  <hyperlinks>
    <hyperlink ref="A1" location="Main!A1" display="Main" xr:uid="{09D8CB38-F07B-43FD-A8C7-7C489B388413}"/>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0B720-0EB3-4D55-BE36-74864E9D9294}">
  <dimension ref="A1"/>
  <sheetViews>
    <sheetView workbookViewId="0"/>
  </sheetViews>
  <sheetFormatPr defaultRowHeight="12" x14ac:dyDescent="0.2"/>
  <cols>
    <col min="1" max="16384" width="9.140625" style="1"/>
  </cols>
  <sheetData>
    <row r="1" spans="1:1" ht="15" x14ac:dyDescent="0.25">
      <c r="A1" s="2" t="s">
        <v>0</v>
      </c>
    </row>
  </sheetData>
  <hyperlinks>
    <hyperlink ref="A1" location="Main!A1" display="Main" xr:uid="{D146B9F3-C2E3-413B-A1F1-DDCF9B2AC30E}"/>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AC71F-1534-46E6-B29F-18AEC83BE5D6}">
  <dimension ref="A1:I152"/>
  <sheetViews>
    <sheetView zoomScale="190" zoomScaleNormal="190" workbookViewId="0"/>
  </sheetViews>
  <sheetFormatPr defaultRowHeight="12" x14ac:dyDescent="0.2"/>
  <cols>
    <col min="1" max="2" width="9.140625" style="1"/>
    <col min="3" max="3" width="9.5703125" style="1" bestFit="1" customWidth="1"/>
    <col min="4" max="4" width="9.140625" style="1"/>
    <col min="5" max="5" width="9.5703125" style="1" bestFit="1" customWidth="1"/>
    <col min="6" max="16384" width="9.140625" style="1"/>
  </cols>
  <sheetData>
    <row r="1" spans="1:3" ht="15" x14ac:dyDescent="0.25">
      <c r="A1" s="2" t="s">
        <v>0</v>
      </c>
    </row>
    <row r="2" spans="1:3" x14ac:dyDescent="0.2">
      <c r="B2" s="1" t="s">
        <v>2409</v>
      </c>
    </row>
    <row r="3" spans="1:3" x14ac:dyDescent="0.2">
      <c r="B3" s="1" t="s">
        <v>5</v>
      </c>
      <c r="C3" s="3">
        <v>44865</v>
      </c>
    </row>
    <row r="6" spans="1:3" x14ac:dyDescent="0.2">
      <c r="B6" s="1" t="s">
        <v>9</v>
      </c>
    </row>
    <row r="7" spans="1:3" x14ac:dyDescent="0.2">
      <c r="B7" s="1" t="s">
        <v>2410</v>
      </c>
    </row>
    <row r="9" spans="1:3" x14ac:dyDescent="0.2">
      <c r="B9" s="1" t="s">
        <v>983</v>
      </c>
    </row>
    <row r="10" spans="1:3" x14ac:dyDescent="0.2">
      <c r="B10" s="1" t="s">
        <v>2417</v>
      </c>
    </row>
    <row r="11" spans="1:3" x14ac:dyDescent="0.2">
      <c r="B11" s="1" t="s">
        <v>2418</v>
      </c>
    </row>
    <row r="12" spans="1:3" x14ac:dyDescent="0.2">
      <c r="B12" s="1" t="s">
        <v>2419</v>
      </c>
    </row>
    <row r="14" spans="1:3" x14ac:dyDescent="0.2">
      <c r="B14" s="1" t="s">
        <v>2420</v>
      </c>
    </row>
    <row r="15" spans="1:3" x14ac:dyDescent="0.2">
      <c r="B15" s="1" t="s">
        <v>2421</v>
      </c>
    </row>
    <row r="17" spans="2:3" x14ac:dyDescent="0.2">
      <c r="B17" s="1" t="s">
        <v>2422</v>
      </c>
    </row>
    <row r="18" spans="2:3" x14ac:dyDescent="0.2">
      <c r="B18" s="1" t="s">
        <v>2423</v>
      </c>
    </row>
    <row r="19" spans="2:3" x14ac:dyDescent="0.2">
      <c r="B19" s="1" t="s">
        <v>2424</v>
      </c>
    </row>
    <row r="21" spans="2:3" x14ac:dyDescent="0.2">
      <c r="B21" s="1" t="s">
        <v>2425</v>
      </c>
    </row>
    <row r="22" spans="2:3" x14ac:dyDescent="0.2">
      <c r="B22" s="1" t="s">
        <v>2426</v>
      </c>
    </row>
    <row r="25" spans="2:3" x14ac:dyDescent="0.2">
      <c r="B25" s="1" t="s">
        <v>2427</v>
      </c>
      <c r="C25" s="1">
        <v>60</v>
      </c>
    </row>
    <row r="26" spans="2:3" x14ac:dyDescent="0.2">
      <c r="B26" s="1" t="s">
        <v>2428</v>
      </c>
    </row>
    <row r="27" spans="2:3" x14ac:dyDescent="0.2">
      <c r="B27" s="1" t="s">
        <v>2429</v>
      </c>
    </row>
    <row r="28" spans="2:3" x14ac:dyDescent="0.2">
      <c r="B28" s="1" t="s">
        <v>2430</v>
      </c>
      <c r="C28" s="1">
        <f>+C44</f>
        <v>63</v>
      </c>
    </row>
    <row r="29" spans="2:3" x14ac:dyDescent="0.2">
      <c r="B29" s="1" t="s">
        <v>2431</v>
      </c>
      <c r="C29" s="1">
        <f>+C46</f>
        <v>62</v>
      </c>
    </row>
    <row r="31" spans="2:3" x14ac:dyDescent="0.2">
      <c r="B31" s="1" t="s">
        <v>213</v>
      </c>
      <c r="C31" s="1">
        <v>100</v>
      </c>
    </row>
    <row r="32" spans="2:3" x14ac:dyDescent="0.2">
      <c r="B32" s="1" t="s">
        <v>295</v>
      </c>
      <c r="C32" s="1">
        <v>0</v>
      </c>
    </row>
    <row r="33" spans="2:6" x14ac:dyDescent="0.2">
      <c r="B33" s="1" t="s">
        <v>294</v>
      </c>
      <c r="C33" s="1">
        <f>12*5</f>
        <v>60</v>
      </c>
      <c r="D33" s="1" t="s">
        <v>52</v>
      </c>
    </row>
    <row r="34" spans="2:6" x14ac:dyDescent="0.2">
      <c r="B34" s="1" t="s">
        <v>35</v>
      </c>
      <c r="C34" s="1">
        <f>24*C31/C33</f>
        <v>40</v>
      </c>
    </row>
    <row r="35" spans="2:6" ht="12.75" thickBot="1" x14ac:dyDescent="0.25">
      <c r="B35" s="1" t="s">
        <v>302</v>
      </c>
      <c r="C35" s="15">
        <f>+C31-C34</f>
        <v>60</v>
      </c>
    </row>
    <row r="36" spans="2:6" ht="12.75" thickTop="1" x14ac:dyDescent="0.2"/>
    <row r="37" spans="2:6" x14ac:dyDescent="0.2">
      <c r="B37" s="1" t="s">
        <v>2411</v>
      </c>
    </row>
    <row r="38" spans="2:6" x14ac:dyDescent="0.2">
      <c r="B38" s="1" t="s">
        <v>2412</v>
      </c>
    </row>
    <row r="39" spans="2:6" x14ac:dyDescent="0.2">
      <c r="B39" s="1" t="s">
        <v>32</v>
      </c>
    </row>
    <row r="40" spans="2:6" x14ac:dyDescent="0.2">
      <c r="B40" s="1" t="s">
        <v>213</v>
      </c>
      <c r="C40" s="1">
        <v>105</v>
      </c>
    </row>
    <row r="41" spans="2:6" x14ac:dyDescent="0.2">
      <c r="B41" s="1" t="s">
        <v>295</v>
      </c>
      <c r="C41" s="1">
        <v>0</v>
      </c>
    </row>
    <row r="42" spans="2:6" x14ac:dyDescent="0.2">
      <c r="B42" s="1" t="s">
        <v>294</v>
      </c>
      <c r="C42" s="1">
        <f>12*5</f>
        <v>60</v>
      </c>
      <c r="D42" s="1" t="s">
        <v>52</v>
      </c>
    </row>
    <row r="43" spans="2:6" x14ac:dyDescent="0.2">
      <c r="B43" s="1" t="s">
        <v>35</v>
      </c>
      <c r="C43" s="1">
        <f>24*C40/C42</f>
        <v>42</v>
      </c>
    </row>
    <row r="44" spans="2:6" ht="12.75" thickBot="1" x14ac:dyDescent="0.25">
      <c r="B44" s="1" t="s">
        <v>32</v>
      </c>
      <c r="C44" s="15">
        <f>+C40-C43</f>
        <v>63</v>
      </c>
    </row>
    <row r="45" spans="2:6" ht="12.75" thickTop="1" x14ac:dyDescent="0.2"/>
    <row r="46" spans="2:6" ht="12.75" thickBot="1" x14ac:dyDescent="0.25">
      <c r="B46" s="1" t="s">
        <v>2413</v>
      </c>
      <c r="C46" s="15">
        <v>62</v>
      </c>
    </row>
    <row r="47" spans="2:6" ht="12.75" thickTop="1" x14ac:dyDescent="0.2">
      <c r="C47" s="1">
        <v>22.4</v>
      </c>
      <c r="D47" s="1">
        <v>22.4</v>
      </c>
      <c r="E47" s="1">
        <v>22.4</v>
      </c>
      <c r="F47" s="1">
        <f>+E56</f>
        <v>3</v>
      </c>
    </row>
    <row r="48" spans="2:6" x14ac:dyDescent="0.2">
      <c r="C48" s="286">
        <f>NPV(0.04,C47:E47)</f>
        <v>62.162039144287654</v>
      </c>
    </row>
    <row r="49" spans="2:7" x14ac:dyDescent="0.2">
      <c r="C49" s="286"/>
    </row>
    <row r="50" spans="2:7" x14ac:dyDescent="0.2">
      <c r="B50" s="1" t="s">
        <v>2432</v>
      </c>
      <c r="C50" s="286"/>
    </row>
    <row r="51" spans="2:7" x14ac:dyDescent="0.2">
      <c r="B51" s="1" t="s">
        <v>2433</v>
      </c>
      <c r="C51" s="286"/>
    </row>
    <row r="52" spans="2:7" x14ac:dyDescent="0.2">
      <c r="B52" s="1" t="s">
        <v>2434</v>
      </c>
      <c r="C52" s="286"/>
    </row>
    <row r="53" spans="2:7" x14ac:dyDescent="0.2">
      <c r="B53" s="1" t="s">
        <v>2435</v>
      </c>
      <c r="C53" s="286"/>
    </row>
    <row r="55" spans="2:7" x14ac:dyDescent="0.2">
      <c r="F55" s="11"/>
    </row>
    <row r="56" spans="2:7" x14ac:dyDescent="0.2">
      <c r="B56" s="1" t="s">
        <v>2414</v>
      </c>
      <c r="E56" s="1">
        <f>+C44-C35</f>
        <v>3</v>
      </c>
      <c r="F56" s="11"/>
      <c r="G56" s="11"/>
    </row>
    <row r="57" spans="2:7" x14ac:dyDescent="0.2">
      <c r="C57" s="1" t="s">
        <v>2415</v>
      </c>
      <c r="F57" s="89">
        <f>+F47</f>
        <v>3</v>
      </c>
      <c r="G57" s="89"/>
    </row>
    <row r="58" spans="2:7" x14ac:dyDescent="0.2">
      <c r="B58" s="1" t="s">
        <v>2416</v>
      </c>
    </row>
    <row r="61" spans="2:7" x14ac:dyDescent="0.2">
      <c r="B61" s="1" t="s">
        <v>49</v>
      </c>
    </row>
    <row r="62" spans="2:7" x14ac:dyDescent="0.2">
      <c r="B62" s="3">
        <v>44501</v>
      </c>
    </row>
    <row r="64" spans="2:7" ht="15" x14ac:dyDescent="0.25">
      <c r="B64" s="115" t="s">
        <v>2397</v>
      </c>
      <c r="C64"/>
      <c r="D64"/>
      <c r="E64"/>
    </row>
    <row r="65" spans="2:5" ht="15" x14ac:dyDescent="0.25">
      <c r="B65" t="s">
        <v>2398</v>
      </c>
      <c r="C65" s="100">
        <v>1250</v>
      </c>
      <c r="D65"/>
      <c r="E65"/>
    </row>
    <row r="66" spans="2:5" ht="15" x14ac:dyDescent="0.25">
      <c r="B66" t="s">
        <v>2399</v>
      </c>
      <c r="C66" s="284">
        <v>1</v>
      </c>
      <c r="D66"/>
      <c r="E66"/>
    </row>
    <row r="67" spans="2:5" ht="15" x14ac:dyDescent="0.25">
      <c r="B67" t="s">
        <v>2400</v>
      </c>
      <c r="C67" s="212">
        <v>2.4</v>
      </c>
      <c r="D67"/>
      <c r="E67"/>
    </row>
    <row r="68" spans="2:5" ht="15" x14ac:dyDescent="0.25">
      <c r="B68" t="s">
        <v>2401</v>
      </c>
      <c r="C68" s="104">
        <v>15</v>
      </c>
      <c r="D68"/>
      <c r="E68"/>
    </row>
    <row r="69" spans="2:5" ht="15" x14ac:dyDescent="0.25">
      <c r="B69"/>
      <c r="C69"/>
      <c r="D69"/>
      <c r="E69"/>
    </row>
    <row r="70" spans="2:5" ht="15" x14ac:dyDescent="0.25">
      <c r="B70" t="s">
        <v>2436</v>
      </c>
      <c r="C70"/>
      <c r="D70">
        <f>IF(C68&lt;(C67-C66)*C65,(C67-C66)*C65,(C67-C66)*C65)</f>
        <v>1750</v>
      </c>
      <c r="E70" s="169"/>
    </row>
    <row r="71" spans="2:5" ht="15" x14ac:dyDescent="0.25">
      <c r="B71" t="s">
        <v>725</v>
      </c>
      <c r="C71" s="106"/>
      <c r="D71"/>
      <c r="E71">
        <v>15</v>
      </c>
    </row>
    <row r="72" spans="2:5" ht="15" x14ac:dyDescent="0.25">
      <c r="B72" t="s">
        <v>1854</v>
      </c>
      <c r="C72"/>
      <c r="D72"/>
      <c r="E72" s="169">
        <f>IF(C68&lt;(C67-C66)*C65,(C67-C66)*C65-C68,(C67-C66)*C65)</f>
        <v>1735</v>
      </c>
    </row>
    <row r="73" spans="2:5" x14ac:dyDescent="0.2">
      <c r="B73" s="1" t="s">
        <v>2437</v>
      </c>
    </row>
    <row r="76" spans="2:5" x14ac:dyDescent="0.2">
      <c r="B76" s="88" t="s">
        <v>2438</v>
      </c>
    </row>
    <row r="78" spans="2:5" x14ac:dyDescent="0.2">
      <c r="B78" s="1" t="s">
        <v>2367</v>
      </c>
      <c r="C78" s="1">
        <v>350</v>
      </c>
      <c r="D78" s="286">
        <f>+E79/C78</f>
        <v>1.5428571428571429</v>
      </c>
      <c r="E78" s="1">
        <f>+C78*D78</f>
        <v>540</v>
      </c>
    </row>
    <row r="79" spans="2:5" x14ac:dyDescent="0.2">
      <c r="B79" s="1" t="s">
        <v>2439</v>
      </c>
      <c r="C79" s="1">
        <v>150</v>
      </c>
      <c r="D79" s="286">
        <v>3.6</v>
      </c>
      <c r="E79" s="1">
        <f>+C79*D79</f>
        <v>540</v>
      </c>
    </row>
    <row r="81" spans="2:9" x14ac:dyDescent="0.2">
      <c r="B81" s="1" t="s">
        <v>2460</v>
      </c>
      <c r="E81" s="1">
        <f>+E79</f>
        <v>540</v>
      </c>
    </row>
    <row r="82" spans="2:9" x14ac:dyDescent="0.2">
      <c r="C82" s="1" t="s">
        <v>1389</v>
      </c>
      <c r="F82" s="1">
        <f>+C78</f>
        <v>350</v>
      </c>
    </row>
    <row r="83" spans="2:9" x14ac:dyDescent="0.2">
      <c r="C83" s="1" t="s">
        <v>2440</v>
      </c>
      <c r="F83" s="1">
        <f>+(D78-1)*C78</f>
        <v>190.00000000000003</v>
      </c>
    </row>
    <row r="84" spans="2:9" x14ac:dyDescent="0.2">
      <c r="B84" s="1" t="s">
        <v>2441</v>
      </c>
    </row>
    <row r="87" spans="2:9" customFormat="1" ht="15" x14ac:dyDescent="0.25">
      <c r="B87" s="115" t="s">
        <v>2449</v>
      </c>
    </row>
    <row r="88" spans="2:9" customFormat="1" ht="15" x14ac:dyDescent="0.25">
      <c r="B88" s="103" t="s">
        <v>2448</v>
      </c>
    </row>
    <row r="89" spans="2:9" customFormat="1" ht="15" x14ac:dyDescent="0.25">
      <c r="B89" s="103" t="s">
        <v>2447</v>
      </c>
    </row>
    <row r="90" spans="2:9" customFormat="1" ht="15" x14ac:dyDescent="0.25">
      <c r="B90" t="s">
        <v>2390</v>
      </c>
      <c r="C90" s="104">
        <v>1</v>
      </c>
      <c r="D90" t="s">
        <v>2391</v>
      </c>
      <c r="E90" s="263">
        <v>3</v>
      </c>
    </row>
    <row r="91" spans="2:9" customFormat="1" ht="15" x14ac:dyDescent="0.25"/>
    <row r="92" spans="2:9" customFormat="1" ht="15" x14ac:dyDescent="0.25">
      <c r="B92" t="s">
        <v>2446</v>
      </c>
      <c r="C92" s="100">
        <f>+C142+C65+C78</f>
        <v>2100</v>
      </c>
      <c r="I92" s="94" t="s">
        <v>2445</v>
      </c>
    </row>
    <row r="93" spans="2:9" customFormat="1" ht="15" x14ac:dyDescent="0.25">
      <c r="B93" t="s">
        <v>2399</v>
      </c>
      <c r="C93" s="100">
        <v>1</v>
      </c>
    </row>
    <row r="94" spans="2:9" customFormat="1" ht="15" x14ac:dyDescent="0.25"/>
    <row r="95" spans="2:9" customFormat="1" ht="15" x14ac:dyDescent="0.25">
      <c r="B95" t="s">
        <v>2444</v>
      </c>
      <c r="C95" s="102">
        <f>C92/E90*C90</f>
        <v>700</v>
      </c>
      <c r="E95" s="103" t="str">
        <f>"= ("&amp;C92&amp;"/"&amp;E90&amp;"*"&amp;C90&amp;")"</f>
        <v>= (2100/3*1)</v>
      </c>
    </row>
    <row r="96" spans="2:9" customFormat="1" ht="15" x14ac:dyDescent="0.25"/>
    <row r="97" spans="2:6" customFormat="1" ht="15" x14ac:dyDescent="0.25">
      <c r="C97" t="s">
        <v>2442</v>
      </c>
      <c r="E97" s="106">
        <f>C95*C93</f>
        <v>700</v>
      </c>
    </row>
    <row r="98" spans="2:6" customFormat="1" ht="15" x14ac:dyDescent="0.25">
      <c r="B98" t="s">
        <v>2443</v>
      </c>
      <c r="F98" s="106">
        <f>C95*C93</f>
        <v>700</v>
      </c>
    </row>
    <row r="102" spans="2:6" x14ac:dyDescent="0.2">
      <c r="B102" s="88" t="s">
        <v>2450</v>
      </c>
    </row>
    <row r="103" spans="2:6" x14ac:dyDescent="0.2">
      <c r="D103" s="1" t="s">
        <v>302</v>
      </c>
      <c r="E103" s="1" t="s">
        <v>294</v>
      </c>
    </row>
    <row r="104" spans="2:6" x14ac:dyDescent="0.2">
      <c r="D104" s="11" t="s">
        <v>44</v>
      </c>
    </row>
    <row r="105" spans="2:6" x14ac:dyDescent="0.2">
      <c r="B105" s="1" t="s">
        <v>213</v>
      </c>
      <c r="D105" s="89">
        <v>3800</v>
      </c>
      <c r="E105" s="1">
        <v>40</v>
      </c>
    </row>
    <row r="106" spans="2:6" x14ac:dyDescent="0.2">
      <c r="B106" s="1" t="s">
        <v>32</v>
      </c>
      <c r="C106" s="3">
        <v>44500</v>
      </c>
      <c r="D106" s="89">
        <v>4400</v>
      </c>
      <c r="E106" s="1">
        <v>37</v>
      </c>
    </row>
    <row r="107" spans="2:6" x14ac:dyDescent="0.2">
      <c r="B107" s="1" t="s">
        <v>32</v>
      </c>
      <c r="C107" s="3">
        <v>45596</v>
      </c>
    </row>
    <row r="108" spans="2:6" x14ac:dyDescent="0.2">
      <c r="D108" s="89"/>
    </row>
    <row r="109" spans="2:6" x14ac:dyDescent="0.2">
      <c r="B109" s="1" t="s">
        <v>2451</v>
      </c>
      <c r="E109" s="1">
        <v>885</v>
      </c>
    </row>
    <row r="110" spans="2:6" x14ac:dyDescent="0.2">
      <c r="E110" s="89">
        <f>+E109/E106</f>
        <v>23.918918918918919</v>
      </c>
    </row>
    <row r="112" spans="2:6" x14ac:dyDescent="0.2">
      <c r="B112" s="1" t="s">
        <v>1394</v>
      </c>
      <c r="E112" s="89">
        <f>+E110</f>
        <v>23.918918918918919</v>
      </c>
    </row>
    <row r="113" spans="2:6" x14ac:dyDescent="0.2">
      <c r="C113" s="1" t="s">
        <v>1105</v>
      </c>
      <c r="F113" s="89">
        <f>+E112</f>
        <v>23.918918918918919</v>
      </c>
    </row>
    <row r="114" spans="2:6" x14ac:dyDescent="0.2">
      <c r="B114" s="1" t="s">
        <v>2452</v>
      </c>
    </row>
    <row r="116" spans="2:6" x14ac:dyDescent="0.2">
      <c r="B116" s="1" t="s">
        <v>1265</v>
      </c>
      <c r="C116" s="1">
        <v>1085</v>
      </c>
    </row>
    <row r="117" spans="2:6" x14ac:dyDescent="0.2">
      <c r="B117" s="1" t="s">
        <v>1267</v>
      </c>
      <c r="C117" s="1">
        <v>885</v>
      </c>
    </row>
    <row r="118" spans="2:6" x14ac:dyDescent="0.2">
      <c r="B118" s="1" t="s">
        <v>2453</v>
      </c>
      <c r="C118" s="1">
        <f>+C116-C117</f>
        <v>200</v>
      </c>
      <c r="D118" s="1" t="s">
        <v>2454</v>
      </c>
    </row>
    <row r="121" spans="2:6" x14ac:dyDescent="0.2">
      <c r="B121" s="1" t="s">
        <v>2455</v>
      </c>
      <c r="E121" s="1">
        <f>+C118</f>
        <v>200</v>
      </c>
    </row>
    <row r="122" spans="2:6" x14ac:dyDescent="0.2">
      <c r="C122" s="1" t="s">
        <v>1105</v>
      </c>
      <c r="F122" s="1">
        <f>+E121</f>
        <v>200</v>
      </c>
    </row>
    <row r="123" spans="2:6" x14ac:dyDescent="0.2">
      <c r="B123" s="1" t="s">
        <v>2456</v>
      </c>
    </row>
    <row r="125" spans="2:6" x14ac:dyDescent="0.2">
      <c r="B125" s="1" t="s">
        <v>2461</v>
      </c>
    </row>
    <row r="126" spans="2:6" x14ac:dyDescent="0.2">
      <c r="B126" s="1" t="s">
        <v>727</v>
      </c>
      <c r="E126" s="1">
        <v>420</v>
      </c>
    </row>
    <row r="127" spans="2:6" x14ac:dyDescent="0.2">
      <c r="C127" s="1" t="s">
        <v>447</v>
      </c>
      <c r="F127" s="1">
        <f>+E126</f>
        <v>420</v>
      </c>
    </row>
    <row r="128" spans="2:6" x14ac:dyDescent="0.2">
      <c r="B128" s="1" t="s">
        <v>2462</v>
      </c>
    </row>
    <row r="131" spans="2:7" x14ac:dyDescent="0.2">
      <c r="B131" s="1" t="s">
        <v>943</v>
      </c>
      <c r="D131" s="1">
        <f>+(C65+C142)*0.06</f>
        <v>105</v>
      </c>
    </row>
    <row r="133" spans="2:7" x14ac:dyDescent="0.2">
      <c r="B133" s="1" t="s">
        <v>2457</v>
      </c>
      <c r="D133" s="89">
        <v>1565</v>
      </c>
    </row>
    <row r="134" spans="2:7" x14ac:dyDescent="0.2">
      <c r="D134" s="89">
        <f>+E56</f>
        <v>3</v>
      </c>
    </row>
    <row r="135" spans="2:7" x14ac:dyDescent="0.2">
      <c r="D135" s="89">
        <f>+E71</f>
        <v>15</v>
      </c>
      <c r="E135" s="1" t="s">
        <v>816</v>
      </c>
    </row>
    <row r="136" spans="2:7" x14ac:dyDescent="0.2">
      <c r="D136" s="89">
        <f>SUM(D133:D135)</f>
        <v>1583</v>
      </c>
    </row>
    <row r="140" spans="2:7" x14ac:dyDescent="0.2">
      <c r="C140" s="11" t="s">
        <v>1262</v>
      </c>
      <c r="D140" s="11" t="s">
        <v>1263</v>
      </c>
      <c r="E140" s="11" t="s">
        <v>1265</v>
      </c>
      <c r="F140" s="11" t="s">
        <v>1264</v>
      </c>
      <c r="G140" s="11" t="s">
        <v>281</v>
      </c>
    </row>
    <row r="141" spans="2:7" x14ac:dyDescent="0.2">
      <c r="C141" s="11" t="s">
        <v>44</v>
      </c>
      <c r="D141" s="11" t="s">
        <v>44</v>
      </c>
      <c r="E141" s="11" t="s">
        <v>44</v>
      </c>
      <c r="F141" s="11" t="s">
        <v>44</v>
      </c>
      <c r="G141" s="11" t="s">
        <v>44</v>
      </c>
    </row>
    <row r="142" spans="2:7" x14ac:dyDescent="0.2">
      <c r="B142" s="1" t="s">
        <v>1300</v>
      </c>
      <c r="C142" s="89">
        <v>500</v>
      </c>
      <c r="D142" s="89">
        <v>250</v>
      </c>
      <c r="E142" s="89">
        <v>1085</v>
      </c>
      <c r="F142" s="89">
        <v>3290</v>
      </c>
      <c r="G142" s="89">
        <f>SUM(C142:F142)</f>
        <v>5125</v>
      </c>
    </row>
    <row r="143" spans="2:7" x14ac:dyDescent="0.2">
      <c r="B143" s="1" t="s">
        <v>2463</v>
      </c>
      <c r="C143" s="89"/>
      <c r="D143" s="89"/>
      <c r="E143" s="89"/>
      <c r="F143" s="89">
        <f>-E126</f>
        <v>-420</v>
      </c>
      <c r="G143" s="89">
        <f>SUM(C143:F143)</f>
        <v>-420</v>
      </c>
    </row>
    <row r="144" spans="2:7" x14ac:dyDescent="0.2">
      <c r="B144" s="1" t="s">
        <v>2458</v>
      </c>
      <c r="C144" s="89"/>
      <c r="D144" s="89"/>
      <c r="E144" s="89">
        <f>+F57</f>
        <v>3</v>
      </c>
      <c r="F144" s="89"/>
      <c r="G144" s="89">
        <f>SUM(C144:F144)</f>
        <v>3</v>
      </c>
    </row>
    <row r="145" spans="2:7" x14ac:dyDescent="0.2">
      <c r="B145" s="1" t="s">
        <v>2397</v>
      </c>
      <c r="C145" s="89">
        <f>+D70</f>
        <v>1750</v>
      </c>
      <c r="D145" s="89">
        <f>+E72</f>
        <v>1735</v>
      </c>
      <c r="E145" s="89"/>
      <c r="F145" s="89"/>
      <c r="G145" s="89">
        <f>SUM(C145:F145)</f>
        <v>3485</v>
      </c>
    </row>
    <row r="146" spans="2:7" x14ac:dyDescent="0.2">
      <c r="B146" s="1" t="s">
        <v>2438</v>
      </c>
      <c r="C146" s="89">
        <f>+F82</f>
        <v>350</v>
      </c>
      <c r="D146" s="89">
        <f>+F83</f>
        <v>190.00000000000003</v>
      </c>
      <c r="E146" s="89"/>
      <c r="F146" s="89"/>
      <c r="G146" s="89">
        <f t="shared" ref="G146:G150" si="0">SUM(C146:F146)</f>
        <v>540</v>
      </c>
    </row>
    <row r="147" spans="2:7" x14ac:dyDescent="0.2">
      <c r="B147" s="1" t="s">
        <v>2449</v>
      </c>
      <c r="C147" s="89">
        <f>+F98</f>
        <v>700</v>
      </c>
      <c r="D147" s="89"/>
      <c r="E147" s="89"/>
      <c r="F147" s="89">
        <f>-E97</f>
        <v>-700</v>
      </c>
      <c r="G147" s="89">
        <f t="shared" si="0"/>
        <v>0</v>
      </c>
    </row>
    <row r="148" spans="2:7" x14ac:dyDescent="0.2">
      <c r="B148" s="1" t="s">
        <v>2450</v>
      </c>
      <c r="C148" s="89"/>
      <c r="D148" s="89"/>
      <c r="E148" s="89">
        <f>-E112-E121</f>
        <v>-223.91891891891891</v>
      </c>
      <c r="F148" s="89">
        <f>+F113+F122</f>
        <v>223.91891891891891</v>
      </c>
      <c r="G148" s="89">
        <f t="shared" si="0"/>
        <v>0</v>
      </c>
    </row>
    <row r="149" spans="2:7" x14ac:dyDescent="0.2">
      <c r="B149" s="1" t="s">
        <v>2459</v>
      </c>
      <c r="C149" s="89"/>
      <c r="D149" s="89"/>
      <c r="E149" s="89"/>
      <c r="F149" s="89">
        <f>+D136</f>
        <v>1583</v>
      </c>
      <c r="G149" s="89">
        <f t="shared" si="0"/>
        <v>1583</v>
      </c>
    </row>
    <row r="150" spans="2:7" x14ac:dyDescent="0.2">
      <c r="B150" s="1" t="s">
        <v>943</v>
      </c>
      <c r="C150" s="89"/>
      <c r="D150" s="89"/>
      <c r="E150" s="89"/>
      <c r="F150" s="89">
        <f>-D131</f>
        <v>-105</v>
      </c>
      <c r="G150" s="89">
        <f t="shared" si="0"/>
        <v>-105</v>
      </c>
    </row>
    <row r="151" spans="2:7" ht="12.75" thickBot="1" x14ac:dyDescent="0.25">
      <c r="B151" s="1" t="s">
        <v>847</v>
      </c>
      <c r="C151" s="90">
        <f>SUM(C142:C150)</f>
        <v>3300</v>
      </c>
      <c r="D151" s="90">
        <f t="shared" ref="D151:F151" si="1">SUM(D142:D150)</f>
        <v>2175</v>
      </c>
      <c r="E151" s="90">
        <f t="shared" si="1"/>
        <v>864.08108108108104</v>
      </c>
      <c r="F151" s="90">
        <f t="shared" si="1"/>
        <v>3871.9189189189187</v>
      </c>
      <c r="G151" s="90">
        <f>SUM(G142:G150)</f>
        <v>10211</v>
      </c>
    </row>
    <row r="152" spans="2:7" ht="12.75" thickTop="1" x14ac:dyDescent="0.2"/>
  </sheetData>
  <hyperlinks>
    <hyperlink ref="A1" location="Main!A1" display="Main" xr:uid="{1F2034AC-21D1-4B5E-AE11-F797D7211FD3}"/>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20D48-9B31-4C38-A18A-D350C37A836D}">
  <dimension ref="A1:J96"/>
  <sheetViews>
    <sheetView zoomScale="160" zoomScaleNormal="160" workbookViewId="0"/>
  </sheetViews>
  <sheetFormatPr defaultRowHeight="12" x14ac:dyDescent="0.2"/>
  <cols>
    <col min="1" max="1" width="9.140625" style="1"/>
    <col min="2" max="2" width="34.5703125" style="1" customWidth="1"/>
    <col min="3" max="3" width="9.7109375" style="1" bestFit="1" customWidth="1"/>
    <col min="4" max="4" width="14.42578125" style="1" customWidth="1"/>
    <col min="5" max="5" width="9.140625" style="1"/>
    <col min="6" max="6" width="9.5703125" style="1" bestFit="1" customWidth="1"/>
    <col min="7" max="16384" width="9.140625" style="1"/>
  </cols>
  <sheetData>
    <row r="1" spans="1:6" ht="15" x14ac:dyDescent="0.25">
      <c r="A1" s="2" t="s">
        <v>0</v>
      </c>
    </row>
    <row r="2" spans="1:6" x14ac:dyDescent="0.2">
      <c r="B2" s="1" t="s">
        <v>2358</v>
      </c>
    </row>
    <row r="3" spans="1:6" x14ac:dyDescent="0.2">
      <c r="B3" s="1" t="s">
        <v>5</v>
      </c>
    </row>
    <row r="4" spans="1:6" x14ac:dyDescent="0.2">
      <c r="B4" s="3">
        <v>44742</v>
      </c>
    </row>
    <row r="6" spans="1:6" x14ac:dyDescent="0.2">
      <c r="B6" s="1" t="s">
        <v>2359</v>
      </c>
    </row>
    <row r="7" spans="1:6" x14ac:dyDescent="0.2">
      <c r="B7" s="1" t="s">
        <v>2360</v>
      </c>
    </row>
    <row r="9" spans="1:6" x14ac:dyDescent="0.2">
      <c r="B9" s="1" t="s">
        <v>1271</v>
      </c>
      <c r="E9" s="1">
        <f>1000*0.5</f>
        <v>500</v>
      </c>
    </row>
    <row r="10" spans="1:6" x14ac:dyDescent="0.2">
      <c r="B10" s="1" t="s">
        <v>2362</v>
      </c>
      <c r="E10" s="1">
        <f>+F11-E9</f>
        <v>2300</v>
      </c>
    </row>
    <row r="11" spans="1:6" x14ac:dyDescent="0.2">
      <c r="C11" s="1" t="s">
        <v>2361</v>
      </c>
      <c r="F11" s="1">
        <f>1000*2.8</f>
        <v>2800</v>
      </c>
    </row>
    <row r="14" spans="1:6" x14ac:dyDescent="0.2">
      <c r="B14" s="1" t="s">
        <v>1108</v>
      </c>
      <c r="E14" s="1">
        <f>+F15</f>
        <v>2300</v>
      </c>
    </row>
    <row r="15" spans="1:6" x14ac:dyDescent="0.2">
      <c r="C15" s="1" t="s">
        <v>2363</v>
      </c>
      <c r="F15" s="1">
        <f>+E10</f>
        <v>2300</v>
      </c>
    </row>
    <row r="17" spans="2:10" x14ac:dyDescent="0.2">
      <c r="B17" s="1" t="s">
        <v>2364</v>
      </c>
    </row>
    <row r="19" spans="2:10" x14ac:dyDescent="0.2">
      <c r="B19" s="1" t="s">
        <v>2366</v>
      </c>
      <c r="E19" s="1">
        <f>+F20</f>
        <v>500</v>
      </c>
    </row>
    <row r="20" spans="2:10" x14ac:dyDescent="0.2">
      <c r="C20" s="1" t="s">
        <v>2365</v>
      </c>
      <c r="F20" s="1">
        <f>+E9</f>
        <v>500</v>
      </c>
    </row>
    <row r="24" spans="2:10" x14ac:dyDescent="0.2">
      <c r="B24" s="1" t="s">
        <v>1328</v>
      </c>
    </row>
    <row r="25" spans="2:10" x14ac:dyDescent="0.2">
      <c r="B25" s="1" t="s">
        <v>2367</v>
      </c>
      <c r="C25" s="89">
        <v>10000</v>
      </c>
    </row>
    <row r="26" spans="2:10" x14ac:dyDescent="0.2">
      <c r="B26" s="1" t="s">
        <v>1330</v>
      </c>
      <c r="C26" s="1">
        <v>1</v>
      </c>
    </row>
    <row r="27" spans="2:10" x14ac:dyDescent="0.2">
      <c r="B27" s="1" t="s">
        <v>2368</v>
      </c>
      <c r="C27" s="33">
        <v>3.5000000000000003E-2</v>
      </c>
    </row>
    <row r="28" spans="2:10" x14ac:dyDescent="0.2">
      <c r="B28" s="1" t="s">
        <v>2369</v>
      </c>
    </row>
    <row r="29" spans="2:10" x14ac:dyDescent="0.2">
      <c r="B29" s="1" t="s">
        <v>1352</v>
      </c>
      <c r="C29" s="33">
        <v>6.2799999999999995E-2</v>
      </c>
    </row>
    <row r="31" spans="2:10" customFormat="1" ht="15" x14ac:dyDescent="0.25">
      <c r="B31" s="94" t="s">
        <v>1625</v>
      </c>
      <c r="C31" s="102"/>
    </row>
    <row r="32" spans="2:10" customFormat="1" ht="15" x14ac:dyDescent="0.25">
      <c r="J32" s="94" t="s">
        <v>2370</v>
      </c>
    </row>
    <row r="33" spans="2:10" customFormat="1" ht="15" x14ac:dyDescent="0.25">
      <c r="B33" s="103" t="s">
        <v>1626</v>
      </c>
      <c r="J33" t="s">
        <v>2371</v>
      </c>
    </row>
    <row r="34" spans="2:10" customFormat="1" ht="15" x14ac:dyDescent="0.25">
      <c r="B34" s="103" t="s">
        <v>1627</v>
      </c>
      <c r="J34" t="s">
        <v>2372</v>
      </c>
    </row>
    <row r="35" spans="2:10" customFormat="1" ht="15" x14ac:dyDescent="0.25">
      <c r="J35" t="s">
        <v>2373</v>
      </c>
    </row>
    <row r="36" spans="2:10" customFormat="1" ht="15" x14ac:dyDescent="0.25">
      <c r="B36" t="s">
        <v>1628</v>
      </c>
      <c r="C36" s="183">
        <v>240</v>
      </c>
      <c r="D36" s="103" t="s">
        <v>1629</v>
      </c>
    </row>
    <row r="37" spans="2:10" customFormat="1" ht="15" x14ac:dyDescent="0.25">
      <c r="B37" t="s">
        <v>1630</v>
      </c>
      <c r="C37" s="183">
        <v>10000</v>
      </c>
      <c r="D37" s="103" t="s">
        <v>1631</v>
      </c>
    </row>
    <row r="38" spans="2:10" customFormat="1" ht="15" x14ac:dyDescent="0.25">
      <c r="B38" t="s">
        <v>1632</v>
      </c>
      <c r="C38" s="147">
        <v>0.9</v>
      </c>
      <c r="D38" s="103" t="s">
        <v>1633</v>
      </c>
    </row>
    <row r="39" spans="2:10" customFormat="1" ht="15" x14ac:dyDescent="0.25">
      <c r="B39" t="str">
        <f ca="1">"Shares redeemed "&amp;IFERROR(_xlfn.FORMULATEXT(C39)," ")</f>
        <v>Shares redeemed =+C25*0.9*0.333333333333333</v>
      </c>
      <c r="C39" s="183">
        <f>+C25*0.9*0.333333333333333</f>
        <v>3000</v>
      </c>
      <c r="D39" s="103" t="s">
        <v>1634</v>
      </c>
    </row>
    <row r="40" spans="2:10" customFormat="1" ht="15" x14ac:dyDescent="0.25">
      <c r="B40" t="s">
        <v>1635</v>
      </c>
      <c r="C40" s="104">
        <v>0.5</v>
      </c>
      <c r="D40" s="103" t="s">
        <v>1636</v>
      </c>
    </row>
    <row r="41" spans="2:10" customFormat="1" ht="15" x14ac:dyDescent="0.25">
      <c r="C41" s="102"/>
    </row>
    <row r="42" spans="2:10" customFormat="1" ht="15" x14ac:dyDescent="0.25">
      <c r="C42" s="102" t="s">
        <v>1300</v>
      </c>
    </row>
    <row r="43" spans="2:10" customFormat="1" ht="15" x14ac:dyDescent="0.25">
      <c r="C43" s="164">
        <v>9738</v>
      </c>
      <c r="D43" s="164">
        <f>-+C25*C27</f>
        <v>-350.00000000000006</v>
      </c>
      <c r="E43" s="164">
        <f>+C43*C29</f>
        <v>611.54639999999995</v>
      </c>
      <c r="F43" s="164">
        <f>SUM(C43:E43)</f>
        <v>9999.5463999999993</v>
      </c>
    </row>
    <row r="44" spans="2:10" customFormat="1" ht="15" x14ac:dyDescent="0.25">
      <c r="C44" s="164"/>
      <c r="D44" s="164"/>
      <c r="E44" s="164"/>
      <c r="F44" s="164"/>
    </row>
    <row r="45" spans="2:10" customFormat="1" ht="15" x14ac:dyDescent="0.25">
      <c r="B45" t="s">
        <v>2377</v>
      </c>
      <c r="C45" s="164"/>
      <c r="D45" s="164">
        <f>SUM(D43:E43)</f>
        <v>261.54639999999989</v>
      </c>
      <c r="E45" s="164"/>
      <c r="F45" s="164"/>
    </row>
    <row r="46" spans="2:10" customFormat="1" ht="15" x14ac:dyDescent="0.25">
      <c r="B46" t="s">
        <v>1332</v>
      </c>
      <c r="C46" s="164"/>
      <c r="D46" s="164"/>
      <c r="E46" s="164">
        <f>+D45</f>
        <v>261.54639999999989</v>
      </c>
      <c r="F46" s="164"/>
    </row>
    <row r="47" spans="2:10" customFormat="1" ht="15" x14ac:dyDescent="0.25">
      <c r="B47" t="s">
        <v>2378</v>
      </c>
      <c r="C47" s="102"/>
    </row>
    <row r="48" spans="2:10" customFormat="1" ht="15" x14ac:dyDescent="0.25"/>
    <row r="49" spans="2:4" customFormat="1" ht="15" x14ac:dyDescent="0.25">
      <c r="B49" s="148" t="s">
        <v>1637</v>
      </c>
      <c r="C49" s="106"/>
      <c r="D49" s="106"/>
    </row>
    <row r="50" spans="2:4" customFormat="1" ht="15" x14ac:dyDescent="0.25">
      <c r="B50" s="148" t="s">
        <v>1638</v>
      </c>
      <c r="C50" s="106"/>
      <c r="D50" s="106"/>
    </row>
    <row r="51" spans="2:4" customFormat="1" ht="15" x14ac:dyDescent="0.25">
      <c r="B51" s="106" t="s">
        <v>1639</v>
      </c>
      <c r="C51" s="169">
        <f>C37*(1-C38)</f>
        <v>999.99999999999977</v>
      </c>
      <c r="D51" s="169"/>
    </row>
    <row r="52" spans="2:4" customFormat="1" ht="15" x14ac:dyDescent="0.25">
      <c r="B52" s="149" t="s">
        <v>2379</v>
      </c>
      <c r="C52" s="169"/>
      <c r="D52" s="169">
        <f>C51</f>
        <v>999.99999999999977</v>
      </c>
    </row>
    <row r="53" spans="2:4" customFormat="1" ht="15" x14ac:dyDescent="0.25">
      <c r="B53" s="148"/>
      <c r="C53" s="169"/>
      <c r="D53" s="169"/>
    </row>
    <row r="54" spans="2:4" customFormat="1" ht="15" x14ac:dyDescent="0.25">
      <c r="B54" s="106" t="s">
        <v>1639</v>
      </c>
      <c r="C54" s="169">
        <f>C37*C38</f>
        <v>9000</v>
      </c>
      <c r="D54" s="164"/>
    </row>
    <row r="55" spans="2:4" customFormat="1" ht="15" x14ac:dyDescent="0.25">
      <c r="B55" t="s">
        <v>1640</v>
      </c>
      <c r="C55" s="169"/>
      <c r="D55" s="169">
        <f>C39*C40</f>
        <v>1500</v>
      </c>
    </row>
    <row r="56" spans="2:4" customFormat="1" ht="15" x14ac:dyDescent="0.25">
      <c r="B56" t="s">
        <v>1641</v>
      </c>
      <c r="C56" s="169"/>
      <c r="D56" s="169">
        <f>C54-D55</f>
        <v>7500</v>
      </c>
    </row>
    <row r="57" spans="2:4" customFormat="1" ht="15" x14ac:dyDescent="0.25">
      <c r="C57" s="164"/>
      <c r="D57" s="164"/>
    </row>
    <row r="58" spans="2:4" customFormat="1" ht="15" x14ac:dyDescent="0.25">
      <c r="B58" s="103" t="s">
        <v>1642</v>
      </c>
      <c r="C58" s="164"/>
      <c r="D58" s="164"/>
    </row>
    <row r="59" spans="2:4" customFormat="1" ht="15" x14ac:dyDescent="0.25">
      <c r="B59" t="s">
        <v>1643</v>
      </c>
      <c r="C59" s="169">
        <f>C36</f>
        <v>240</v>
      </c>
      <c r="D59" s="169"/>
    </row>
    <row r="60" spans="2:4" customFormat="1" ht="15" x14ac:dyDescent="0.25">
      <c r="B60" t="s">
        <v>1644</v>
      </c>
      <c r="C60" s="169"/>
      <c r="D60" s="169">
        <f>C36</f>
        <v>240</v>
      </c>
    </row>
    <row r="66" spans="2:7" x14ac:dyDescent="0.2">
      <c r="D66" s="1" t="s">
        <v>2381</v>
      </c>
      <c r="E66" s="1" t="s">
        <v>2382</v>
      </c>
      <c r="F66" s="1" t="s">
        <v>2388</v>
      </c>
    </row>
    <row r="67" spans="2:7" x14ac:dyDescent="0.2">
      <c r="D67" s="1" t="s">
        <v>21</v>
      </c>
    </row>
    <row r="68" spans="2:7" x14ac:dyDescent="0.2">
      <c r="B68" s="1" t="s">
        <v>2376</v>
      </c>
      <c r="C68" s="89">
        <v>26000</v>
      </c>
      <c r="D68" s="89">
        <f>-+E9</f>
        <v>-500</v>
      </c>
      <c r="E68" s="89">
        <f>+D55</f>
        <v>1500</v>
      </c>
      <c r="F68" s="89"/>
      <c r="G68" s="89">
        <f>+C68+D68+E68</f>
        <v>27000</v>
      </c>
    </row>
    <row r="69" spans="2:7" x14ac:dyDescent="0.2">
      <c r="B69" s="1" t="s">
        <v>1263</v>
      </c>
      <c r="C69" s="89">
        <v>34500</v>
      </c>
      <c r="D69" s="89"/>
      <c r="E69" s="89">
        <f>+D56</f>
        <v>7500</v>
      </c>
      <c r="F69" s="89"/>
      <c r="G69" s="89">
        <f>+C69+D69+E69</f>
        <v>42000</v>
      </c>
    </row>
    <row r="70" spans="2:7" x14ac:dyDescent="0.2">
      <c r="B70" s="1" t="s">
        <v>1265</v>
      </c>
      <c r="C70" s="89">
        <v>240</v>
      </c>
      <c r="D70" s="89"/>
      <c r="E70" s="89">
        <f>-C36</f>
        <v>-240</v>
      </c>
      <c r="F70" s="89"/>
      <c r="G70" s="89">
        <f>+C70+D70+E70</f>
        <v>0</v>
      </c>
    </row>
    <row r="71" spans="2:7" x14ac:dyDescent="0.2">
      <c r="B71" s="1" t="s">
        <v>2380</v>
      </c>
      <c r="C71" s="89">
        <v>0</v>
      </c>
      <c r="D71" s="89">
        <f>+F20</f>
        <v>500</v>
      </c>
      <c r="E71" s="89"/>
      <c r="F71" s="89"/>
      <c r="G71" s="89">
        <f>+C71+D71+E71</f>
        <v>500</v>
      </c>
    </row>
    <row r="72" spans="2:7" x14ac:dyDescent="0.2">
      <c r="B72" s="1" t="s">
        <v>1264</v>
      </c>
      <c r="C72" s="89">
        <v>8653</v>
      </c>
      <c r="D72" s="89">
        <f>-E19-E14</f>
        <v>-2800</v>
      </c>
      <c r="E72" s="89">
        <f>+C36</f>
        <v>240</v>
      </c>
      <c r="F72" s="89">
        <f>+C89</f>
        <v>2866.1474159999998</v>
      </c>
      <c r="G72" s="89">
        <f>+C72+D72+E72</f>
        <v>6093</v>
      </c>
    </row>
    <row r="73" spans="2:7" ht="12.75" thickBot="1" x14ac:dyDescent="0.25">
      <c r="B73" s="1" t="s">
        <v>1602</v>
      </c>
      <c r="C73" s="90">
        <f>SUM(C68:C72)</f>
        <v>69393</v>
      </c>
      <c r="D73" s="89"/>
      <c r="E73" s="89"/>
      <c r="F73" s="89"/>
      <c r="G73" s="90">
        <f>SUM(G68:G72)</f>
        <v>75593</v>
      </c>
    </row>
    <row r="74" spans="2:7" ht="12.75" thickTop="1" x14ac:dyDescent="0.2">
      <c r="C74" s="89"/>
      <c r="D74" s="89"/>
      <c r="E74" s="89"/>
      <c r="F74" s="89"/>
      <c r="G74" s="89"/>
    </row>
    <row r="75" spans="2:7" x14ac:dyDescent="0.2">
      <c r="C75" s="89"/>
      <c r="D75" s="89"/>
      <c r="E75" s="89"/>
      <c r="F75" s="89"/>
      <c r="G75" s="89"/>
    </row>
    <row r="76" spans="2:7" x14ac:dyDescent="0.2">
      <c r="B76" s="1" t="s">
        <v>2375</v>
      </c>
      <c r="C76" s="89">
        <v>9738</v>
      </c>
      <c r="D76" s="89"/>
      <c r="E76" s="89">
        <f>+E46-C51-C54</f>
        <v>-9738.4536000000007</v>
      </c>
      <c r="F76" s="89"/>
      <c r="G76" s="89">
        <f>+C76+D76+E76</f>
        <v>-0.45360000000073342</v>
      </c>
    </row>
    <row r="77" spans="2:7" x14ac:dyDescent="0.2">
      <c r="B77" s="1" t="s">
        <v>2374</v>
      </c>
      <c r="C77" s="89">
        <v>5976</v>
      </c>
      <c r="D77" s="89"/>
      <c r="E77" s="89"/>
      <c r="F77" s="89"/>
      <c r="G77" s="89">
        <f>+C77+D77+E77</f>
        <v>5976</v>
      </c>
    </row>
    <row r="78" spans="2:7" ht="12.75" thickBot="1" x14ac:dyDescent="0.25">
      <c r="B78" s="1" t="s">
        <v>392</v>
      </c>
      <c r="C78" s="90">
        <f>SUM(C76:C77)</f>
        <v>15714</v>
      </c>
      <c r="D78" s="89"/>
      <c r="E78" s="89"/>
      <c r="F78" s="89"/>
      <c r="G78" s="90">
        <f>SUM(G76:G77)</f>
        <v>5975.5463999999993</v>
      </c>
    </row>
    <row r="79" spans="2:7" ht="12.75" thickTop="1" x14ac:dyDescent="0.2">
      <c r="C79" s="89"/>
      <c r="D79" s="89"/>
      <c r="E79" s="89"/>
      <c r="F79" s="89"/>
    </row>
    <row r="80" spans="2:7" x14ac:dyDescent="0.2">
      <c r="B80" s="1" t="s">
        <v>1766</v>
      </c>
    </row>
    <row r="83" spans="2:5" x14ac:dyDescent="0.2">
      <c r="B83" s="1" t="s">
        <v>2383</v>
      </c>
    </row>
    <row r="84" spans="2:5" x14ac:dyDescent="0.2">
      <c r="B84" s="1" t="s">
        <v>2384</v>
      </c>
      <c r="C84" s="1">
        <f>+F11</f>
        <v>2800</v>
      </c>
      <c r="D84" s="1" t="s">
        <v>816</v>
      </c>
    </row>
    <row r="85" spans="2:5" x14ac:dyDescent="0.2">
      <c r="B85" s="1" t="s">
        <v>2385</v>
      </c>
      <c r="C85" s="89">
        <f>+D45</f>
        <v>261.54639999999989</v>
      </c>
      <c r="D85" s="1" t="s">
        <v>21</v>
      </c>
    </row>
    <row r="86" spans="2:5" x14ac:dyDescent="0.2">
      <c r="C86" s="89">
        <f>+D52</f>
        <v>999.99999999999977</v>
      </c>
      <c r="D86" s="1" t="s">
        <v>816</v>
      </c>
    </row>
    <row r="87" spans="2:5" x14ac:dyDescent="0.2">
      <c r="B87" s="282"/>
      <c r="C87" s="89">
        <f>+C84-C85+C86</f>
        <v>3538.4535999999998</v>
      </c>
      <c r="D87" s="1" t="s">
        <v>2386</v>
      </c>
    </row>
    <row r="88" spans="2:5" x14ac:dyDescent="0.2">
      <c r="B88" s="282" t="s">
        <v>1399</v>
      </c>
      <c r="C88" s="89">
        <f>+C87*-0.19</f>
        <v>-672.30618400000003</v>
      </c>
    </row>
    <row r="89" spans="2:5" x14ac:dyDescent="0.2">
      <c r="B89" s="282"/>
      <c r="C89" s="89">
        <f>SUM(C87:C88)</f>
        <v>2866.1474159999998</v>
      </c>
    </row>
    <row r="91" spans="2:5" x14ac:dyDescent="0.2">
      <c r="B91" s="1" t="s">
        <v>2176</v>
      </c>
      <c r="D91" s="89">
        <f>+C87</f>
        <v>3538.4535999999998</v>
      </c>
    </row>
    <row r="92" spans="2:5" x14ac:dyDescent="0.2">
      <c r="C92" s="1" t="s">
        <v>1105</v>
      </c>
      <c r="E92" s="89">
        <f>+D91</f>
        <v>3538.4535999999998</v>
      </c>
    </row>
    <row r="94" spans="2:5" x14ac:dyDescent="0.2">
      <c r="B94" s="1" t="s">
        <v>2101</v>
      </c>
      <c r="D94" s="89">
        <f>-C88</f>
        <v>672.30618400000003</v>
      </c>
    </row>
    <row r="95" spans="2:5" x14ac:dyDescent="0.2">
      <c r="B95" s="1" t="s">
        <v>1504</v>
      </c>
      <c r="E95" s="89">
        <f>+D94</f>
        <v>672.30618400000003</v>
      </c>
    </row>
    <row r="96" spans="2:5" x14ac:dyDescent="0.2">
      <c r="B96" s="1" t="s">
        <v>2387</v>
      </c>
    </row>
  </sheetData>
  <hyperlinks>
    <hyperlink ref="A1" location="Main!A1" display="Main" xr:uid="{2C75A048-59E5-4817-ADC6-32FA071B910D}"/>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Sheet1</vt:lpstr>
      <vt:lpstr>Sheet2</vt:lpstr>
      <vt:lpstr>Main</vt:lpstr>
      <vt:lpstr>AMQ01</vt:lpstr>
      <vt:lpstr>AMQ02</vt:lpstr>
      <vt:lpstr>AMQ03</vt:lpstr>
      <vt:lpstr>AMQ04</vt:lpstr>
      <vt:lpstr>AMQ05</vt:lpstr>
      <vt:lpstr>AMQ06</vt:lpstr>
      <vt:lpstr>AMQ07</vt:lpstr>
      <vt:lpstr>AMQ08</vt:lpstr>
      <vt:lpstr>AMQ09</vt:lpstr>
      <vt:lpstr>AMQ10</vt:lpstr>
      <vt:lpstr>AMQ11</vt:lpstr>
      <vt:lpstr>AMQ12</vt:lpstr>
      <vt:lpstr>AMQ13</vt:lpstr>
      <vt:lpstr>AMQ14</vt:lpstr>
      <vt:lpstr>AMQ15</vt:lpstr>
      <vt:lpstr>AMQ16</vt:lpstr>
      <vt:lpstr>AMQ17</vt:lpstr>
      <vt:lpstr>AMQ18</vt:lpstr>
      <vt:lpstr>AMQ19</vt:lpstr>
      <vt:lpstr>AMQ20</vt:lpstr>
      <vt:lpstr>AMQ21</vt:lpstr>
      <vt:lpstr>AMQ22</vt:lpstr>
      <vt:lpstr>AMQ23</vt:lpstr>
      <vt:lpstr>AMQ24</vt:lpstr>
      <vt:lpstr>AMQ25</vt:lpstr>
      <vt:lpstr>AMQ26</vt:lpstr>
      <vt:lpstr>AMQ27</vt:lpstr>
      <vt:lpstr>AMQ28</vt:lpstr>
      <vt:lpstr>AMQ29</vt:lpstr>
      <vt:lpstr>AMQ30</vt:lpstr>
      <vt:lpstr>AMQ31</vt:lpstr>
      <vt:lpstr>AMQ32</vt:lpstr>
      <vt:lpstr>AMQ33</vt:lpstr>
      <vt:lpstr>AMQ34</vt:lpstr>
      <vt:lpstr>AMQ35</vt:lpstr>
      <vt:lpstr>AMQ36</vt:lpstr>
      <vt:lpstr>AMQ37</vt:lpstr>
      <vt:lpstr>AMQ38</vt:lpstr>
      <vt:lpstr>AMQ39</vt:lpstr>
      <vt:lpstr>AMQ40</vt:lpstr>
      <vt:lpstr>AMQ41</vt:lpstr>
      <vt:lpstr>AMQ42</vt:lpstr>
      <vt:lpstr>AMQ43</vt:lpstr>
      <vt:lpstr>AMQ44</vt:lpstr>
      <vt:lpstr>AMQ45</vt:lpstr>
      <vt:lpstr>AMQ46</vt:lpstr>
      <vt:lpstr>AMQ47</vt:lpstr>
      <vt:lpstr>AMQ48</vt:lpstr>
      <vt:lpstr>AMQ49</vt:lpstr>
      <vt:lpstr>AMQ50</vt:lpstr>
      <vt:lpstr>AMQ51</vt:lpstr>
    </vt:vector>
  </TitlesOfParts>
  <Company>Deloitte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bcornish</dc:creator>
  <cp:lastModifiedBy>Cornish, Bob</cp:lastModifiedBy>
  <cp:lastPrinted>2023-05-14T14:02:51Z</cp:lastPrinted>
  <dcterms:created xsi:type="dcterms:W3CDTF">2023-05-01T11:00:57Z</dcterms:created>
  <dcterms:modified xsi:type="dcterms:W3CDTF">2023-06-05T21:40:52Z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2023-05-01T11:00:59Z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c0ab4a21-b8d8-494b-a9a0-e3b2f232eddc</vt:lpwstr>
  </property>
  <property fmtid="{D5CDD505-2E9C-101B-9397-08002B2CF9AE}" pid="8" name="MSIP_Label_ea60d57e-af5b-4752-ac57-3e4f28ca11dc_ContentBits">
    <vt:lpwstr>0</vt:lpwstr>
  </property>
</Properties>
</file>