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petry/Desktop/"/>
    </mc:Choice>
  </mc:AlternateContent>
  <xr:revisionPtr revIDLastSave="0" documentId="13_ncr:1_{9ECE1D4A-9919-7F4C-B72B-69F6B66EC0A1}" xr6:coauthVersionLast="46" xr6:coauthVersionMax="46" xr10:uidLastSave="{00000000-0000-0000-0000-000000000000}"/>
  <bookViews>
    <workbookView xWindow="16020" yWindow="1960" windowWidth="30480" windowHeight="16440" xr2:uid="{00000000-000D-0000-FFFF-FFFF00000000}"/>
  </bookViews>
  <sheets>
    <sheet name="NYSE" sheetId="1" r:id="rId1"/>
    <sheet name="FRB" sheetId="3" r:id="rId2"/>
    <sheet name="UK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F15" i="4" l="1"/>
  <c r="F16" i="4"/>
  <c r="F14" i="4"/>
  <c r="M14" i="4" s="1"/>
  <c r="F11" i="4"/>
  <c r="J11" i="4" s="1"/>
  <c r="F18" i="4"/>
  <c r="F17" i="4"/>
  <c r="N17" i="4" s="1"/>
  <c r="C7" i="4"/>
  <c r="C21" i="4"/>
  <c r="F12" i="4"/>
  <c r="C11" i="3"/>
  <c r="C11" i="1"/>
  <c r="F16" i="1" s="1"/>
  <c r="E14" i="4" l="1"/>
  <c r="N14" i="4"/>
  <c r="E16" i="4"/>
  <c r="N16" i="4"/>
  <c r="F13" i="4"/>
  <c r="M13" i="4" s="1"/>
  <c r="N12" i="4"/>
  <c r="H18" i="4"/>
  <c r="N18" i="4"/>
  <c r="E15" i="4"/>
  <c r="N15" i="4"/>
  <c r="F18" i="3"/>
  <c r="M18" i="3" s="1"/>
  <c r="F11" i="3"/>
  <c r="N11" i="3" s="1"/>
  <c r="F17" i="3"/>
  <c r="M17" i="3" s="1"/>
  <c r="F8" i="4"/>
  <c r="J8" i="4" s="1"/>
  <c r="F7" i="4"/>
  <c r="H7" i="4" s="1"/>
  <c r="F19" i="3"/>
  <c r="N19" i="3" s="1"/>
  <c r="J17" i="4"/>
  <c r="H17" i="4"/>
  <c r="F26" i="4"/>
  <c r="E25" i="4" s="1"/>
  <c r="F25" i="4"/>
  <c r="F24" i="4"/>
  <c r="E24" i="4" s="1"/>
  <c r="F21" i="4"/>
  <c r="F27" i="4"/>
  <c r="F28" i="4"/>
  <c r="E11" i="4"/>
  <c r="J18" i="4"/>
  <c r="M18" i="4"/>
  <c r="M16" i="4"/>
  <c r="E18" i="4"/>
  <c r="N11" i="4"/>
  <c r="M11" i="4"/>
  <c r="H11" i="4"/>
  <c r="M17" i="4"/>
  <c r="E17" i="4"/>
  <c r="M15" i="4"/>
  <c r="C31" i="4"/>
  <c r="F22" i="4"/>
  <c r="F23" i="4" s="1"/>
  <c r="M12" i="4"/>
  <c r="E12" i="4"/>
  <c r="F12" i="3"/>
  <c r="N12" i="3" s="1"/>
  <c r="F20" i="3"/>
  <c r="F13" i="3"/>
  <c r="N13" i="3" s="1"/>
  <c r="C7" i="3"/>
  <c r="F14" i="3"/>
  <c r="N14" i="3" s="1"/>
  <c r="C23" i="3"/>
  <c r="F23" i="3" s="1"/>
  <c r="N23" i="3" s="1"/>
  <c r="N16" i="1"/>
  <c r="E16" i="1"/>
  <c r="J16" i="1"/>
  <c r="M16" i="1"/>
  <c r="H16" i="1"/>
  <c r="C22" i="1"/>
  <c r="F22" i="1" s="1"/>
  <c r="H22" i="1" s="1"/>
  <c r="F18" i="1"/>
  <c r="F14" i="1"/>
  <c r="F12" i="1"/>
  <c r="F15" i="3"/>
  <c r="F16" i="3"/>
  <c r="C7" i="1"/>
  <c r="F19" i="1"/>
  <c r="F17" i="1"/>
  <c r="F15" i="1"/>
  <c r="F13" i="1"/>
  <c r="F11" i="1"/>
  <c r="H11" i="1" s="1"/>
  <c r="E23" i="4" l="1"/>
  <c r="M23" i="4"/>
  <c r="J21" i="4"/>
  <c r="N21" i="4"/>
  <c r="E13" i="4"/>
  <c r="N13" i="4"/>
  <c r="E19" i="3"/>
  <c r="E17" i="3"/>
  <c r="N17" i="3"/>
  <c r="H20" i="3"/>
  <c r="N20" i="3"/>
  <c r="H18" i="3"/>
  <c r="N18" i="3"/>
  <c r="E18" i="3"/>
  <c r="E11" i="1"/>
  <c r="E22" i="1"/>
  <c r="M19" i="3"/>
  <c r="F29" i="3"/>
  <c r="F30" i="3"/>
  <c r="F26" i="3"/>
  <c r="M26" i="3" s="1"/>
  <c r="E26" i="4"/>
  <c r="H27" i="4"/>
  <c r="F31" i="4"/>
  <c r="J31" i="4" s="1"/>
  <c r="F32" i="4"/>
  <c r="F33" i="4" s="1"/>
  <c r="E33" i="4" s="1"/>
  <c r="H21" i="4"/>
  <c r="J28" i="4"/>
  <c r="H28" i="4"/>
  <c r="J27" i="4"/>
  <c r="E7" i="4"/>
  <c r="J7" i="4"/>
  <c r="M7" i="4"/>
  <c r="H8" i="4"/>
  <c r="E8" i="4"/>
  <c r="M8" i="4"/>
  <c r="M12" i="3"/>
  <c r="E12" i="3"/>
  <c r="M21" i="4"/>
  <c r="E21" i="4"/>
  <c r="E22" i="4"/>
  <c r="M22" i="4"/>
  <c r="M24" i="4"/>
  <c r="M25" i="4"/>
  <c r="J25" i="4"/>
  <c r="M26" i="4"/>
  <c r="F32" i="3"/>
  <c r="H32" i="3" s="1"/>
  <c r="F31" i="3"/>
  <c r="M31" i="3" s="1"/>
  <c r="M11" i="3"/>
  <c r="M27" i="4"/>
  <c r="E27" i="4"/>
  <c r="M28" i="4"/>
  <c r="E28" i="4"/>
  <c r="E20" i="3"/>
  <c r="E11" i="3"/>
  <c r="M14" i="3"/>
  <c r="H11" i="3"/>
  <c r="F24" i="3"/>
  <c r="E24" i="3" s="1"/>
  <c r="E14" i="3"/>
  <c r="F28" i="3"/>
  <c r="M28" i="3" s="1"/>
  <c r="E13" i="3"/>
  <c r="M20" i="3"/>
  <c r="M13" i="3"/>
  <c r="J11" i="3"/>
  <c r="C35" i="3"/>
  <c r="F35" i="3" s="1"/>
  <c r="F27" i="3"/>
  <c r="F25" i="3"/>
  <c r="F7" i="3"/>
  <c r="F8" i="3"/>
  <c r="H8" i="3" s="1"/>
  <c r="M11" i="1"/>
  <c r="J11" i="1"/>
  <c r="N11" i="1"/>
  <c r="M17" i="1"/>
  <c r="N17" i="1"/>
  <c r="E17" i="1"/>
  <c r="N12" i="1"/>
  <c r="E12" i="1"/>
  <c r="M12" i="1"/>
  <c r="J19" i="1"/>
  <c r="E19" i="1"/>
  <c r="M19" i="1"/>
  <c r="H19" i="1"/>
  <c r="N19" i="1"/>
  <c r="N13" i="1"/>
  <c r="E13" i="1"/>
  <c r="M13" i="1"/>
  <c r="M16" i="3"/>
  <c r="E16" i="3"/>
  <c r="N16" i="3"/>
  <c r="M18" i="1"/>
  <c r="E18" i="1"/>
  <c r="N18" i="1"/>
  <c r="E14" i="1"/>
  <c r="N14" i="1"/>
  <c r="M14" i="1"/>
  <c r="F8" i="1"/>
  <c r="F7" i="1"/>
  <c r="M15" i="1"/>
  <c r="N15" i="1"/>
  <c r="E15" i="1"/>
  <c r="N15" i="3"/>
  <c r="M15" i="3"/>
  <c r="J15" i="3"/>
  <c r="E15" i="3"/>
  <c r="H15" i="3"/>
  <c r="F28" i="1"/>
  <c r="F26" i="1"/>
  <c r="F29" i="1"/>
  <c r="F30" i="1"/>
  <c r="F24" i="1"/>
  <c r="F27" i="1"/>
  <c r="C33" i="1"/>
  <c r="F23" i="1"/>
  <c r="F25" i="1"/>
  <c r="E29" i="3" l="1"/>
  <c r="M29" i="3"/>
  <c r="H30" i="3"/>
  <c r="M30" i="3"/>
  <c r="N10" i="4"/>
  <c r="J23" i="3"/>
  <c r="E23" i="3"/>
  <c r="E26" i="3"/>
  <c r="E30" i="3"/>
  <c r="H31" i="4"/>
  <c r="E32" i="3"/>
  <c r="J32" i="3"/>
  <c r="M32" i="3"/>
  <c r="M24" i="3"/>
  <c r="E28" i="3"/>
  <c r="E31" i="3"/>
  <c r="M31" i="4"/>
  <c r="E31" i="4"/>
  <c r="M32" i="4"/>
  <c r="E32" i="4"/>
  <c r="H23" i="3"/>
  <c r="N10" i="3"/>
  <c r="M23" i="3"/>
  <c r="M25" i="3"/>
  <c r="E25" i="3"/>
  <c r="M27" i="3"/>
  <c r="E27" i="3"/>
  <c r="H27" i="3"/>
  <c r="J27" i="3"/>
  <c r="E7" i="3"/>
  <c r="M7" i="3"/>
  <c r="M8" i="3"/>
  <c r="J8" i="3"/>
  <c r="E8" i="3"/>
  <c r="F36" i="3"/>
  <c r="F37" i="3"/>
  <c r="E24" i="1"/>
  <c r="M24" i="1"/>
  <c r="M23" i="1"/>
  <c r="E23" i="1"/>
  <c r="H30" i="1"/>
  <c r="M30" i="1"/>
  <c r="J30" i="1"/>
  <c r="E30" i="1"/>
  <c r="F34" i="1"/>
  <c r="F36" i="1"/>
  <c r="F35" i="1"/>
  <c r="F33" i="1"/>
  <c r="H33" i="1" s="1"/>
  <c r="M29" i="1"/>
  <c r="E29" i="1"/>
  <c r="M7" i="1"/>
  <c r="E7" i="1"/>
  <c r="J22" i="1"/>
  <c r="N22" i="1"/>
  <c r="N10" i="1" s="1"/>
  <c r="M22" i="1"/>
  <c r="E28" i="1"/>
  <c r="M28" i="1"/>
  <c r="J27" i="1"/>
  <c r="H27" i="1"/>
  <c r="M27" i="1"/>
  <c r="E27" i="1"/>
  <c r="E26" i="1"/>
  <c r="M26" i="1"/>
  <c r="H8" i="1"/>
  <c r="E8" i="1"/>
  <c r="M8" i="1"/>
  <c r="J8" i="1"/>
  <c r="M25" i="1"/>
  <c r="E25" i="1"/>
  <c r="E33" i="1" l="1"/>
  <c r="E35" i="3"/>
  <c r="J35" i="3"/>
  <c r="M35" i="3"/>
  <c r="H35" i="3"/>
  <c r="M37" i="3"/>
  <c r="E37" i="3"/>
  <c r="E36" i="3"/>
  <c r="M36" i="3"/>
  <c r="E35" i="1"/>
  <c r="M35" i="1"/>
  <c r="J33" i="1"/>
  <c r="M33" i="1"/>
  <c r="M36" i="1"/>
  <c r="E36" i="1"/>
  <c r="M34" i="1"/>
  <c r="E34" i="1"/>
</calcChain>
</file>

<file path=xl/sharedStrings.xml><?xml version="1.0" encoding="utf-8"?>
<sst xmlns="http://schemas.openxmlformats.org/spreadsheetml/2006/main" count="109" uniqueCount="32">
  <si>
    <t>Year</t>
  </si>
  <si>
    <t>Date</t>
  </si>
  <si>
    <t>Holiday</t>
  </si>
  <si>
    <t>MLK Day</t>
  </si>
  <si>
    <t>President's Day</t>
  </si>
  <si>
    <t>Good Friday</t>
  </si>
  <si>
    <t>Memorial Day</t>
  </si>
  <si>
    <t>Labor Day</t>
  </si>
  <si>
    <t>Thanksgiving</t>
  </si>
  <si>
    <t>Notes</t>
  </si>
  <si>
    <t>nth</t>
  </si>
  <si>
    <t>dow</t>
  </si>
  <si>
    <t>3rd Mon. of Jan.</t>
  </si>
  <si>
    <t>3rd Mon. of Feb.</t>
  </si>
  <si>
    <t>4th Thr. Of Nov.</t>
  </si>
  <si>
    <t>1st Mon. of Sep.</t>
  </si>
  <si>
    <t>last Mon. of May</t>
  </si>
  <si>
    <t>qtr</t>
  </si>
  <si>
    <t>dys</t>
  </si>
  <si>
    <t>days until next holiday -&gt;</t>
  </si>
  <si>
    <t>This Year &amp; Next</t>
  </si>
  <si>
    <t>NYSE Holidays</t>
  </si>
  <si>
    <t>Fed. Reserve Bank Holidays</t>
  </si>
  <si>
    <t>Columbus Day</t>
  </si>
  <si>
    <t>UK Bank Holidays</t>
  </si>
  <si>
    <t>Easter Monday</t>
  </si>
  <si>
    <t>May Day</t>
  </si>
  <si>
    <t>Spring Bank Holiday</t>
  </si>
  <si>
    <t>August Bank Holiday</t>
  </si>
  <si>
    <t xml:space="preserve">For US Custodians - Useful for Calculating Settlement </t>
  </si>
  <si>
    <t>`</t>
  </si>
  <si>
    <t xml:space="preserve">Watch for optional early close July 3rd, day after Thanksgiving, Dec. 24th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</si>
</sst>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/d"/>
    <numFmt numFmtId="165" formatCode="m/d"/>
  </numFmts>
  <fonts count="22" x14ac:knownFonts="1">
    <font>
      <sz val="10"/>
      <name val="Arial"/>
    </font>
    <font>
      <b/>
      <sz val="10"/>
      <name val="Arial"/>
      <family val="2"/>
    </font>
    <font>
      <b/>
      <sz val="14"/>
      <color indexed="12"/>
      <name val="Copperplate Gothic Bold"/>
      <family val="2"/>
    </font>
    <font>
      <b/>
      <sz val="12"/>
      <color indexed="12"/>
      <name val="Copperplate Gothic Bold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theme="4" tint="-0.499984740745262"/>
      <name val="Arial"/>
      <family val="2"/>
    </font>
    <font>
      <i/>
      <sz val="10"/>
      <color theme="4" tint="-0.499984740745262"/>
      <name val="Arial"/>
      <family val="2"/>
    </font>
    <font>
      <i/>
      <sz val="10"/>
      <color theme="0"/>
      <name val="Arial"/>
      <family val="2"/>
    </font>
    <font>
      <i/>
      <sz val="8"/>
      <color theme="0"/>
      <name val="Georgia"/>
      <family val="1"/>
    </font>
    <font>
      <b/>
      <i/>
      <sz val="8"/>
      <color theme="0"/>
      <name val="Georgia"/>
      <family val="1"/>
    </font>
    <font>
      <b/>
      <sz val="14"/>
      <color theme="4"/>
      <name val="Calibri"/>
      <family val="2"/>
      <scheme val="minor"/>
    </font>
    <font>
      <sz val="10"/>
      <color theme="4" tint="-0.499984740745262"/>
      <name val="Calibri Light"/>
      <family val="2"/>
    </font>
    <font>
      <i/>
      <sz val="11"/>
      <color theme="4" tint="-0.499984740745262"/>
      <name val="Calibri"/>
      <family val="2"/>
      <scheme val="minor"/>
    </font>
    <font>
      <b/>
      <sz val="12"/>
      <color theme="0"/>
      <name val="Copperplate Gothic Bold"/>
      <family val="2"/>
    </font>
    <font>
      <i/>
      <sz val="9"/>
      <color theme="1" tint="0.499984740745262"/>
      <name val="Arial"/>
      <family val="2"/>
    </font>
    <font>
      <sz val="8"/>
      <color rgb="FF000000"/>
      <name val="Segoe UI"/>
      <charset val="1"/>
    </font>
    <font>
      <sz val="10"/>
      <color theme="1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2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/>
    <xf numFmtId="0" fontId="6" fillId="2" borderId="0" xfId="0" applyFont="1" applyFill="1"/>
    <xf numFmtId="0" fontId="7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8" fillId="2" borderId="0" xfId="0" applyFont="1" applyFill="1"/>
    <xf numFmtId="0" fontId="9" fillId="2" borderId="1" xfId="0" applyFont="1" applyFill="1" applyBorder="1"/>
    <xf numFmtId="0" fontId="10" fillId="2" borderId="1" xfId="0" applyFont="1" applyFill="1" applyBorder="1"/>
    <xf numFmtId="0" fontId="12" fillId="2" borderId="0" xfId="0" applyFont="1" applyFill="1"/>
    <xf numFmtId="0" fontId="11" fillId="2" borderId="0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0" fontId="13" fillId="2" borderId="0" xfId="0" applyFont="1" applyFill="1"/>
    <xf numFmtId="164" fontId="0" fillId="2" borderId="0" xfId="0" applyNumberFormat="1" applyFill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/>
    <xf numFmtId="165" fontId="0" fillId="2" borderId="0" xfId="0" applyNumberFormat="1" applyFill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11" fillId="2" borderId="0" xfId="0" applyFont="1" applyFill="1" applyBorder="1"/>
    <xf numFmtId="0" fontId="12" fillId="2" borderId="0" xfId="0" applyFont="1" applyFill="1" applyBorder="1"/>
    <xf numFmtId="0" fontId="8" fillId="2" borderId="0" xfId="0" applyFont="1" applyFill="1" applyBorder="1"/>
    <xf numFmtId="0" fontId="14" fillId="2" borderId="0" xfId="0" applyFont="1" applyFill="1" applyAlignment="1"/>
    <xf numFmtId="0" fontId="15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right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/>
    <xf numFmtId="0" fontId="16" fillId="2" borderId="1" xfId="0" applyFont="1" applyFill="1" applyBorder="1" applyAlignment="1">
      <alignment horizontal="center"/>
    </xf>
    <xf numFmtId="0" fontId="6" fillId="2" borderId="0" xfId="0" applyFont="1" applyFill="1" applyBorder="1"/>
    <xf numFmtId="0" fontId="17" fillId="3" borderId="0" xfId="0" applyFont="1" applyFill="1" applyAlignment="1"/>
    <xf numFmtId="0" fontId="8" fillId="3" borderId="0" xfId="0" applyFont="1" applyFill="1" applyBorder="1"/>
    <xf numFmtId="0" fontId="8" fillId="3" borderId="0" xfId="0" applyFont="1" applyFill="1"/>
    <xf numFmtId="0" fontId="11" fillId="3" borderId="1" xfId="0" applyFont="1" applyFill="1" applyBorder="1"/>
    <xf numFmtId="0" fontId="11" fillId="3" borderId="0" xfId="0" applyFont="1" applyFill="1" applyBorder="1"/>
    <xf numFmtId="0" fontId="11" fillId="3" borderId="0" xfId="0" applyFont="1" applyFill="1" applyBorder="1" applyAlignment="1">
      <alignment horizontal="right"/>
    </xf>
    <xf numFmtId="0" fontId="12" fillId="3" borderId="0" xfId="0" applyFont="1" applyFill="1" applyBorder="1"/>
    <xf numFmtId="0" fontId="12" fillId="3" borderId="0" xfId="0" applyFont="1" applyFill="1"/>
    <xf numFmtId="0" fontId="13" fillId="3" borderId="0" xfId="0" applyFont="1" applyFill="1" applyAlignment="1">
      <alignment horizontal="right"/>
    </xf>
    <xf numFmtId="0" fontId="13" fillId="3" borderId="0" xfId="0" applyFont="1" applyFill="1"/>
    <xf numFmtId="0" fontId="16" fillId="2" borderId="1" xfId="0" applyFont="1" applyFill="1" applyBorder="1" applyAlignment="1">
      <alignment horizontal="center"/>
    </xf>
    <xf numFmtId="0" fontId="6" fillId="2" borderId="2" xfId="0" applyFont="1" applyFill="1" applyBorder="1"/>
    <xf numFmtId="164" fontId="6" fillId="2" borderId="2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/>
    <xf numFmtId="0" fontId="18" fillId="2" borderId="0" xfId="0" applyFont="1" applyFill="1" applyAlignment="1">
      <alignment vertical="top"/>
    </xf>
    <xf numFmtId="0" fontId="20" fillId="2" borderId="0" xfId="0" applyFont="1" applyFill="1" applyBorder="1"/>
    <xf numFmtId="0" fontId="21" fillId="2" borderId="0" xfId="0" applyFont="1" applyFill="1"/>
    <xf numFmtId="0" fontId="16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color theme="0"/>
      </font>
    </dxf>
    <dxf>
      <font>
        <b/>
        <i val="0"/>
        <strike val="0"/>
      </font>
      <fill>
        <patternFill>
          <bgColor theme="6" tint="0.7999816888943144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border>
        <bottom style="thin">
          <color theme="0" tint="-0.14996795556505021"/>
        </bottom>
        <vertical/>
        <horizontal/>
      </border>
    </dxf>
    <dxf>
      <border>
        <top style="thin">
          <color theme="0" tint="-0.14996795556505021"/>
        </top>
        <vertical/>
        <horizontal/>
      </border>
    </dxf>
    <dxf>
      <font>
        <b val="0"/>
        <i/>
      </font>
    </dxf>
    <dxf>
      <font>
        <color theme="0"/>
      </font>
    </dxf>
    <dxf>
      <border>
        <bottom style="thin">
          <color theme="0" tint="-0.14996795556505021"/>
        </bottom>
        <vertical/>
        <horizontal/>
      </border>
    </dxf>
    <dxf>
      <font>
        <b/>
        <i val="0"/>
        <strike val="0"/>
      </font>
      <fill>
        <patternFill>
          <bgColor theme="6" tint="0.79998168889431442"/>
        </patternFill>
      </fill>
    </dxf>
    <dxf>
      <font>
        <b val="0"/>
        <i/>
      </font>
    </dxf>
    <dxf>
      <font>
        <color rgb="FF9C0006"/>
      </font>
    </dxf>
    <dxf>
      <border>
        <bottom style="thin">
          <color theme="0" tint="-0.14996795556505021"/>
        </bottom>
        <vertical/>
        <horizontal/>
      </border>
    </dxf>
    <dxf>
      <border>
        <top style="thin">
          <color theme="0" tint="-0.14996795556505021"/>
        </top>
        <vertical/>
        <horizontal/>
      </border>
    </dxf>
    <dxf>
      <font>
        <b val="0"/>
        <i/>
      </font>
    </dxf>
    <dxf>
      <font>
        <color theme="0"/>
      </font>
    </dxf>
    <dxf>
      <font>
        <b/>
        <i val="0"/>
        <strike val="0"/>
      </font>
      <fill>
        <patternFill>
          <bgColor theme="6" tint="0.799981688894314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41" lockText="1" noThreeD="1"/>
</file>

<file path=xl/ctrlProps/ctrlProp2.xml><?xml version="1.0" encoding="utf-8"?>
<formControlPr xmlns="http://schemas.microsoft.com/office/spreadsheetml/2009/9/main" objectType="CheckBox" checked="Checked" fmlaLink="$C$42" lockText="1" noThreeD="1"/>
</file>

<file path=xl/ctrlProps/ctrlProp3.xml><?xml version="1.0" encoding="utf-8"?>
<formControlPr xmlns="http://schemas.microsoft.com/office/spreadsheetml/2009/9/main" objectType="CheckBox" checked="Checked" fmlaLink="$C$3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127000</xdr:colOff>
          <xdr:row>39</xdr:row>
          <xdr:rowOff>101600</xdr:rowOff>
        </xdr:from>
        <xdr:to>
          <xdr:col>7</xdr:col>
          <xdr:colOff>990600</xdr:colOff>
          <xdr:row>41</xdr:row>
          <xdr:rowOff>63500</xdr:rowOff>
        </xdr:to>
        <xdr:sp macro="" textlink="">
          <xdr:nvSpPr>
            <xdr:cNvPr id="1025" name="Show Next Holiday" descr="Show Next Holiday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Next Holiday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127000</xdr:colOff>
          <xdr:row>40</xdr:row>
          <xdr:rowOff>101600</xdr:rowOff>
        </xdr:from>
        <xdr:to>
          <xdr:col>7</xdr:col>
          <xdr:colOff>889000</xdr:colOff>
          <xdr:row>42</xdr:row>
          <xdr:rowOff>63500</xdr:rowOff>
        </xdr:to>
        <xdr:sp macro="" textlink="">
          <xdr:nvSpPr>
            <xdr:cNvPr id="2049" name="Show Next Holiday" descr="Show Next Holiday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Next Holiday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127000</xdr:colOff>
          <xdr:row>35</xdr:row>
          <xdr:rowOff>101600</xdr:rowOff>
        </xdr:from>
        <xdr:to>
          <xdr:col>7</xdr:col>
          <xdr:colOff>787400</xdr:colOff>
          <xdr:row>37</xdr:row>
          <xdr:rowOff>63500</xdr:rowOff>
        </xdr:to>
        <xdr:sp macro="" textlink="">
          <xdr:nvSpPr>
            <xdr:cNvPr id="3073" name="Show Next Holiday" descr="Show Next Holiday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Next Holiday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1"/>
  <sheetViews>
    <sheetView tabSelected="1" workbookViewId="0"/>
  </sheetViews>
  <sheetFormatPr baseColWidth="10" defaultColWidth="11.5" defaultRowHeight="13" x14ac:dyDescent="0.15"/>
  <cols>
    <col min="1" max="1" width="11.5" style="1" customWidth="1"/>
    <col min="2" max="2" width="2.33203125" style="1" customWidth="1"/>
    <col min="3" max="3" width="5.5" style="1" customWidth="1"/>
    <col min="4" max="4" width="1.83203125" style="1" customWidth="1"/>
    <col min="5" max="5" width="3.6640625" style="1" customWidth="1"/>
    <col min="6" max="6" width="5.5" style="6" bestFit="1" customWidth="1"/>
    <col min="7" max="7" width="2.1640625" style="6" customWidth="1"/>
    <col min="8" max="8" width="21.6640625" style="1" customWidth="1"/>
    <col min="9" max="9" width="1.83203125" style="1" customWidth="1"/>
    <col min="10" max="10" width="16" style="38" customWidth="1"/>
    <col min="11" max="11" width="4.1640625" style="15" bestFit="1" customWidth="1"/>
    <col min="12" max="12" width="4.6640625" style="15" bestFit="1" customWidth="1"/>
    <col min="13" max="13" width="3.6640625" style="15" bestFit="1" customWidth="1"/>
    <col min="14" max="14" width="4.5" style="15" bestFit="1" customWidth="1"/>
    <col min="15" max="16" width="11.5" style="12"/>
    <col min="17" max="16384" width="11.5" style="1"/>
  </cols>
  <sheetData>
    <row r="2" spans="2:18" ht="19" x14ac:dyDescent="0.25">
      <c r="D2" s="39" t="s">
        <v>21</v>
      </c>
      <c r="F2" s="5"/>
      <c r="G2" s="5"/>
      <c r="H2" s="3"/>
      <c r="I2" s="3"/>
    </row>
    <row r="3" spans="2:18" ht="19.5" customHeight="1" x14ac:dyDescent="0.2">
      <c r="B3" s="2"/>
      <c r="C3" s="11"/>
      <c r="E3" s="40" t="s">
        <v>20</v>
      </c>
      <c r="F3" s="5"/>
      <c r="G3" s="5"/>
      <c r="H3" s="3"/>
      <c r="I3" s="3"/>
    </row>
    <row r="5" spans="2:18" ht="15" x14ac:dyDescent="0.2">
      <c r="B5" s="16"/>
      <c r="C5" s="41" t="s">
        <v>0</v>
      </c>
      <c r="D5" s="41"/>
      <c r="E5" s="65" t="s">
        <v>1</v>
      </c>
      <c r="F5" s="65"/>
      <c r="G5" s="42"/>
      <c r="H5" s="43" t="s">
        <v>2</v>
      </c>
      <c r="I5" s="17"/>
      <c r="J5" s="36" t="s">
        <v>9</v>
      </c>
      <c r="K5" s="19" t="s">
        <v>10</v>
      </c>
      <c r="L5" s="19" t="s">
        <v>11</v>
      </c>
      <c r="M5" s="19" t="s">
        <v>17</v>
      </c>
      <c r="N5" s="19" t="s">
        <v>18</v>
      </c>
    </row>
    <row r="6" spans="2:18" ht="4.5" customHeight="1" x14ac:dyDescent="0.15">
      <c r="B6" s="27"/>
      <c r="C6" s="28"/>
      <c r="D6" s="28"/>
      <c r="E6" s="28"/>
      <c r="F6" s="29"/>
      <c r="G6" s="29"/>
      <c r="H6" s="30"/>
      <c r="I6" s="30"/>
      <c r="J6" s="36"/>
      <c r="K6" s="19"/>
      <c r="L6" s="19"/>
      <c r="M6" s="19"/>
      <c r="N6" s="19"/>
    </row>
    <row r="7" spans="2:18" x14ac:dyDescent="0.15">
      <c r="B7" s="8"/>
      <c r="C7" s="4">
        <f ca="1">C11-1</f>
        <v>2020</v>
      </c>
      <c r="D7" s="4"/>
      <c r="E7" s="22" t="str">
        <f ca="1">CHOOSE(WEEKDAY(F7),"x","M","Tu","W","Th","F")</f>
        <v>Th</v>
      </c>
      <c r="F7" s="31">
        <f ca="1">DATE(C7,11,1+((K7-(L7&gt;=WEEKDAY(DATE(C7,11,1))))*7+(L7-WEEKDAY(DATE(C7,11,1)))))</f>
        <v>44161</v>
      </c>
      <c r="G7" s="31"/>
      <c r="H7" s="1" t="s">
        <v>8</v>
      </c>
      <c r="I7" s="8"/>
      <c r="J7" s="37" t="s">
        <v>14</v>
      </c>
      <c r="K7" s="18">
        <v>4</v>
      </c>
      <c r="L7" s="18">
        <v>5</v>
      </c>
      <c r="M7" s="18">
        <f ca="1">ROUNDUP(MONTH(F7)/3,0)</f>
        <v>4</v>
      </c>
      <c r="N7" s="18"/>
    </row>
    <row r="8" spans="2:18" x14ac:dyDescent="0.15">
      <c r="B8" s="8"/>
      <c r="C8" s="9"/>
      <c r="D8" s="9"/>
      <c r="E8" s="22" t="str">
        <f t="shared" ref="E8:E36" ca="1" si="0">CHOOSE(WEEKDAY(F8),"x","M","Tu","W","Th","F")</f>
        <v>F</v>
      </c>
      <c r="F8" s="31">
        <f ca="1">IF(WEEKDAY(DATE(C7,12,25))=7,DATE(C7,12,24),IF(WEEKDAY(DATE(C7,12,25))=1,DATE(C7,12,26),DATE(C7,12,25)))</f>
        <v>44190</v>
      </c>
      <c r="G8" s="31"/>
      <c r="H8" s="1" t="str">
        <f ca="1">"Christmas"&amp;IF(DAY(F8)=25,"","  (obs.)")</f>
        <v>Christmas</v>
      </c>
      <c r="I8" s="8"/>
      <c r="J8" s="37" t="str">
        <f ca="1">IF(DAY(F8)=25,"","(observed)")</f>
        <v/>
      </c>
      <c r="K8" s="18"/>
      <c r="L8" s="18"/>
      <c r="M8" s="18">
        <f ca="1">ROUNDUP(MONTH(F8)/3,0)</f>
        <v>4</v>
      </c>
      <c r="N8" s="18"/>
    </row>
    <row r="9" spans="2:18" x14ac:dyDescent="0.15">
      <c r="B9" s="8"/>
      <c r="C9" s="9"/>
      <c r="D9" s="9"/>
      <c r="E9" s="23"/>
      <c r="F9" s="32"/>
      <c r="G9" s="32"/>
      <c r="H9" s="10"/>
      <c r="I9" s="10"/>
      <c r="J9" s="37"/>
      <c r="K9" s="19"/>
      <c r="L9" s="19"/>
      <c r="M9" s="18"/>
      <c r="N9" s="18"/>
    </row>
    <row r="10" spans="2:18" x14ac:dyDescent="0.15">
      <c r="B10" s="8"/>
      <c r="C10" s="9"/>
      <c r="D10" s="9"/>
      <c r="E10" s="23"/>
      <c r="F10" s="32"/>
      <c r="G10" s="32"/>
      <c r="H10" s="10"/>
      <c r="I10" s="10"/>
      <c r="J10" s="37"/>
      <c r="K10" s="19"/>
      <c r="L10" s="19"/>
      <c r="M10" s="20" t="s">
        <v>19</v>
      </c>
      <c r="N10" s="21">
        <f ca="1">MIN(N11:N22)</f>
        <v>0</v>
      </c>
    </row>
    <row r="11" spans="2:18" x14ac:dyDescent="0.15">
      <c r="C11" s="4">
        <f ca="1">YEAR(TODAY())</f>
        <v>2021</v>
      </c>
      <c r="D11" s="4"/>
      <c r="E11" s="22" t="str">
        <f ca="1">CHOOSE(WEEKDAY(F11),"x","M","Tu","W","Th","F"," ")</f>
        <v>F</v>
      </c>
      <c r="F11" s="31">
        <f ca="1">IF(WEEKDAY(DATE(C11,1,1))=1,DATE(C11,1,1)+1,DATE(C11,1,1))</f>
        <v>44197</v>
      </c>
      <c r="G11" s="31"/>
      <c r="H11" s="1" t="str">
        <f ca="1">IF(WEEKDAY(F11)=7,"NO New Year Holiday","New Year's Day"&amp;IF(DAY(F11)=1,"","  (obs.)"))</f>
        <v>New Year's Day</v>
      </c>
      <c r="I11" s="8"/>
      <c r="J11" s="37" t="str">
        <f ca="1">IF(DAY(F11)=1,"","(observed)")</f>
        <v/>
      </c>
      <c r="M11" s="18">
        <f t="shared" ref="M11:M19" ca="1" si="1">ROUNDUP(MONTH(F11)/3,0)</f>
        <v>1</v>
      </c>
      <c r="N11" s="18">
        <f ca="1">IF(F11-TODAY()&lt;0,999,F11-TODAY())</f>
        <v>999</v>
      </c>
      <c r="R11" s="11"/>
    </row>
    <row r="12" spans="2:18" x14ac:dyDescent="0.15">
      <c r="E12" s="22" t="str">
        <f t="shared" ca="1" si="0"/>
        <v>M</v>
      </c>
      <c r="F12" s="31">
        <f ca="1">DATE(C11,1,1+((K12-(L12&gt;=WEEKDAY(DATE(C11,1,1))))*7+(L12-WEEKDAY(DATE(C11,1,1)))))</f>
        <v>44214</v>
      </c>
      <c r="G12" s="31"/>
      <c r="H12" s="1" t="s">
        <v>3</v>
      </c>
      <c r="I12" s="8"/>
      <c r="J12" s="37" t="s">
        <v>12</v>
      </c>
      <c r="K12" s="18">
        <v>3</v>
      </c>
      <c r="L12" s="18">
        <v>2</v>
      </c>
      <c r="M12" s="18">
        <f t="shared" ca="1" si="1"/>
        <v>1</v>
      </c>
      <c r="N12" s="18">
        <f t="shared" ref="N12:N22" ca="1" si="2">IF(F12-TODAY()&lt;0,999,F12-TODAY())</f>
        <v>999</v>
      </c>
      <c r="R12" s="11"/>
    </row>
    <row r="13" spans="2:18" x14ac:dyDescent="0.15">
      <c r="E13" s="22" t="str">
        <f t="shared" ca="1" si="0"/>
        <v>M</v>
      </c>
      <c r="F13" s="31">
        <f ca="1">DATE(C11,2,1+((K13-(L13&gt;=WEEKDAY(DATE(C11,2,1))))*7+(L13-WEEKDAY(DATE(C11,2,1)))))</f>
        <v>44242</v>
      </c>
      <c r="G13" s="31"/>
      <c r="H13" s="1" t="s">
        <v>4</v>
      </c>
      <c r="I13" s="8"/>
      <c r="J13" s="37" t="s">
        <v>13</v>
      </c>
      <c r="K13" s="18">
        <v>3</v>
      </c>
      <c r="L13" s="18">
        <v>2</v>
      </c>
      <c r="M13" s="18">
        <f t="shared" ca="1" si="1"/>
        <v>1</v>
      </c>
      <c r="N13" s="18">
        <f t="shared" ca="1" si="2"/>
        <v>0</v>
      </c>
      <c r="R13" s="11"/>
    </row>
    <row r="14" spans="2:18" x14ac:dyDescent="0.15">
      <c r="E14" s="22" t="str">
        <f t="shared" ca="1" si="0"/>
        <v>F</v>
      </c>
      <c r="F14" s="31">
        <f ca="1">FLOOR("5/"&amp;DAY(MINUTE(C11/38)/2+56)&amp;"/"&amp;C11,7)-36</f>
        <v>44288</v>
      </c>
      <c r="G14" s="31"/>
      <c r="H14" s="1" t="s">
        <v>5</v>
      </c>
      <c r="I14" s="8"/>
      <c r="J14" s="37"/>
      <c r="K14" s="18"/>
      <c r="L14" s="18"/>
      <c r="M14" s="18">
        <f t="shared" ca="1" si="1"/>
        <v>2</v>
      </c>
      <c r="N14" s="18">
        <f t="shared" ca="1" si="2"/>
        <v>46</v>
      </c>
      <c r="R14" s="11"/>
    </row>
    <row r="15" spans="2:18" x14ac:dyDescent="0.15">
      <c r="D15" s="13"/>
      <c r="E15" s="24" t="str">
        <f t="shared" ca="1" si="0"/>
        <v>M</v>
      </c>
      <c r="F15" s="33">
        <f ca="1">DATE(C11,5,31)-MOD(DATE(C11,5,31)-2,7)</f>
        <v>44347</v>
      </c>
      <c r="G15" s="33"/>
      <c r="H15" s="13" t="s">
        <v>6</v>
      </c>
      <c r="I15" s="8"/>
      <c r="J15" s="37" t="s">
        <v>16</v>
      </c>
      <c r="K15" s="18"/>
      <c r="L15" s="18"/>
      <c r="M15" s="18">
        <f t="shared" ca="1" si="1"/>
        <v>2</v>
      </c>
      <c r="N15" s="18">
        <f t="shared" ca="1" si="2"/>
        <v>105</v>
      </c>
      <c r="R15" s="11"/>
    </row>
    <row r="16" spans="2:18" x14ac:dyDescent="0.15">
      <c r="E16" s="22" t="str">
        <f t="shared" ca="1" si="0"/>
        <v>M</v>
      </c>
      <c r="F16" s="31">
        <f ca="1">IF(WEEKDAY(DATE(C11,7,4))=7,DATE(C11,7,3),IF(WEEKDAY(DATE(C11,7,4))=1,DATE(C11,7,5),DATE(C11,7,4)))</f>
        <v>44382</v>
      </c>
      <c r="G16" s="31"/>
      <c r="H16" s="1" t="str">
        <f ca="1">"Independence Day"&amp;IF(DAY(F16)=4,"","  (obs.)")</f>
        <v>Independence Day  (obs.)</v>
      </c>
      <c r="I16" s="8"/>
      <c r="J16" s="37" t="str">
        <f ca="1">IF(DAY(F16)=4,"","(observed)")</f>
        <v>(observed)</v>
      </c>
      <c r="K16" s="18"/>
      <c r="L16" s="18"/>
      <c r="M16" s="18">
        <f t="shared" ca="1" si="1"/>
        <v>3</v>
      </c>
      <c r="N16" s="18">
        <f t="shared" ca="1" si="2"/>
        <v>140</v>
      </c>
      <c r="R16" s="11"/>
    </row>
    <row r="17" spans="1:18" x14ac:dyDescent="0.15">
      <c r="D17" s="13"/>
      <c r="E17" s="24" t="str">
        <f t="shared" ca="1" si="0"/>
        <v>M</v>
      </c>
      <c r="F17" s="33">
        <f ca="1">IF(DAY(DATE(C11,9,1+((K17-(L17&gt;=WEEKDAY(DATE(C11,9,1))))*7+(L17-WEEKDAY(DATE(C11,9,1))))))=1,DATE(C11,9,1+((K17-(L17&gt;=WEEKDAY(DATE(C11,9,1))))*7+(L17-WEEKDAY(DATE(C11,9,1)))))+7,DATE(C11,9,1+((K17-(L17&gt;=WEEKDAY(DATE(C11,9,1))))*7+(L17-WEEKDAY(DATE(C11,9,1))))))</f>
        <v>44445</v>
      </c>
      <c r="G17" s="33"/>
      <c r="H17" s="13" t="s">
        <v>7</v>
      </c>
      <c r="I17" s="8"/>
      <c r="J17" s="37" t="s">
        <v>15</v>
      </c>
      <c r="K17" s="18">
        <v>1</v>
      </c>
      <c r="L17" s="18">
        <v>2</v>
      </c>
      <c r="M17" s="18">
        <f t="shared" ca="1" si="1"/>
        <v>3</v>
      </c>
      <c r="N17" s="18">
        <f t="shared" ca="1" si="2"/>
        <v>203</v>
      </c>
      <c r="R17" s="11"/>
    </row>
    <row r="18" spans="1:18" x14ac:dyDescent="0.15">
      <c r="E18" s="22" t="str">
        <f t="shared" ca="1" si="0"/>
        <v>Th</v>
      </c>
      <c r="F18" s="31">
        <f ca="1">DATE(C11,11,1+((K18-(L18&gt;=WEEKDAY(DATE(C11,11,1))))*7+(L18-WEEKDAY(DATE(C11,11,1)))))</f>
        <v>44525</v>
      </c>
      <c r="G18" s="31"/>
      <c r="H18" s="1" t="s">
        <v>8</v>
      </c>
      <c r="I18" s="8"/>
      <c r="J18" s="37" t="s">
        <v>14</v>
      </c>
      <c r="K18" s="18">
        <v>4</v>
      </c>
      <c r="L18" s="18">
        <v>5</v>
      </c>
      <c r="M18" s="18">
        <f t="shared" ca="1" si="1"/>
        <v>4</v>
      </c>
      <c r="N18" s="18">
        <f t="shared" ca="1" si="2"/>
        <v>283</v>
      </c>
      <c r="R18" s="11"/>
    </row>
    <row r="19" spans="1:18" x14ac:dyDescent="0.15">
      <c r="E19" s="22" t="str">
        <f t="shared" ca="1" si="0"/>
        <v>F</v>
      </c>
      <c r="F19" s="31">
        <f ca="1">IF(WEEKDAY(DATE(C11,12,25))=7,DATE(C11,12,24),IF(WEEKDAY(DATE(C11,12,25))=1,DATE(C11,12,26),DATE(C11,12,25)))</f>
        <v>44554</v>
      </c>
      <c r="G19" s="31"/>
      <c r="H19" s="1" t="str">
        <f ca="1">"Christmas"&amp;IF(DAY(F19)=25,"","  (obs.)")</f>
        <v>Christmas  (obs.)</v>
      </c>
      <c r="I19" s="8"/>
      <c r="J19" s="37" t="str">
        <f ca="1">IF(DAY(F19)=25,"","(observed)")</f>
        <v>(observed)</v>
      </c>
      <c r="K19" s="18"/>
      <c r="L19" s="18"/>
      <c r="M19" s="18">
        <f t="shared" ca="1" si="1"/>
        <v>4</v>
      </c>
      <c r="N19" s="18">
        <f t="shared" ca="1" si="2"/>
        <v>312</v>
      </c>
      <c r="R19" s="11"/>
    </row>
    <row r="20" spans="1:18" x14ac:dyDescent="0.15">
      <c r="E20" s="22"/>
      <c r="F20" s="31"/>
      <c r="G20" s="31"/>
      <c r="I20" s="8"/>
      <c r="J20" s="37"/>
      <c r="K20" s="18"/>
      <c r="L20" s="18"/>
      <c r="M20" s="18"/>
      <c r="N20" s="18"/>
      <c r="R20" s="11"/>
    </row>
    <row r="21" spans="1:18" x14ac:dyDescent="0.15">
      <c r="E21" s="22"/>
      <c r="F21" s="31"/>
      <c r="G21" s="31"/>
      <c r="I21" s="8"/>
      <c r="J21" s="37"/>
      <c r="K21" s="18"/>
      <c r="L21" s="18"/>
      <c r="M21" s="18"/>
      <c r="N21" s="18"/>
      <c r="R21" s="11"/>
    </row>
    <row r="22" spans="1:18" x14ac:dyDescent="0.15">
      <c r="A22" s="11"/>
      <c r="C22" s="4">
        <f ca="1">C11+1</f>
        <v>2022</v>
      </c>
      <c r="D22" s="4"/>
      <c r="E22" s="22" t="str">
        <f ca="1">CHOOSE(WEEKDAY(F22),"x","M","Tu","W","Th","F"," ")</f>
        <v xml:space="preserve"> </v>
      </c>
      <c r="F22" s="31">
        <f ca="1">IF(WEEKDAY(DATE(C22,1,1))=1,DATE(C22,1,1)+1,DATE(C22,1,1))</f>
        <v>44562</v>
      </c>
      <c r="G22" s="31"/>
      <c r="H22" s="1" t="str">
        <f ca="1">IF(WEEKDAY(F22)=7,"NO New Year Holiday (Sat)","New Year's Day"&amp;IF(DAY(F22)=1,"","  (obs.)"))</f>
        <v>NO New Year Holiday (Sat)</v>
      </c>
      <c r="I22" s="8"/>
      <c r="J22" s="37" t="str">
        <f ca="1">IF(DAY(F22)=1,"","(observed)")</f>
        <v/>
      </c>
      <c r="K22" s="18"/>
      <c r="L22" s="18"/>
      <c r="M22" s="18">
        <f t="shared" ref="M22:M30" ca="1" si="3">ROUNDUP(MONTH(F22)/3,0)</f>
        <v>1</v>
      </c>
      <c r="N22" s="18">
        <f t="shared" ca="1" si="2"/>
        <v>320</v>
      </c>
      <c r="R22" s="11"/>
    </row>
    <row r="23" spans="1:18" x14ac:dyDescent="0.15">
      <c r="E23" s="22" t="str">
        <f t="shared" ca="1" si="0"/>
        <v>M</v>
      </c>
      <c r="F23" s="31">
        <f ca="1">DATE(C22,1,1+((K23-(L23&gt;=WEEKDAY(DATE(C22,1,1))))*7+(L23-WEEKDAY(DATE(C22,1,1)))))</f>
        <v>44578</v>
      </c>
      <c r="G23" s="31"/>
      <c r="H23" s="1" t="s">
        <v>3</v>
      </c>
      <c r="I23" s="8"/>
      <c r="J23" s="37" t="s">
        <v>12</v>
      </c>
      <c r="K23" s="18">
        <v>3</v>
      </c>
      <c r="L23" s="18">
        <v>2</v>
      </c>
      <c r="M23" s="18">
        <f t="shared" ca="1" si="3"/>
        <v>1</v>
      </c>
      <c r="N23" s="18"/>
      <c r="R23" s="11"/>
    </row>
    <row r="24" spans="1:18" x14ac:dyDescent="0.15">
      <c r="E24" s="22" t="str">
        <f t="shared" ca="1" si="0"/>
        <v>M</v>
      </c>
      <c r="F24" s="31">
        <f ca="1">DATE(C22,2,1+((K24-(L24&gt;=WEEKDAY(DATE(C22,2,1))))*7+(L24-WEEKDAY(DATE(C22,2,1)))))</f>
        <v>44613</v>
      </c>
      <c r="G24" s="31"/>
      <c r="H24" s="1" t="s">
        <v>4</v>
      </c>
      <c r="I24" s="8"/>
      <c r="J24" s="37" t="s">
        <v>13</v>
      </c>
      <c r="K24" s="18">
        <v>3</v>
      </c>
      <c r="L24" s="18">
        <v>2</v>
      </c>
      <c r="M24" s="18">
        <f t="shared" ca="1" si="3"/>
        <v>1</v>
      </c>
      <c r="N24" s="18"/>
      <c r="R24" s="11"/>
    </row>
    <row r="25" spans="1:18" x14ac:dyDescent="0.15">
      <c r="E25" s="22" t="str">
        <f t="shared" ca="1" si="0"/>
        <v>F</v>
      </c>
      <c r="F25" s="31">
        <f ca="1">FLOOR("5/"&amp;DAY(MINUTE(C22/38)/2+56)&amp;"/"&amp;C22,7)-36</f>
        <v>44666</v>
      </c>
      <c r="G25" s="31"/>
      <c r="H25" s="1" t="s">
        <v>5</v>
      </c>
      <c r="I25" s="8"/>
      <c r="J25" s="37"/>
      <c r="K25" s="18"/>
      <c r="L25" s="18"/>
      <c r="M25" s="18">
        <f t="shared" ca="1" si="3"/>
        <v>2</v>
      </c>
      <c r="N25" s="18"/>
      <c r="R25" s="11"/>
    </row>
    <row r="26" spans="1:18" x14ac:dyDescent="0.15">
      <c r="D26" s="13"/>
      <c r="E26" s="24" t="str">
        <f t="shared" ca="1" si="0"/>
        <v>M</v>
      </c>
      <c r="F26" s="33">
        <f ca="1">DATE(C22,5,31)-MOD(DATE(C22,5,31)-2,7)</f>
        <v>44711</v>
      </c>
      <c r="G26" s="33"/>
      <c r="H26" s="13" t="s">
        <v>6</v>
      </c>
      <c r="I26" s="8"/>
      <c r="J26" s="37" t="s">
        <v>16</v>
      </c>
      <c r="K26" s="18"/>
      <c r="L26" s="18"/>
      <c r="M26" s="18">
        <f t="shared" ca="1" si="3"/>
        <v>2</v>
      </c>
      <c r="N26" s="18"/>
      <c r="R26" s="11"/>
    </row>
    <row r="27" spans="1:18" x14ac:dyDescent="0.15">
      <c r="E27" s="25" t="str">
        <f t="shared" ca="1" si="0"/>
        <v>M</v>
      </c>
      <c r="F27" s="34">
        <f ca="1">IF(WEEKDAY(DATE(C22,7,4))=7,DATE(C22,7,3),IF(WEEKDAY(DATE(C22,7,4))=1,DATE(C22,7,5),DATE(C22,7,4)))</f>
        <v>44746</v>
      </c>
      <c r="G27" s="34"/>
      <c r="H27" s="8" t="str">
        <f ca="1">"Independence Day"&amp;IF(DAY(F27)=4,"","  (obs.)")</f>
        <v>Independence Day</v>
      </c>
      <c r="I27" s="8"/>
      <c r="J27" s="37" t="str">
        <f ca="1">IF(DAY(F27)=4,"","(observed)")</f>
        <v/>
      </c>
      <c r="K27" s="18"/>
      <c r="L27" s="18"/>
      <c r="M27" s="18">
        <f t="shared" ca="1" si="3"/>
        <v>3</v>
      </c>
      <c r="N27" s="18"/>
      <c r="R27" s="11"/>
    </row>
    <row r="28" spans="1:18" x14ac:dyDescent="0.15">
      <c r="D28" s="13"/>
      <c r="E28" s="26" t="str">
        <f t="shared" ca="1" si="0"/>
        <v>M</v>
      </c>
      <c r="F28" s="35">
        <f ca="1">IF(DAY(DATE(C22,9,1+((K28-(L28&gt;=WEEKDAY(DATE(C22,9,1))))*7+(L28-WEEKDAY(DATE(C22,9,1))))))=1,DATE(C22,9,1+((K28-(L28&gt;=WEEKDAY(DATE(C22,9,1))))*7+(L28-WEEKDAY(DATE(C22,9,1)))))+7,DATE(C22,9,1+((K28-(L28&gt;=WEEKDAY(DATE(C22,9,1))))*7+(L28-WEEKDAY(DATE(C22,9,1))))))</f>
        <v>44809</v>
      </c>
      <c r="G28" s="35"/>
      <c r="H28" s="14" t="s">
        <v>7</v>
      </c>
      <c r="I28" s="8"/>
      <c r="J28" s="37" t="s">
        <v>15</v>
      </c>
      <c r="K28" s="18">
        <v>1</v>
      </c>
      <c r="L28" s="18">
        <v>2</v>
      </c>
      <c r="M28" s="18">
        <f t="shared" ca="1" si="3"/>
        <v>3</v>
      </c>
      <c r="N28" s="18"/>
      <c r="R28" s="11"/>
    </row>
    <row r="29" spans="1:18" x14ac:dyDescent="0.15">
      <c r="E29" s="22" t="str">
        <f t="shared" ca="1" si="0"/>
        <v>Th</v>
      </c>
      <c r="F29" s="31">
        <f ca="1">DATE(C22,11,1+((K29-(L29&gt;=WEEKDAY(DATE(C22,11,1))))*7+(L29-WEEKDAY(DATE(C22,11,1)))))</f>
        <v>44889</v>
      </c>
      <c r="G29" s="31"/>
      <c r="H29" s="1" t="s">
        <v>8</v>
      </c>
      <c r="I29" s="8"/>
      <c r="J29" s="37" t="s">
        <v>14</v>
      </c>
      <c r="K29" s="18">
        <v>4</v>
      </c>
      <c r="L29" s="18">
        <v>5</v>
      </c>
      <c r="M29" s="18">
        <f t="shared" ca="1" si="3"/>
        <v>4</v>
      </c>
      <c r="N29" s="18"/>
      <c r="R29" s="11"/>
    </row>
    <row r="30" spans="1:18" x14ac:dyDescent="0.15">
      <c r="E30" s="22" t="str">
        <f t="shared" ca="1" si="0"/>
        <v>M</v>
      </c>
      <c r="F30" s="31">
        <f ca="1">IF(WEEKDAY(DATE(C22,12,25))=7,DATE(C22,12,24),IF(WEEKDAY(DATE(C22,12,25))=1,DATE(C22,12,26),DATE(C22,12,25)))</f>
        <v>44921</v>
      </c>
      <c r="G30" s="31"/>
      <c r="H30" s="1" t="str">
        <f ca="1">"Christmas"&amp;IF(DAY(F30)=25,"","  (obs.)")</f>
        <v>Christmas  (obs.)</v>
      </c>
      <c r="I30" s="8"/>
      <c r="J30" s="37" t="str">
        <f ca="1">IF(DAY(F30)=25,"","(observed)")</f>
        <v>(observed)</v>
      </c>
      <c r="M30" s="18">
        <f t="shared" ca="1" si="3"/>
        <v>4</v>
      </c>
      <c r="N30" s="18"/>
      <c r="R30" s="11"/>
    </row>
    <row r="31" spans="1:18" x14ac:dyDescent="0.15">
      <c r="E31" s="22"/>
      <c r="F31" s="31"/>
      <c r="G31" s="31"/>
      <c r="I31" s="8"/>
      <c r="J31" s="37"/>
      <c r="M31" s="18"/>
      <c r="N31" s="18"/>
      <c r="R31" s="11"/>
    </row>
    <row r="32" spans="1:18" x14ac:dyDescent="0.15">
      <c r="E32" s="22"/>
      <c r="F32" s="31"/>
      <c r="G32" s="31"/>
      <c r="I32" s="8"/>
      <c r="J32" s="37"/>
      <c r="M32" s="18"/>
      <c r="N32" s="18"/>
      <c r="R32" s="11"/>
    </row>
    <row r="33" spans="3:18" x14ac:dyDescent="0.15">
      <c r="C33" s="4">
        <f ca="1">C22+1</f>
        <v>2023</v>
      </c>
      <c r="D33" s="4"/>
      <c r="E33" s="22" t="str">
        <f ca="1">CHOOSE(WEEKDAY(F33),"x","M","Tu","W","Th","F"," ")</f>
        <v>M</v>
      </c>
      <c r="F33" s="31">
        <f ca="1">IF(WEEKDAY(DATE(C33,1,1))=1,DATE(C33,1,1)+1,DATE(C33,1,1))</f>
        <v>44928</v>
      </c>
      <c r="G33" s="31"/>
      <c r="H33" s="1" t="str">
        <f ca="1">IF(WEEKDAY(F33)=7,"NO New Year Holiday","New Year's Day"&amp;IF(DAY(F33)=1,"","  (obs.)"))</f>
        <v>New Year's Day  (obs.)</v>
      </c>
      <c r="I33" s="8"/>
      <c r="J33" s="37" t="str">
        <f ca="1">IF(DAY(F33)=1,"","(observed)")</f>
        <v>(observed)</v>
      </c>
      <c r="K33" s="18"/>
      <c r="L33" s="18"/>
      <c r="M33" s="18">
        <f ca="1">ROUNDUP(MONTH(F33)/3,0)</f>
        <v>1</v>
      </c>
      <c r="N33" s="18"/>
      <c r="R33" s="11"/>
    </row>
    <row r="34" spans="3:18" x14ac:dyDescent="0.15">
      <c r="E34" s="22" t="str">
        <f t="shared" ca="1" si="0"/>
        <v>M</v>
      </c>
      <c r="F34" s="31">
        <f ca="1">DATE(C33,1,1+((K34-(L34&gt;=WEEKDAY(DATE(C33,1,1))))*7+(L34-WEEKDAY(DATE(C33,1,1)))))</f>
        <v>44942</v>
      </c>
      <c r="G34" s="31"/>
      <c r="H34" s="1" t="s">
        <v>3</v>
      </c>
      <c r="I34" s="8"/>
      <c r="J34" s="37" t="s">
        <v>12</v>
      </c>
      <c r="K34" s="18">
        <v>3</v>
      </c>
      <c r="L34" s="18">
        <v>2</v>
      </c>
      <c r="M34" s="18">
        <f ca="1">ROUNDUP(MONTH(F34)/3,0)</f>
        <v>1</v>
      </c>
      <c r="N34" s="18"/>
      <c r="R34" s="11"/>
    </row>
    <row r="35" spans="3:18" x14ac:dyDescent="0.15">
      <c r="E35" s="22" t="str">
        <f t="shared" ca="1" si="0"/>
        <v>M</v>
      </c>
      <c r="F35" s="31">
        <f ca="1">DATE(C33,2,1+((K35-(L35&gt;=WEEKDAY(DATE(C33,2,1))))*7+(L35-WEEKDAY(DATE(C33,2,1)))))</f>
        <v>44977</v>
      </c>
      <c r="G35" s="31"/>
      <c r="H35" s="1" t="s">
        <v>4</v>
      </c>
      <c r="I35" s="8"/>
      <c r="J35" s="37" t="s">
        <v>13</v>
      </c>
      <c r="K35" s="18">
        <v>3</v>
      </c>
      <c r="L35" s="18">
        <v>2</v>
      </c>
      <c r="M35" s="18">
        <f ca="1">ROUNDUP(MONTH(F35)/3,0)</f>
        <v>1</v>
      </c>
      <c r="N35" s="18"/>
      <c r="R35" s="11"/>
    </row>
    <row r="36" spans="3:18" x14ac:dyDescent="0.15">
      <c r="E36" s="22" t="str">
        <f t="shared" ca="1" si="0"/>
        <v>F</v>
      </c>
      <c r="F36" s="31">
        <f ca="1">FLOOR("5/"&amp;DAY(MINUTE(C33/38)/2+56)&amp;"/"&amp;C33,7)-36</f>
        <v>45023</v>
      </c>
      <c r="G36" s="31"/>
      <c r="H36" s="11" t="s">
        <v>5</v>
      </c>
      <c r="I36" s="8"/>
      <c r="M36" s="18">
        <f ca="1">ROUNDUP(MONTH(F36)/3,0)</f>
        <v>2</v>
      </c>
      <c r="R36" s="11"/>
    </row>
    <row r="37" spans="3:18" x14ac:dyDescent="0.15">
      <c r="F37" s="7"/>
      <c r="G37" s="7"/>
    </row>
    <row r="39" spans="3:18" ht="14" x14ac:dyDescent="0.2">
      <c r="C39" s="64" t="s">
        <v>31</v>
      </c>
    </row>
    <row r="41" spans="3:18" x14ac:dyDescent="0.15">
      <c r="C41" s="15" t="b">
        <v>1</v>
      </c>
    </row>
  </sheetData>
  <mergeCells count="1">
    <mergeCell ref="E5:F5"/>
  </mergeCells>
  <phoneticPr fontId="5" type="noConversion"/>
  <conditionalFormatting sqref="D11:H19 D22:H22">
    <cfRule type="expression" dxfId="21" priority="11">
      <formula>AND($N11=$N$10,$C$41)</formula>
    </cfRule>
  </conditionalFormatting>
  <conditionalFormatting sqref="E36:I36">
    <cfRule type="expression" dxfId="20" priority="10">
      <formula>$M$36=2</formula>
    </cfRule>
  </conditionalFormatting>
  <conditionalFormatting sqref="H8 H11 H16 H19 H22 H27 H30 H33">
    <cfRule type="containsText" dxfId="19" priority="2" operator="containsText" text="obs">
      <formula>NOT(ISERROR(SEARCH("obs",H8)))</formula>
    </cfRule>
  </conditionalFormatting>
  <conditionalFormatting sqref="D14:H14 D25:H25">
    <cfRule type="expression" dxfId="18" priority="8">
      <formula>$M14=2</formula>
    </cfRule>
    <cfRule type="expression" dxfId="17" priority="9">
      <formula>$M14=1</formula>
    </cfRule>
  </conditionalFormatting>
  <conditionalFormatting sqref="H22 H33 H11">
    <cfRule type="containsText" dxfId="16" priority="1" operator="containsText" text="NO New Year">
      <formula>NOT(ISERROR(SEARCH("NO New Year",H11)))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how Next Holiday">
              <controlPr defaultSize="0" print="0" autoFill="0" autoLine="0" autoPict="0" altText="Show Next Holiday">
                <anchor moveWithCells="1">
                  <from>
                    <xdr:col>3</xdr:col>
                    <xdr:colOff>127000</xdr:colOff>
                    <xdr:row>39</xdr:row>
                    <xdr:rowOff>101600</xdr:rowOff>
                  </from>
                  <to>
                    <xdr:col>7</xdr:col>
                    <xdr:colOff>990600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42"/>
  <sheetViews>
    <sheetView workbookViewId="0"/>
  </sheetViews>
  <sheetFormatPr baseColWidth="10" defaultColWidth="11.5" defaultRowHeight="13" x14ac:dyDescent="0.15"/>
  <cols>
    <col min="1" max="1" width="11.5" style="1" customWidth="1"/>
    <col min="2" max="2" width="2.33203125" style="1" customWidth="1"/>
    <col min="3" max="3" width="5.5" style="1" customWidth="1"/>
    <col min="4" max="4" width="1.83203125" style="1" customWidth="1"/>
    <col min="5" max="5" width="5" style="1" customWidth="1"/>
    <col min="6" max="6" width="5.5" style="6" bestFit="1" customWidth="1"/>
    <col min="7" max="7" width="2.1640625" style="6" customWidth="1"/>
    <col min="8" max="8" width="21" style="1" customWidth="1"/>
    <col min="9" max="9" width="1.83203125" style="48" customWidth="1"/>
    <col min="10" max="10" width="16" style="47" customWidth="1"/>
    <col min="11" max="11" width="4.1640625" style="48" bestFit="1" customWidth="1"/>
    <col min="12" max="12" width="4.6640625" style="48" bestFit="1" customWidth="1"/>
    <col min="13" max="13" width="3.6640625" style="48" bestFit="1" customWidth="1"/>
    <col min="14" max="14" width="4.5" style="48" bestFit="1" customWidth="1"/>
    <col min="15" max="20" width="11.5" style="12"/>
    <col min="21" max="16384" width="11.5" style="1"/>
  </cols>
  <sheetData>
    <row r="2" spans="2:14" ht="19" x14ac:dyDescent="0.25">
      <c r="D2" s="39" t="s">
        <v>22</v>
      </c>
      <c r="F2" s="5"/>
      <c r="G2" s="5"/>
      <c r="H2" s="3"/>
      <c r="I2" s="46"/>
    </row>
    <row r="3" spans="2:14" ht="19.5" customHeight="1" x14ac:dyDescent="0.2">
      <c r="B3" s="2"/>
      <c r="C3" s="63"/>
      <c r="E3" s="40" t="s">
        <v>20</v>
      </c>
      <c r="F3" s="5"/>
      <c r="G3" s="5"/>
      <c r="H3" s="3"/>
      <c r="I3" s="46"/>
    </row>
    <row r="4" spans="2:14" ht="22.5" customHeight="1" x14ac:dyDescent="0.15">
      <c r="C4" s="62" t="s">
        <v>29</v>
      </c>
    </row>
    <row r="5" spans="2:14" ht="15" x14ac:dyDescent="0.2">
      <c r="B5" s="16"/>
      <c r="C5" s="41" t="s">
        <v>0</v>
      </c>
      <c r="D5" s="41"/>
      <c r="E5" s="65" t="s">
        <v>1</v>
      </c>
      <c r="F5" s="65"/>
      <c r="G5" s="44"/>
      <c r="H5" s="43" t="s">
        <v>2</v>
      </c>
      <c r="I5" s="49"/>
      <c r="J5" s="50" t="s">
        <v>9</v>
      </c>
      <c r="K5" s="51" t="s">
        <v>10</v>
      </c>
      <c r="L5" s="51" t="s">
        <v>11</v>
      </c>
      <c r="M5" s="51" t="s">
        <v>17</v>
      </c>
      <c r="N5" s="51" t="s">
        <v>18</v>
      </c>
    </row>
    <row r="6" spans="2:14" ht="4.5" customHeight="1" x14ac:dyDescent="0.15">
      <c r="B6" s="27"/>
      <c r="C6" s="28"/>
      <c r="D6" s="28"/>
      <c r="E6" s="28"/>
      <c r="F6" s="29"/>
      <c r="G6" s="29"/>
      <c r="H6" s="30"/>
      <c r="I6" s="50"/>
      <c r="J6" s="50"/>
      <c r="K6" s="51"/>
      <c r="L6" s="51"/>
      <c r="M6" s="51"/>
      <c r="N6" s="51"/>
    </row>
    <row r="7" spans="2:14" x14ac:dyDescent="0.15">
      <c r="B7" s="8"/>
      <c r="C7" s="4">
        <f ca="1">C11-1</f>
        <v>2020</v>
      </c>
      <c r="D7" s="4"/>
      <c r="E7" s="22" t="str">
        <f ca="1">CHOOSE(WEEKDAY(F7),"x","M","Tu","W","Th","F")</f>
        <v>Th</v>
      </c>
      <c r="F7" s="31">
        <f ca="1">DATE(C7,11,1+((K7-(L7&gt;=WEEKDAY(DATE(C7,11,1))))*7+(L7-WEEKDAY(DATE(C7,11,1)))))</f>
        <v>44161</v>
      </c>
      <c r="G7" s="31"/>
      <c r="H7" s="1" t="s">
        <v>8</v>
      </c>
      <c r="I7" s="47"/>
      <c r="J7" s="52" t="s">
        <v>14</v>
      </c>
      <c r="K7" s="53">
        <v>4</v>
      </c>
      <c r="L7" s="53">
        <v>5</v>
      </c>
      <c r="M7" s="53">
        <f ca="1">ROUNDUP(MONTH(F7)/3,0)</f>
        <v>4</v>
      </c>
      <c r="N7" s="53"/>
    </row>
    <row r="8" spans="2:14" x14ac:dyDescent="0.15">
      <c r="B8" s="8"/>
      <c r="C8" s="9"/>
      <c r="D8" s="9"/>
      <c r="E8" s="22" t="str">
        <f t="shared" ref="E8:E37" ca="1" si="0">CHOOSE(WEEKDAY(F8),"x","M","Tu","W","Th","F")</f>
        <v>F</v>
      </c>
      <c r="F8" s="31">
        <f ca="1">IF(WEEKDAY(DATE(C7,12,25))=7,DATE(C7,12,24),IF(WEEKDAY(DATE(C7,12,25))=1,DATE(C7,12,26),DATE(C7,12,25)))</f>
        <v>44190</v>
      </c>
      <c r="G8" s="31"/>
      <c r="H8" s="1" t="str">
        <f ca="1">"Christmas"&amp;IF(DAY(F8)=25,"","  (obs.)")</f>
        <v>Christmas</v>
      </c>
      <c r="I8" s="47"/>
      <c r="J8" s="52" t="str">
        <f ca="1">IF(DAY(F8)=25,"","(observed)")</f>
        <v/>
      </c>
      <c r="K8" s="53"/>
      <c r="L8" s="53"/>
      <c r="M8" s="53">
        <f ca="1">ROUNDUP(MONTH(F8)/3,0)</f>
        <v>4</v>
      </c>
      <c r="N8" s="53"/>
    </row>
    <row r="9" spans="2:14" x14ac:dyDescent="0.15">
      <c r="B9" s="8"/>
      <c r="C9" s="9"/>
      <c r="D9" s="9"/>
      <c r="E9" s="23"/>
      <c r="F9" s="32"/>
      <c r="G9" s="32"/>
      <c r="H9" s="10"/>
      <c r="I9" s="50"/>
      <c r="J9" s="52"/>
      <c r="K9" s="51"/>
      <c r="L9" s="51"/>
      <c r="M9" s="53"/>
      <c r="N9" s="53"/>
    </row>
    <row r="10" spans="2:14" x14ac:dyDescent="0.15">
      <c r="B10" s="8"/>
      <c r="C10" s="9"/>
      <c r="D10" s="9"/>
      <c r="E10" s="23"/>
      <c r="F10" s="32"/>
      <c r="G10" s="32"/>
      <c r="H10" s="10"/>
      <c r="I10" s="50"/>
      <c r="J10" s="52"/>
      <c r="K10" s="51"/>
      <c r="L10" s="51"/>
      <c r="M10" s="54" t="s">
        <v>19</v>
      </c>
      <c r="N10" s="55">
        <f ca="1">MIN(N11:N23)</f>
        <v>0</v>
      </c>
    </row>
    <row r="11" spans="2:14" x14ac:dyDescent="0.15">
      <c r="C11" s="4">
        <f ca="1">YEAR(TODAY())</f>
        <v>2021</v>
      </c>
      <c r="D11" s="4"/>
      <c r="E11" s="22" t="str">
        <f t="shared" ca="1" si="0"/>
        <v>F</v>
      </c>
      <c r="F11" s="31">
        <f ca="1">IF(WEEKDAY(DATE(C11,1,1))=7,DATE(C7,12,31),IF(WEEKDAY(DATE(C11,1,1))=1,DATE(C11,1,1)+1,DATE(C11,1,1)))</f>
        <v>44197</v>
      </c>
      <c r="G11" s="31"/>
      <c r="H11" s="1" t="str">
        <f ca="1">"New Year's Day"&amp;IF(DAY(F11)=1,"","  (obs.)")</f>
        <v>New Year's Day</v>
      </c>
      <c r="I11" s="47"/>
      <c r="J11" s="52" t="str">
        <f ca="1">IF(DAY(F11)=1,"","(observed)")</f>
        <v/>
      </c>
      <c r="M11" s="53">
        <f t="shared" ref="M11:M20" ca="1" si="1">ROUNDUP(MONTH(F11)/3,0)</f>
        <v>1</v>
      </c>
      <c r="N11" s="53">
        <f ca="1">IF(F11-TODAY()&lt;0,999,F11-TODAY())</f>
        <v>999</v>
      </c>
    </row>
    <row r="12" spans="2:14" x14ac:dyDescent="0.15">
      <c r="E12" s="22" t="str">
        <f t="shared" ca="1" si="0"/>
        <v>M</v>
      </c>
      <c r="F12" s="31">
        <f ca="1">DATE(C11,1,1+((K12-(L12&gt;=WEEKDAY(DATE(C11,1,1))))*7+(L12-WEEKDAY(DATE(C11,1,1)))))</f>
        <v>44214</v>
      </c>
      <c r="G12" s="31"/>
      <c r="H12" s="1" t="s">
        <v>3</v>
      </c>
      <c r="I12" s="47"/>
      <c r="J12" s="52" t="s">
        <v>12</v>
      </c>
      <c r="K12" s="53">
        <v>3</v>
      </c>
      <c r="L12" s="53">
        <v>2</v>
      </c>
      <c r="M12" s="53">
        <f t="shared" ca="1" si="1"/>
        <v>1</v>
      </c>
      <c r="N12" s="53">
        <f t="shared" ref="N12:N23" ca="1" si="2">IF(F12-TODAY()&lt;0,999,F12-TODAY())</f>
        <v>999</v>
      </c>
    </row>
    <row r="13" spans="2:14" x14ac:dyDescent="0.15">
      <c r="D13" s="13"/>
      <c r="E13" s="24" t="str">
        <f t="shared" ca="1" si="0"/>
        <v>M</v>
      </c>
      <c r="F13" s="33">
        <f ca="1">DATE(C11,2,1+((K13-(L13&gt;=WEEKDAY(DATE(C11,2,1))))*7+(L13-WEEKDAY(DATE(C11,2,1)))))</f>
        <v>44242</v>
      </c>
      <c r="G13" s="33"/>
      <c r="H13" s="13" t="s">
        <v>4</v>
      </c>
      <c r="I13" s="47"/>
      <c r="J13" s="52" t="s">
        <v>13</v>
      </c>
      <c r="K13" s="53">
        <v>3</v>
      </c>
      <c r="L13" s="53">
        <v>2</v>
      </c>
      <c r="M13" s="53">
        <f t="shared" ca="1" si="1"/>
        <v>1</v>
      </c>
      <c r="N13" s="53">
        <f t="shared" ca="1" si="2"/>
        <v>0</v>
      </c>
    </row>
    <row r="14" spans="2:14" x14ac:dyDescent="0.15">
      <c r="D14" s="13"/>
      <c r="E14" s="24" t="str">
        <f t="shared" ca="1" si="0"/>
        <v>M</v>
      </c>
      <c r="F14" s="33">
        <f ca="1">DATE(C11,5,31)-MOD(DATE(C11,5,31)-2,7)</f>
        <v>44347</v>
      </c>
      <c r="G14" s="33"/>
      <c r="H14" s="13" t="s">
        <v>6</v>
      </c>
      <c r="I14" s="47"/>
      <c r="J14" s="52" t="s">
        <v>16</v>
      </c>
      <c r="K14" s="53"/>
      <c r="L14" s="53"/>
      <c r="M14" s="53">
        <f t="shared" ca="1" si="1"/>
        <v>2</v>
      </c>
      <c r="N14" s="53">
        <f t="shared" ca="1" si="2"/>
        <v>105</v>
      </c>
    </row>
    <row r="15" spans="2:14" x14ac:dyDescent="0.15">
      <c r="E15" s="22" t="str">
        <f t="shared" ca="1" si="0"/>
        <v>M</v>
      </c>
      <c r="F15" s="31">
        <f ca="1">IF(WEEKDAY(DATE(C11,7,4))=7,DATE(C11,7,3),IF(WEEKDAY(DATE(C11,7,4))=1,DATE(C11,7,5),DATE(C11,7,4)))</f>
        <v>44382</v>
      </c>
      <c r="G15" s="31"/>
      <c r="H15" s="1" t="str">
        <f ca="1">"Independence Day"&amp;IF(DAY(F15)=4,"","  (obs.)")</f>
        <v>Independence Day  (obs.)</v>
      </c>
      <c r="I15" s="47"/>
      <c r="J15" s="52" t="str">
        <f ca="1">IF(DAY(F15)=4,"","(observed)")</f>
        <v>(observed)</v>
      </c>
      <c r="K15" s="53"/>
      <c r="L15" s="53"/>
      <c r="M15" s="53">
        <f t="shared" ca="1" si="1"/>
        <v>3</v>
      </c>
      <c r="N15" s="53">
        <f t="shared" ca="1" si="2"/>
        <v>140</v>
      </c>
    </row>
    <row r="16" spans="2:14" x14ac:dyDescent="0.15">
      <c r="D16" s="13"/>
      <c r="E16" s="24" t="str">
        <f t="shared" ca="1" si="0"/>
        <v>M</v>
      </c>
      <c r="F16" s="33">
        <f ca="1">IF(DAY(DATE(C11,9,1+((K16-(L16&gt;=WEEKDAY(DATE(C11,9,1))))*7+(L16-WEEKDAY(DATE(C11,9,1))))))=1,DATE(C11,9,1+((K16-(L16&gt;=WEEKDAY(DATE(C11,9,1))))*7+(L16-WEEKDAY(DATE(C11,9,1)))))+7,DATE(C11,9,1+((K16-(L16&gt;=WEEKDAY(DATE(C11,9,1))))*7+(L16-WEEKDAY(DATE(C11,9,1))))))</f>
        <v>44445</v>
      </c>
      <c r="G16" s="33"/>
      <c r="H16" s="13" t="s">
        <v>7</v>
      </c>
      <c r="I16" s="47"/>
      <c r="J16" s="52" t="s">
        <v>15</v>
      </c>
      <c r="K16" s="53">
        <v>1</v>
      </c>
      <c r="L16" s="53">
        <v>2</v>
      </c>
      <c r="M16" s="53">
        <f t="shared" ca="1" si="1"/>
        <v>3</v>
      </c>
      <c r="N16" s="53">
        <f t="shared" ca="1" si="2"/>
        <v>203</v>
      </c>
    </row>
    <row r="17" spans="3:14" x14ac:dyDescent="0.15">
      <c r="D17" s="8"/>
      <c r="E17" s="25" t="str">
        <f ca="1">CHOOSE(WEEKDAY(F17),"x","M","Tu","W","Th","F")</f>
        <v>M</v>
      </c>
      <c r="F17" s="34">
        <f ca="1">DATE(C11,10,15)-WEEKDAY(DATE(C11,10,8-2))</f>
        <v>44480</v>
      </c>
      <c r="G17" s="34"/>
      <c r="H17" s="45" t="s">
        <v>23</v>
      </c>
      <c r="I17" s="47"/>
      <c r="J17" s="52"/>
      <c r="K17" s="53"/>
      <c r="L17" s="53"/>
      <c r="M17" s="53">
        <f t="shared" ca="1" si="1"/>
        <v>4</v>
      </c>
      <c r="N17" s="53">
        <f t="shared" ca="1" si="2"/>
        <v>238</v>
      </c>
    </row>
    <row r="18" spans="3:14" x14ac:dyDescent="0.15">
      <c r="D18" s="8"/>
      <c r="E18" s="25" t="str">
        <f ca="1">CHOOSE(WEEKDAY(F18),"x","M","Tu","W","Th","F")</f>
        <v>Th</v>
      </c>
      <c r="F18" s="34">
        <f ca="1">IF(WEEKDAY(DATE(C11,11,11))=7,DATE(C11,11,10),IF(WEEKDAY(DATE(C11,11,11))=1,DATE(C11,11,12),DATE(C11,11,11)))</f>
        <v>44511</v>
      </c>
      <c r="G18" s="34"/>
      <c r="H18" s="45" t="str">
        <f ca="1">"Veterans Day"&amp;IF(DAY(F18)=11,"","  (obs.)")</f>
        <v>Veterans Day</v>
      </c>
      <c r="I18" s="47"/>
      <c r="J18" s="52"/>
      <c r="K18" s="53"/>
      <c r="L18" s="53"/>
      <c r="M18" s="53">
        <f t="shared" ca="1" si="1"/>
        <v>4</v>
      </c>
      <c r="N18" s="53">
        <f t="shared" ca="1" si="2"/>
        <v>269</v>
      </c>
    </row>
    <row r="19" spans="3:14" x14ac:dyDescent="0.15">
      <c r="E19" s="22" t="str">
        <f t="shared" ca="1" si="0"/>
        <v>Th</v>
      </c>
      <c r="F19" s="31">
        <f ca="1">DATE(C11,11,1+((K19-(L19&gt;=WEEKDAY(DATE(C11,11,1))))*7+(L19-WEEKDAY(DATE(C11,11,1)))))</f>
        <v>44525</v>
      </c>
      <c r="G19" s="31"/>
      <c r="H19" s="1" t="s">
        <v>8</v>
      </c>
      <c r="I19" s="47"/>
      <c r="J19" s="52" t="s">
        <v>14</v>
      </c>
      <c r="K19" s="53">
        <v>4</v>
      </c>
      <c r="L19" s="53">
        <v>5</v>
      </c>
      <c r="M19" s="53">
        <f t="shared" ca="1" si="1"/>
        <v>4</v>
      </c>
      <c r="N19" s="53">
        <f t="shared" ca="1" si="2"/>
        <v>283</v>
      </c>
    </row>
    <row r="20" spans="3:14" x14ac:dyDescent="0.15">
      <c r="E20" s="22" t="str">
        <f t="shared" ca="1" si="0"/>
        <v>F</v>
      </c>
      <c r="F20" s="31">
        <f ca="1">IF(WEEKDAY(DATE(C11,12,25))=7,DATE(C11,12,24),IF(WEEKDAY(DATE(C11,12,25))=1,DATE(C11,12,26),DATE(C11,12,25)))</f>
        <v>44554</v>
      </c>
      <c r="G20" s="31"/>
      <c r="H20" s="1" t="str">
        <f ca="1">"Christmas"&amp;IF(DAY(F20)=25,"","  (obs.)")</f>
        <v>Christmas  (obs.)</v>
      </c>
      <c r="I20" s="47"/>
      <c r="J20" s="52" t="s">
        <v>30</v>
      </c>
      <c r="K20" s="53"/>
      <c r="L20" s="53"/>
      <c r="M20" s="53">
        <f t="shared" ca="1" si="1"/>
        <v>4</v>
      </c>
      <c r="N20" s="53">
        <f t="shared" ca="1" si="2"/>
        <v>312</v>
      </c>
    </row>
    <row r="21" spans="3:14" x14ac:dyDescent="0.15">
      <c r="E21" s="22"/>
      <c r="F21" s="31"/>
      <c r="G21" s="31"/>
      <c r="I21" s="47"/>
      <c r="J21" s="52"/>
      <c r="K21" s="53"/>
      <c r="L21" s="53"/>
      <c r="M21" s="53"/>
      <c r="N21" s="53"/>
    </row>
    <row r="22" spans="3:14" x14ac:dyDescent="0.15">
      <c r="E22" s="22"/>
      <c r="F22" s="31"/>
      <c r="G22" s="31"/>
      <c r="I22" s="47"/>
      <c r="J22" s="52"/>
      <c r="K22" s="53"/>
      <c r="L22" s="53"/>
      <c r="M22" s="53"/>
      <c r="N22" s="53"/>
    </row>
    <row r="23" spans="3:14" x14ac:dyDescent="0.15">
      <c r="C23" s="4">
        <f ca="1">C11+1</f>
        <v>2022</v>
      </c>
      <c r="D23" s="4"/>
      <c r="E23" s="22" t="str">
        <f ca="1">CHOOSE(WEEKDAY(F23),"x","M","Tu","W","Th","F")</f>
        <v>F</v>
      </c>
      <c r="F23" s="31">
        <f ca="1">IF(WEEKDAY(DATE(C23,1,1))=7,DATE(C11,12,31),IF(WEEKDAY(DATE(C23,1,1))=1,DATE(C23,1,1)+1,DATE(C23,1,1)))</f>
        <v>44561</v>
      </c>
      <c r="G23" s="31"/>
      <c r="H23" s="1" t="str">
        <f ca="1">"New Year's Day"&amp;IF(DAY(F23)=1,"","  (obs.)")</f>
        <v>New Year's Day  (obs.)</v>
      </c>
      <c r="I23" s="47"/>
      <c r="J23" s="52" t="str">
        <f ca="1">IF(DAY(F23)=1,"","(observed)")</f>
        <v>(observed)</v>
      </c>
      <c r="K23" s="53"/>
      <c r="L23" s="53"/>
      <c r="M23" s="53">
        <f t="shared" ref="M23:M32" ca="1" si="3">ROUNDUP(MONTH(F23)/3,0)</f>
        <v>4</v>
      </c>
      <c r="N23" s="53">
        <f t="shared" ca="1" si="2"/>
        <v>319</v>
      </c>
    </row>
    <row r="24" spans="3:14" x14ac:dyDescent="0.15">
      <c r="E24" s="22" t="str">
        <f t="shared" ca="1" si="0"/>
        <v>M</v>
      </c>
      <c r="F24" s="31">
        <f ca="1">DATE(C23,1,1+((K24-(L24&gt;=WEEKDAY(DATE(C23,1,1))))*7+(L24-WEEKDAY(DATE(C23,1,1)))))</f>
        <v>44578</v>
      </c>
      <c r="G24" s="31"/>
      <c r="H24" s="1" t="s">
        <v>3</v>
      </c>
      <c r="I24" s="47"/>
      <c r="J24" s="52" t="s">
        <v>12</v>
      </c>
      <c r="K24" s="53">
        <v>3</v>
      </c>
      <c r="L24" s="53">
        <v>2</v>
      </c>
      <c r="M24" s="53">
        <f t="shared" ca="1" si="3"/>
        <v>1</v>
      </c>
      <c r="N24" s="53"/>
    </row>
    <row r="25" spans="3:14" x14ac:dyDescent="0.15">
      <c r="D25" s="13"/>
      <c r="E25" s="24" t="str">
        <f t="shared" ca="1" si="0"/>
        <v>M</v>
      </c>
      <c r="F25" s="33">
        <f ca="1">DATE(C23,2,1+((K25-(L25&gt;=WEEKDAY(DATE(C23,2,1))))*7+(L25-WEEKDAY(DATE(C23,2,1)))))</f>
        <v>44613</v>
      </c>
      <c r="G25" s="33"/>
      <c r="H25" s="13" t="s">
        <v>4</v>
      </c>
      <c r="I25" s="47"/>
      <c r="J25" s="52" t="s">
        <v>13</v>
      </c>
      <c r="K25" s="53">
        <v>3</v>
      </c>
      <c r="L25" s="53">
        <v>2</v>
      </c>
      <c r="M25" s="53">
        <f t="shared" ca="1" si="3"/>
        <v>1</v>
      </c>
      <c r="N25" s="53"/>
    </row>
    <row r="26" spans="3:14" x14ac:dyDescent="0.15">
      <c r="D26" s="13"/>
      <c r="E26" s="24" t="str">
        <f t="shared" ca="1" si="0"/>
        <v>M</v>
      </c>
      <c r="F26" s="33">
        <f ca="1">DATE(C23,5,31)-MOD(DATE(C23,5,31)-2,7)</f>
        <v>44711</v>
      </c>
      <c r="G26" s="33"/>
      <c r="H26" s="13" t="s">
        <v>6</v>
      </c>
      <c r="I26" s="47"/>
      <c r="J26" s="52" t="s">
        <v>16</v>
      </c>
      <c r="K26" s="53"/>
      <c r="L26" s="53"/>
      <c r="M26" s="53">
        <f t="shared" ca="1" si="3"/>
        <v>2</v>
      </c>
      <c r="N26" s="53"/>
    </row>
    <row r="27" spans="3:14" x14ac:dyDescent="0.15">
      <c r="E27" s="25" t="str">
        <f t="shared" ca="1" si="0"/>
        <v>M</v>
      </c>
      <c r="F27" s="34">
        <f ca="1">IF(WEEKDAY(DATE(C23,7,4))=7,DATE(C23,7,3),IF(WEEKDAY(DATE(C23,7,4))=1,DATE(C23,7,5),DATE(C23,7,4)))</f>
        <v>44746</v>
      </c>
      <c r="G27" s="34"/>
      <c r="H27" s="8" t="str">
        <f ca="1">"Independence Day"&amp;IF(DAY(F27)=4,"","  (obs.)")</f>
        <v>Independence Day</v>
      </c>
      <c r="I27" s="47"/>
      <c r="J27" s="52" t="str">
        <f ca="1">IF(DAY(F27)=4,"","(observed)")</f>
        <v/>
      </c>
      <c r="K27" s="53"/>
      <c r="L27" s="53"/>
      <c r="M27" s="53">
        <f t="shared" ca="1" si="3"/>
        <v>3</v>
      </c>
      <c r="N27" s="53"/>
    </row>
    <row r="28" spans="3:14" x14ac:dyDescent="0.15">
      <c r="D28" s="13"/>
      <c r="E28" s="26" t="str">
        <f t="shared" ca="1" si="0"/>
        <v>M</v>
      </c>
      <c r="F28" s="35">
        <f ca="1">IF(DAY(DATE(C23,9,1+((K28-(L28&gt;=WEEKDAY(DATE(C23,9,1))))*7+(L28-WEEKDAY(DATE(C23,9,1))))))=1,DATE(C23,9,1+((K28-(L28&gt;=WEEKDAY(DATE(C23,9,1))))*7+(L28-WEEKDAY(DATE(C23,9,1)))))+7,DATE(C23,9,1+((K28-(L28&gt;=WEEKDAY(DATE(C23,9,1))))*7+(L28-WEEKDAY(DATE(C23,9,1))))))</f>
        <v>44809</v>
      </c>
      <c r="G28" s="35"/>
      <c r="H28" s="14" t="s">
        <v>7</v>
      </c>
      <c r="I28" s="47"/>
      <c r="J28" s="52" t="s">
        <v>15</v>
      </c>
      <c r="K28" s="53">
        <v>1</v>
      </c>
      <c r="L28" s="53">
        <v>2</v>
      </c>
      <c r="M28" s="53">
        <f t="shared" ca="1" si="3"/>
        <v>3</v>
      </c>
      <c r="N28" s="53"/>
    </row>
    <row r="29" spans="3:14" x14ac:dyDescent="0.15">
      <c r="D29" s="8"/>
      <c r="E29" s="25" t="str">
        <f ca="1">CHOOSE(WEEKDAY(F29),"x","M","Tu","W","Th","F")</f>
        <v>M</v>
      </c>
      <c r="F29" s="34">
        <f ca="1">DATE(C23,10,15)-WEEKDAY(DATE(C23,10,8-2))</f>
        <v>44844</v>
      </c>
      <c r="G29" s="34"/>
      <c r="H29" s="45" t="s">
        <v>23</v>
      </c>
      <c r="I29" s="47"/>
      <c r="J29" s="52"/>
      <c r="K29" s="53"/>
      <c r="L29" s="53"/>
      <c r="M29" s="53">
        <f t="shared" ca="1" si="3"/>
        <v>4</v>
      </c>
      <c r="N29" s="53"/>
    </row>
    <row r="30" spans="3:14" x14ac:dyDescent="0.15">
      <c r="D30" s="8"/>
      <c r="E30" s="25" t="str">
        <f ca="1">CHOOSE(WEEKDAY(F30),"x","M","Tu","W","Th","F")</f>
        <v>F</v>
      </c>
      <c r="F30" s="34">
        <f ca="1">IF(WEEKDAY(DATE(C23,11,11))=7,DATE(C23,11,10),IF(WEEKDAY(DATE(C23,11,11))=1,DATE(C23,11,12),DATE(C23,11,11)))</f>
        <v>44876</v>
      </c>
      <c r="G30" s="34"/>
      <c r="H30" s="45" t="str">
        <f ca="1">"Veterans Day"&amp;IF(DAY(F30)=11,"","  (obs.)")</f>
        <v>Veterans Day</v>
      </c>
      <c r="I30" s="47"/>
      <c r="J30" s="52"/>
      <c r="K30" s="53"/>
      <c r="L30" s="53"/>
      <c r="M30" s="53">
        <f t="shared" ca="1" si="3"/>
        <v>4</v>
      </c>
      <c r="N30" s="53"/>
    </row>
    <row r="31" spans="3:14" x14ac:dyDescent="0.15">
      <c r="E31" s="22" t="str">
        <f t="shared" ca="1" si="0"/>
        <v>Th</v>
      </c>
      <c r="F31" s="31">
        <f ca="1">DATE(C23,11,1+((K31-(L31&gt;=WEEKDAY(DATE(C23,11,1))))*7+(L31-WEEKDAY(DATE(C23,11,1)))))</f>
        <v>44889</v>
      </c>
      <c r="G31" s="31"/>
      <c r="H31" s="1" t="s">
        <v>8</v>
      </c>
      <c r="I31" s="47"/>
      <c r="J31" s="52" t="s">
        <v>14</v>
      </c>
      <c r="K31" s="53">
        <v>4</v>
      </c>
      <c r="L31" s="53">
        <v>5</v>
      </c>
      <c r="M31" s="53">
        <f t="shared" ca="1" si="3"/>
        <v>4</v>
      </c>
      <c r="N31" s="53"/>
    </row>
    <row r="32" spans="3:14" x14ac:dyDescent="0.15">
      <c r="E32" s="22" t="str">
        <f t="shared" ca="1" si="0"/>
        <v>M</v>
      </c>
      <c r="F32" s="31">
        <f ca="1">IF(WEEKDAY(DATE(C23,12,25))=7,DATE(C23,12,24),IF(WEEKDAY(DATE(C23,12,25))=1,DATE(C23,12,26),DATE(C23,12,25)))</f>
        <v>44921</v>
      </c>
      <c r="G32" s="31"/>
      <c r="H32" s="1" t="str">
        <f ca="1">"Christmas"&amp;IF(DAY(F32)=25,"","  (obs.)")</f>
        <v>Christmas  (obs.)</v>
      </c>
      <c r="I32" s="47"/>
      <c r="J32" s="52" t="str">
        <f ca="1">IF(DAY(F32)=25,"","(observed)")</f>
        <v>(observed)</v>
      </c>
      <c r="M32" s="53">
        <f t="shared" ca="1" si="3"/>
        <v>4</v>
      </c>
      <c r="N32" s="53"/>
    </row>
    <row r="33" spans="3:14" x14ac:dyDescent="0.15">
      <c r="E33" s="22"/>
      <c r="F33" s="31"/>
      <c r="G33" s="31"/>
      <c r="I33" s="47"/>
      <c r="J33" s="52"/>
      <c r="M33" s="53"/>
      <c r="N33" s="53"/>
    </row>
    <row r="34" spans="3:14" x14ac:dyDescent="0.15">
      <c r="E34" s="22"/>
      <c r="F34" s="31"/>
      <c r="G34" s="31"/>
      <c r="I34" s="47"/>
      <c r="J34" s="52"/>
      <c r="M34" s="53"/>
      <c r="N34" s="53"/>
    </row>
    <row r="35" spans="3:14" x14ac:dyDescent="0.15">
      <c r="C35" s="4">
        <f ca="1">C23+1</f>
        <v>2023</v>
      </c>
      <c r="D35" s="4"/>
      <c r="E35" s="22" t="str">
        <f t="shared" ca="1" si="0"/>
        <v>M</v>
      </c>
      <c r="F35" s="31">
        <f ca="1">IF(WEEKDAY(DATE(C35,1,1))=7,DATE(C23,12,31),IF(WEEKDAY(DATE(C35,1,1))=1,DATE(C35,1,1)+1,DATE(C35,1,1)))</f>
        <v>44928</v>
      </c>
      <c r="G35" s="31"/>
      <c r="H35" s="1" t="str">
        <f ca="1">"New Year's Day"&amp;IF(DAY(F35)=1,"","  (obs.)")</f>
        <v>New Year's Day  (obs.)</v>
      </c>
      <c r="I35" s="47"/>
      <c r="J35" s="52" t="str">
        <f ca="1">IF(DAY(F35)=1,"","(observed)")</f>
        <v>(observed)</v>
      </c>
      <c r="K35" s="53"/>
      <c r="L35" s="53"/>
      <c r="M35" s="53">
        <f ca="1">ROUNDUP(MONTH(F35)/3,0)</f>
        <v>1</v>
      </c>
      <c r="N35" s="53"/>
    </row>
    <row r="36" spans="3:14" x14ac:dyDescent="0.15">
      <c r="E36" s="22" t="str">
        <f t="shared" ca="1" si="0"/>
        <v>M</v>
      </c>
      <c r="F36" s="31">
        <f ca="1">DATE(C35,1,1+((K36-(L36&gt;=WEEKDAY(DATE(C35,1,1))))*7+(L36-WEEKDAY(DATE(C35,1,1)))))</f>
        <v>44942</v>
      </c>
      <c r="G36" s="31"/>
      <c r="H36" s="1" t="s">
        <v>3</v>
      </c>
      <c r="I36" s="47"/>
      <c r="J36" s="52" t="s">
        <v>12</v>
      </c>
      <c r="K36" s="53">
        <v>3</v>
      </c>
      <c r="L36" s="53">
        <v>2</v>
      </c>
      <c r="M36" s="53">
        <f ca="1">ROUNDUP(MONTH(F36)/3,0)</f>
        <v>1</v>
      </c>
      <c r="N36" s="53"/>
    </row>
    <row r="37" spans="3:14" x14ac:dyDescent="0.15">
      <c r="E37" s="22" t="str">
        <f t="shared" ca="1" si="0"/>
        <v>M</v>
      </c>
      <c r="F37" s="31">
        <f ca="1">DATE(C35,2,1+((K37-(L37&gt;=WEEKDAY(DATE(C35,2,1))))*7+(L37-WEEKDAY(DATE(C35,2,1)))))</f>
        <v>44977</v>
      </c>
      <c r="G37" s="31"/>
      <c r="H37" s="1" t="s">
        <v>4</v>
      </c>
      <c r="I37" s="47"/>
      <c r="J37" s="52" t="s">
        <v>13</v>
      </c>
      <c r="K37" s="53">
        <v>3</v>
      </c>
      <c r="L37" s="53">
        <v>2</v>
      </c>
      <c r="M37" s="53">
        <f ca="1">ROUNDUP(MONTH(F37)/3,0)</f>
        <v>1</v>
      </c>
      <c r="N37" s="53"/>
    </row>
    <row r="38" spans="3:14" x14ac:dyDescent="0.15">
      <c r="F38" s="7"/>
      <c r="G38" s="7"/>
    </row>
    <row r="42" spans="3:14" x14ac:dyDescent="0.15">
      <c r="C42" s="15" t="b">
        <v>1</v>
      </c>
    </row>
  </sheetData>
  <mergeCells count="1">
    <mergeCell ref="E5:F5"/>
  </mergeCells>
  <conditionalFormatting sqref="H8 H11 H15 H20 H23 H27 H32 H35">
    <cfRule type="containsText" dxfId="15" priority="3" stopIfTrue="1" operator="containsText" text="obs">
      <formula>NOT(ISERROR(SEARCH("obs",H8)))</formula>
    </cfRule>
  </conditionalFormatting>
  <conditionalFormatting sqref="D11:H20 D23:H23">
    <cfRule type="expression" dxfId="14" priority="15" stopIfTrue="1">
      <formula>AND($N11=$N$10,$C$42)</formula>
    </cfRule>
  </conditionalFormatting>
  <conditionalFormatting sqref="D11:H11 D23:H23 D35:H35">
    <cfRule type="expression" dxfId="13" priority="1">
      <formula>$M11=4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how Next Holiday">
              <controlPr defaultSize="0" print="0" autoFill="0" autoLine="0" autoPict="0" altText="Show Next Holiday">
                <anchor moveWithCells="1">
                  <from>
                    <xdr:col>3</xdr:col>
                    <xdr:colOff>127000</xdr:colOff>
                    <xdr:row>40</xdr:row>
                    <xdr:rowOff>101600</xdr:rowOff>
                  </from>
                  <to>
                    <xdr:col>7</xdr:col>
                    <xdr:colOff>889000</xdr:colOff>
                    <xdr:row>42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6EE2-EE49-425A-A261-8EE3FD56E2BF}">
  <dimension ref="B2:R37"/>
  <sheetViews>
    <sheetView zoomScaleNormal="100" workbookViewId="0"/>
  </sheetViews>
  <sheetFormatPr baseColWidth="10" defaultColWidth="11.5" defaultRowHeight="13" x14ac:dyDescent="0.15"/>
  <cols>
    <col min="1" max="1" width="11.5" style="1" customWidth="1"/>
    <col min="2" max="2" width="2.33203125" style="1" customWidth="1"/>
    <col min="3" max="3" width="5.5" style="1" customWidth="1"/>
    <col min="4" max="4" width="1.33203125" style="1" customWidth="1"/>
    <col min="5" max="5" width="6.6640625" style="1" customWidth="1"/>
    <col min="6" max="6" width="5.5" style="6" bestFit="1" customWidth="1"/>
    <col min="7" max="7" width="2.1640625" style="6" customWidth="1"/>
    <col min="8" max="8" width="21" style="1" customWidth="1"/>
    <col min="9" max="9" width="1.83203125" style="1" customWidth="1"/>
    <col min="10" max="10" width="16" style="38" customWidth="1"/>
    <col min="11" max="11" width="4.1640625" style="15" bestFit="1" customWidth="1"/>
    <col min="12" max="12" width="4.6640625" style="15" bestFit="1" customWidth="1"/>
    <col min="13" max="13" width="3.6640625" style="15" bestFit="1" customWidth="1"/>
    <col min="14" max="14" width="4.5" style="15" bestFit="1" customWidth="1"/>
    <col min="15" max="16" width="11.5" style="12"/>
    <col min="17" max="16384" width="11.5" style="1"/>
  </cols>
  <sheetData>
    <row r="2" spans="2:18" ht="19" x14ac:dyDescent="0.25">
      <c r="D2" s="39" t="s">
        <v>24</v>
      </c>
      <c r="F2" s="5"/>
      <c r="G2" s="5"/>
      <c r="H2" s="3"/>
      <c r="I2" s="3"/>
    </row>
    <row r="3" spans="2:18" ht="19.5" customHeight="1" x14ac:dyDescent="0.2">
      <c r="B3" s="2"/>
      <c r="E3" s="40" t="s">
        <v>20</v>
      </c>
      <c r="F3" s="5"/>
      <c r="G3" s="5"/>
      <c r="H3" s="3"/>
      <c r="I3" s="3"/>
    </row>
    <row r="5" spans="2:18" ht="15" x14ac:dyDescent="0.2">
      <c r="B5" s="16"/>
      <c r="C5" s="41" t="s">
        <v>0</v>
      </c>
      <c r="D5" s="41"/>
      <c r="E5" s="65" t="s">
        <v>1</v>
      </c>
      <c r="F5" s="65"/>
      <c r="G5" s="56"/>
      <c r="H5" s="43" t="s">
        <v>2</v>
      </c>
      <c r="I5" s="17"/>
      <c r="J5" s="36" t="s">
        <v>9</v>
      </c>
      <c r="K5" s="19" t="s">
        <v>10</v>
      </c>
      <c r="L5" s="19" t="s">
        <v>11</v>
      </c>
      <c r="M5" s="19" t="s">
        <v>17</v>
      </c>
      <c r="N5" s="19" t="s">
        <v>18</v>
      </c>
    </row>
    <row r="6" spans="2:18" ht="4.5" customHeight="1" x14ac:dyDescent="0.15">
      <c r="B6" s="27"/>
      <c r="C6" s="28"/>
      <c r="D6" s="28"/>
      <c r="E6" s="28"/>
      <c r="F6" s="29"/>
      <c r="G6" s="29"/>
      <c r="H6" s="30"/>
      <c r="I6" s="30"/>
      <c r="J6" s="36"/>
      <c r="K6" s="19"/>
      <c r="L6" s="19"/>
      <c r="M6" s="19"/>
      <c r="N6" s="19"/>
    </row>
    <row r="7" spans="2:18" x14ac:dyDescent="0.15">
      <c r="B7" s="8"/>
      <c r="C7" s="4">
        <f ca="1">C11-1</f>
        <v>2020</v>
      </c>
      <c r="D7" s="4"/>
      <c r="E7" s="22" t="str">
        <f ca="1">CHOOSE(WEEKDAY(F7),"x","M","Tu","W","Th","F")</f>
        <v>F</v>
      </c>
      <c r="F7" s="31">
        <f ca="1">IF(WEEKDAY(DATE(C7,12,25))=7,DATE(C7,12,27),IF(WEEKDAY(DATE(C7,12,25))=1,DATE(C7,12,26),DATE(C7,12,25)))</f>
        <v>44190</v>
      </c>
      <c r="G7" s="31"/>
      <c r="H7" s="1" t="str">
        <f ca="1">"Christmas Day"&amp;IF(DAY(F7)=25,"","  (obs.)")</f>
        <v>Christmas Day</v>
      </c>
      <c r="I7" s="8"/>
      <c r="J7" s="37" t="str">
        <f ca="1">IF(DAY(F7)=25,"","(observed)")</f>
        <v/>
      </c>
      <c r="K7" s="18"/>
      <c r="L7" s="18"/>
      <c r="M7" s="18">
        <f ca="1">ROUNDUP(MONTH(F7)/3,0)</f>
        <v>4</v>
      </c>
      <c r="N7" s="18"/>
    </row>
    <row r="8" spans="2:18" x14ac:dyDescent="0.15">
      <c r="B8" s="8"/>
      <c r="C8" s="9"/>
      <c r="D8" s="9"/>
      <c r="E8" s="22" t="str">
        <f t="shared" ref="E8:E32" ca="1" si="0">CHOOSE(WEEKDAY(F8),"x","M","Tu","W","Th","F")</f>
        <v>M</v>
      </c>
      <c r="F8" s="31">
        <f ca="1">_xlfn.IFS(WEEKDAY(DATE(C7,12,26))=7,DATE(C7,12,28),WEEKDAY(DATE(C7,12,26))=1,DATE(C7,12,28),WEEKDAY(DATE(C7,12,26))=2,DATE(C7,12,27),TRUE,DATE(C7,12,26))</f>
        <v>44193</v>
      </c>
      <c r="G8" s="31"/>
      <c r="H8" s="1" t="str">
        <f ca="1">"Boxing Day"&amp;IF(DAY(F8)=26,"","  (obs.)")</f>
        <v>Boxing Day  (obs.)</v>
      </c>
      <c r="I8" s="8"/>
      <c r="J8" s="37" t="str">
        <f ca="1">IF(DAY(F8)=26,"","(observed)")</f>
        <v>(observed)</v>
      </c>
      <c r="K8" s="18"/>
      <c r="L8" s="18"/>
      <c r="M8" s="18">
        <f ca="1">ROUNDUP(MONTH(F8)/3,0)</f>
        <v>4</v>
      </c>
      <c r="N8" s="18"/>
    </row>
    <row r="9" spans="2:18" x14ac:dyDescent="0.15">
      <c r="B9" s="8"/>
      <c r="C9" s="9"/>
      <c r="D9" s="9"/>
      <c r="E9" s="23"/>
      <c r="F9" s="32"/>
      <c r="G9" s="32"/>
      <c r="H9" s="10"/>
      <c r="I9" s="10"/>
      <c r="J9" s="37"/>
      <c r="K9" s="19"/>
      <c r="L9" s="19"/>
      <c r="M9" s="18"/>
      <c r="N9" s="18"/>
    </row>
    <row r="10" spans="2:18" x14ac:dyDescent="0.15">
      <c r="B10" s="8"/>
      <c r="C10" s="9"/>
      <c r="D10" s="9"/>
      <c r="E10" s="23"/>
      <c r="F10" s="32"/>
      <c r="G10" s="32"/>
      <c r="H10" s="10"/>
      <c r="I10" s="10"/>
      <c r="J10" s="37"/>
      <c r="K10" s="19"/>
      <c r="L10" s="19"/>
      <c r="M10" s="20" t="s">
        <v>19</v>
      </c>
      <c r="N10" s="21">
        <f ca="1">MIN(N11:N21)</f>
        <v>46</v>
      </c>
    </row>
    <row r="11" spans="2:18" x14ac:dyDescent="0.15">
      <c r="C11" s="4">
        <f ca="1">YEAR(TODAY())</f>
        <v>2021</v>
      </c>
      <c r="D11" s="4"/>
      <c r="E11" s="22" t="str">
        <f t="shared" ca="1" si="0"/>
        <v>F</v>
      </c>
      <c r="F11" s="31">
        <f ca="1">_xlfn.IFS(WEEKDAY(DATE(C11,1,1))=1,DATE(C11,1,2),WEEKDAY(DATE(C11,1,1))=7,DATE(C11,1,3),TRUE,DATE(C11,1,1))</f>
        <v>44197</v>
      </c>
      <c r="G11" s="31"/>
      <c r="H11" s="1" t="str">
        <f ca="1">"New Year's Day"&amp;IF(DAY(F11)=1,"","  (obs.)")</f>
        <v>New Year's Day</v>
      </c>
      <c r="I11" s="8"/>
      <c r="J11" s="37" t="str">
        <f ca="1">IF(DAY(F11)=1,"","(observed)")</f>
        <v/>
      </c>
      <c r="M11" s="18">
        <f t="shared" ref="M11:M18" ca="1" si="1">ROUNDUP(MONTH(F11)/3,0)</f>
        <v>1</v>
      </c>
      <c r="N11" s="18">
        <f ca="1">IF(F11-TODAY()&lt;0,999,F11-TODAY())</f>
        <v>999</v>
      </c>
      <c r="R11" s="11"/>
    </row>
    <row r="12" spans="2:18" x14ac:dyDescent="0.15">
      <c r="D12" s="8"/>
      <c r="E12" s="25" t="str">
        <f t="shared" ca="1" si="0"/>
        <v>F</v>
      </c>
      <c r="F12" s="34">
        <f ca="1">FLOOR("5/"&amp;DAY(MINUTE(C11/38)/2+56)&amp;"/"&amp;C11,7)-36</f>
        <v>44288</v>
      </c>
      <c r="G12" s="34"/>
      <c r="H12" s="8" t="s">
        <v>5</v>
      </c>
      <c r="I12" s="8"/>
      <c r="J12" s="37"/>
      <c r="K12" s="18"/>
      <c r="L12" s="18"/>
      <c r="M12" s="18">
        <f t="shared" ca="1" si="1"/>
        <v>2</v>
      </c>
      <c r="N12" s="18">
        <f t="shared" ref="N12:N21" ca="1" si="2">IF(F12-TODAY()&lt;0,999,F12-TODAY())</f>
        <v>46</v>
      </c>
      <c r="R12" s="11"/>
    </row>
    <row r="13" spans="2:18" x14ac:dyDescent="0.15">
      <c r="D13" s="8"/>
      <c r="E13" s="25" t="str">
        <f t="shared" ca="1" si="0"/>
        <v>M</v>
      </c>
      <c r="F13" s="34">
        <f ca="1">F12+3</f>
        <v>44291</v>
      </c>
      <c r="G13" s="34"/>
      <c r="H13" s="45" t="s">
        <v>25</v>
      </c>
      <c r="I13" s="8"/>
      <c r="J13" s="37"/>
      <c r="K13" s="18"/>
      <c r="L13" s="18"/>
      <c r="M13" s="18">
        <f t="shared" ca="1" si="1"/>
        <v>2</v>
      </c>
      <c r="N13" s="18">
        <f t="shared" ca="1" si="2"/>
        <v>49</v>
      </c>
      <c r="R13" s="11"/>
    </row>
    <row r="14" spans="2:18" x14ac:dyDescent="0.15">
      <c r="D14" s="8"/>
      <c r="E14" s="25" t="str">
        <f ca="1">CHOOSE(WEEKDAY(F14),"x","M","Tu","W","Th","F")</f>
        <v>M</v>
      </c>
      <c r="F14" s="34">
        <f ca="1">DATE(C11,5,8)-WEEKDAY(DATE(C11,5,8-2))</f>
        <v>44319</v>
      </c>
      <c r="G14" s="34"/>
      <c r="H14" s="45" t="s">
        <v>26</v>
      </c>
      <c r="I14" s="8"/>
      <c r="J14" s="37"/>
      <c r="K14" s="18"/>
      <c r="L14" s="18"/>
      <c r="M14" s="18">
        <f t="shared" ca="1" si="1"/>
        <v>2</v>
      </c>
      <c r="N14" s="18">
        <f t="shared" ca="1" si="2"/>
        <v>77</v>
      </c>
      <c r="R14" s="11"/>
    </row>
    <row r="15" spans="2:18" x14ac:dyDescent="0.15">
      <c r="D15" s="13"/>
      <c r="E15" s="24" t="str">
        <f t="shared" ca="1" si="0"/>
        <v>M</v>
      </c>
      <c r="F15" s="33">
        <f ca="1">DATE(C11,6,8)-WEEKDAY(DATE(C11,6,8-2))-7</f>
        <v>44347</v>
      </c>
      <c r="G15" s="33"/>
      <c r="H15" s="57" t="s">
        <v>27</v>
      </c>
      <c r="I15" s="8"/>
      <c r="J15" s="37" t="s">
        <v>16</v>
      </c>
      <c r="K15" s="18"/>
      <c r="L15" s="18"/>
      <c r="M15" s="18">
        <f t="shared" ca="1" si="1"/>
        <v>2</v>
      </c>
      <c r="N15" s="18">
        <f t="shared" ca="1" si="2"/>
        <v>105</v>
      </c>
      <c r="R15" s="11"/>
    </row>
    <row r="16" spans="2:18" x14ac:dyDescent="0.15">
      <c r="D16" s="13"/>
      <c r="E16" s="24" t="str">
        <f t="shared" ca="1" si="0"/>
        <v>M</v>
      </c>
      <c r="F16" s="33">
        <f ca="1">DATE(C11,9,8)-WEEKDAY(DATE(C11,9,8-2))-7</f>
        <v>44438</v>
      </c>
      <c r="G16" s="33"/>
      <c r="H16" s="57" t="s">
        <v>28</v>
      </c>
      <c r="I16" s="8"/>
      <c r="J16" s="37" t="s">
        <v>15</v>
      </c>
      <c r="K16" s="18">
        <v>1</v>
      </c>
      <c r="L16" s="18">
        <v>2</v>
      </c>
      <c r="M16" s="18">
        <f t="shared" ca="1" si="1"/>
        <v>3</v>
      </c>
      <c r="N16" s="18">
        <f t="shared" ca="1" si="2"/>
        <v>196</v>
      </c>
      <c r="R16" s="11"/>
    </row>
    <row r="17" spans="3:18" x14ac:dyDescent="0.15">
      <c r="E17" s="22" t="str">
        <f t="shared" ca="1" si="0"/>
        <v>M</v>
      </c>
      <c r="F17" s="31">
        <f ca="1">IF(WEEKDAY(DATE(C11,12,25))=7,DATE(C11,12,27),IF(WEEKDAY(DATE(C11,12,25))=1,DATE(C11,12,26),DATE(C11,12,25)))</f>
        <v>44557</v>
      </c>
      <c r="G17" s="31"/>
      <c r="H17" s="1" t="str">
        <f ca="1">"Christmas Day"&amp;IF(DAY(F17)=25,"","  (obs.)")</f>
        <v>Christmas Day  (obs.)</v>
      </c>
      <c r="I17" s="8"/>
      <c r="J17" s="37" t="str">
        <f ca="1">IF(DAY(F17)=25,"","(observed)")</f>
        <v>(observed)</v>
      </c>
      <c r="K17" s="18">
        <v>4</v>
      </c>
      <c r="L17" s="18">
        <v>5</v>
      </c>
      <c r="M17" s="18">
        <f t="shared" ca="1" si="1"/>
        <v>4</v>
      </c>
      <c r="N17" s="18">
        <f t="shared" ca="1" si="2"/>
        <v>315</v>
      </c>
      <c r="R17" s="11"/>
    </row>
    <row r="18" spans="3:18" x14ac:dyDescent="0.15">
      <c r="E18" s="22" t="str">
        <f t="shared" ca="1" si="0"/>
        <v>Tu</v>
      </c>
      <c r="F18" s="31">
        <f ca="1">_xlfn.IFS(WEEKDAY(DATE(C11,12,26))=7,DATE(C11,12,28),WEEKDAY(DATE(C11,12,26))=1,DATE(C11,12,28),WEEKDAY(DATE(C11,12,26))=2,DATE(C11,12,27),TRUE,DATE(C11,12,26))</f>
        <v>44558</v>
      </c>
      <c r="G18" s="31"/>
      <c r="H18" s="1" t="str">
        <f ca="1">"Boxing Day"&amp;IF(DAY(F18)=26,"","  (obs.)")</f>
        <v>Boxing Day  (obs.)</v>
      </c>
      <c r="I18" s="8"/>
      <c r="J18" s="37" t="str">
        <f ca="1">IF(DAY(F18)=26,"","(observed)")</f>
        <v>(observed)</v>
      </c>
      <c r="K18" s="18"/>
      <c r="L18" s="18"/>
      <c r="M18" s="18">
        <f t="shared" ca="1" si="1"/>
        <v>4</v>
      </c>
      <c r="N18" s="18">
        <f t="shared" ca="1" si="2"/>
        <v>316</v>
      </c>
      <c r="R18" s="11"/>
    </row>
    <row r="19" spans="3:18" x14ac:dyDescent="0.15">
      <c r="E19" s="22"/>
      <c r="F19" s="31"/>
      <c r="G19" s="31"/>
      <c r="I19" s="8"/>
      <c r="J19" s="37"/>
      <c r="K19" s="18"/>
      <c r="L19" s="18"/>
      <c r="M19" s="18"/>
      <c r="N19" s="18"/>
      <c r="R19" s="11"/>
    </row>
    <row r="20" spans="3:18" x14ac:dyDescent="0.15">
      <c r="E20" s="22"/>
      <c r="F20" s="31"/>
      <c r="G20" s="31"/>
      <c r="I20" s="8"/>
      <c r="J20" s="37"/>
      <c r="K20" s="18"/>
      <c r="L20" s="18"/>
      <c r="M20" s="18"/>
      <c r="N20" s="18"/>
      <c r="R20" s="11"/>
    </row>
    <row r="21" spans="3:18" x14ac:dyDescent="0.15">
      <c r="C21" s="4">
        <f ca="1">C11+1</f>
        <v>2022</v>
      </c>
      <c r="D21" s="4"/>
      <c r="E21" s="22" t="str">
        <f t="shared" ca="1" si="0"/>
        <v>M</v>
      </c>
      <c r="F21" s="31">
        <f ca="1">_xlfn.IFS(WEEKDAY(DATE(C21,1,1))=1,DATE(C21,1,2),WEEKDAY(DATE(C21,1,1))=7,DATE(C21,1,3),TRUE,DATE(C21,1,1))</f>
        <v>44564</v>
      </c>
      <c r="G21" s="31"/>
      <c r="H21" s="1" t="str">
        <f ca="1">"New Year's Day"&amp;IF(DAY(F21)=1,"","  (obs.)")</f>
        <v>New Year's Day  (obs.)</v>
      </c>
      <c r="I21" s="8"/>
      <c r="J21" s="37" t="str">
        <f ca="1">IF(DAY(F21)=1,"","(observed)")</f>
        <v>(observed)</v>
      </c>
      <c r="M21" s="18">
        <f t="shared" ref="M21:M28" ca="1" si="3">ROUNDUP(MONTH(F21)/3,0)</f>
        <v>1</v>
      </c>
      <c r="N21" s="18">
        <f t="shared" ca="1" si="2"/>
        <v>322</v>
      </c>
      <c r="R21" s="11"/>
    </row>
    <row r="22" spans="3:18" x14ac:dyDescent="0.15">
      <c r="D22" s="8"/>
      <c r="E22" s="25" t="str">
        <f t="shared" ca="1" si="0"/>
        <v>F</v>
      </c>
      <c r="F22" s="34">
        <f ca="1">FLOOR("5/"&amp;DAY(MINUTE(C21/38)/2+56)&amp;"/"&amp;C21,7)-36</f>
        <v>44666</v>
      </c>
      <c r="G22" s="34"/>
      <c r="H22" s="8" t="s">
        <v>5</v>
      </c>
      <c r="I22" s="8"/>
      <c r="J22" s="37"/>
      <c r="K22" s="18"/>
      <c r="L22" s="18"/>
      <c r="M22" s="18">
        <f t="shared" ca="1" si="3"/>
        <v>2</v>
      </c>
      <c r="N22" s="18"/>
      <c r="R22" s="11"/>
    </row>
    <row r="23" spans="3:18" x14ac:dyDescent="0.15">
      <c r="D23" s="8"/>
      <c r="E23" s="25" t="str">
        <f t="shared" ca="1" si="0"/>
        <v>M</v>
      </c>
      <c r="F23" s="34">
        <f ca="1">F22+3</f>
        <v>44669</v>
      </c>
      <c r="G23" s="34"/>
      <c r="H23" s="45" t="s">
        <v>25</v>
      </c>
      <c r="I23" s="8"/>
      <c r="J23" s="37"/>
      <c r="K23" s="18"/>
      <c r="L23" s="18"/>
      <c r="M23" s="18">
        <f t="shared" ca="1" si="3"/>
        <v>2</v>
      </c>
      <c r="N23" s="18"/>
      <c r="R23" s="11"/>
    </row>
    <row r="24" spans="3:18" x14ac:dyDescent="0.15">
      <c r="D24" s="8"/>
      <c r="E24" s="59" t="str">
        <f ca="1">CHOOSE(WEEKDAY(F24),"x","M","Tu","W","Th","F")</f>
        <v>M</v>
      </c>
      <c r="F24" s="34">
        <f ca="1">DATE(C21,5,8)-WEEKDAY(DATE(C21,5,8-2))</f>
        <v>44683</v>
      </c>
      <c r="G24" s="34"/>
      <c r="H24" s="45" t="s">
        <v>26</v>
      </c>
      <c r="I24" s="8"/>
      <c r="J24" s="37" t="s">
        <v>16</v>
      </c>
      <c r="K24" s="18"/>
      <c r="L24" s="18"/>
      <c r="M24" s="18">
        <f t="shared" ca="1" si="3"/>
        <v>2</v>
      </c>
      <c r="N24" s="18"/>
      <c r="R24" s="11"/>
    </row>
    <row r="25" spans="3:18" x14ac:dyDescent="0.15">
      <c r="D25" s="13"/>
      <c r="E25" s="58" t="str">
        <f ca="1">CHOOSE(WEEKDAY(F26),"x","M","Tu","W","Th","F")</f>
        <v>M</v>
      </c>
      <c r="F25" s="33">
        <f ca="1">DATE(C21,6,8)-WEEKDAY(DATE(C21,6,8-2))-7</f>
        <v>44711</v>
      </c>
      <c r="G25" s="33"/>
      <c r="H25" s="57" t="s">
        <v>27</v>
      </c>
      <c r="I25" s="8"/>
      <c r="J25" s="37" t="str">
        <f ca="1">IF(DAY(F25)=4,"","(observed)")</f>
        <v>(observed)</v>
      </c>
      <c r="K25" s="18"/>
      <c r="L25" s="18"/>
      <c r="M25" s="18">
        <f t="shared" ca="1" si="3"/>
        <v>2</v>
      </c>
      <c r="N25" s="18"/>
      <c r="R25" s="11"/>
    </row>
    <row r="26" spans="3:18" x14ac:dyDescent="0.15">
      <c r="D26" s="13"/>
      <c r="E26" s="60" t="str">
        <f ca="1">CHOOSE(WEEKDAY(F27),"x","M","Tu","W","Th","F")</f>
        <v>M</v>
      </c>
      <c r="F26" s="35">
        <f ca="1">DATE(C21,9,8)-WEEKDAY(DATE(C21,9,8-2))-7</f>
        <v>44802</v>
      </c>
      <c r="G26" s="35"/>
      <c r="H26" s="61" t="s">
        <v>28</v>
      </c>
      <c r="I26" s="8"/>
      <c r="J26" s="37" t="s">
        <v>15</v>
      </c>
      <c r="K26" s="18">
        <v>1</v>
      </c>
      <c r="L26" s="18">
        <v>2</v>
      </c>
      <c r="M26" s="18">
        <f t="shared" ca="1" si="3"/>
        <v>3</v>
      </c>
      <c r="N26" s="18"/>
      <c r="R26" s="11"/>
    </row>
    <row r="27" spans="3:18" x14ac:dyDescent="0.15">
      <c r="E27" s="22" t="str">
        <f t="shared" ca="1" si="0"/>
        <v>M</v>
      </c>
      <c r="F27" s="31">
        <f ca="1">IF(WEEKDAY(DATE(C21,12,25))=7,DATE(C21,12,27),IF(WEEKDAY(DATE(C21,12,25))=1,DATE(C21,12,26),DATE(C21,12,25)))</f>
        <v>44921</v>
      </c>
      <c r="G27" s="31"/>
      <c r="H27" s="1" t="str">
        <f ca="1">"Christmas Day"&amp;IF(DAY(F27)=25,"","  (obs.)")</f>
        <v>Christmas Day  (obs.)</v>
      </c>
      <c r="I27" s="8"/>
      <c r="J27" s="37" t="str">
        <f ca="1">IF(DAY(F27)=25,"","(observed)")</f>
        <v>(observed)</v>
      </c>
      <c r="K27" s="18">
        <v>4</v>
      </c>
      <c r="L27" s="18">
        <v>5</v>
      </c>
      <c r="M27" s="18">
        <f t="shared" ca="1" si="3"/>
        <v>4</v>
      </c>
      <c r="N27" s="18"/>
      <c r="R27" s="11"/>
    </row>
    <row r="28" spans="3:18" x14ac:dyDescent="0.15">
      <c r="E28" s="22" t="str">
        <f t="shared" ca="1" si="0"/>
        <v>Tu</v>
      </c>
      <c r="F28" s="31">
        <f ca="1">_xlfn.IFS(WEEKDAY(DATE(C21,12,26))=7,DATE(C21,12,28),WEEKDAY(DATE(C21,12,26))=1,DATE(C21,12,28),WEEKDAY(DATE(C21,12,26))=2,DATE(C21,12,27),TRUE,DATE(C21,12,26))</f>
        <v>44922</v>
      </c>
      <c r="G28" s="31"/>
      <c r="H28" s="1" t="str">
        <f ca="1">"Boxing Day"&amp;IF(DAY(F28)=26,"","  (obs.)")</f>
        <v>Boxing Day  (obs.)</v>
      </c>
      <c r="I28" s="8"/>
      <c r="J28" s="37" t="str">
        <f ca="1">IF(DAY(F28)=26,"","(observed)")</f>
        <v>(observed)</v>
      </c>
      <c r="K28" s="18"/>
      <c r="L28" s="18"/>
      <c r="M28" s="18">
        <f t="shared" ca="1" si="3"/>
        <v>4</v>
      </c>
      <c r="N28" s="18"/>
      <c r="R28" s="11"/>
    </row>
    <row r="29" spans="3:18" x14ac:dyDescent="0.15">
      <c r="E29" s="22"/>
      <c r="F29" s="31"/>
      <c r="G29" s="31"/>
      <c r="I29" s="8"/>
      <c r="J29" s="37"/>
      <c r="M29" s="18"/>
      <c r="N29" s="18"/>
      <c r="R29" s="11"/>
    </row>
    <row r="30" spans="3:18" x14ac:dyDescent="0.15">
      <c r="E30" s="22"/>
      <c r="F30" s="31"/>
      <c r="G30" s="31"/>
      <c r="I30" s="8"/>
      <c r="J30" s="37"/>
      <c r="M30" s="18"/>
      <c r="N30" s="18"/>
      <c r="R30" s="11"/>
    </row>
    <row r="31" spans="3:18" x14ac:dyDescent="0.15">
      <c r="C31" s="4">
        <f ca="1">C21+1</f>
        <v>2023</v>
      </c>
      <c r="D31" s="4"/>
      <c r="E31" s="22" t="str">
        <f t="shared" ca="1" si="0"/>
        <v>M</v>
      </c>
      <c r="F31" s="31">
        <f ca="1">_xlfn.IFS(WEEKDAY(DATE(C31,1,1))=1,DATE(C31,1,2),WEEKDAY(DATE(C31,1,1))=7,DATE(C31,1,3),TRUE,DATE(C31,1,1))</f>
        <v>44928</v>
      </c>
      <c r="G31" s="31"/>
      <c r="H31" s="1" t="str">
        <f ca="1">"New Year's Day"&amp;IF(DAY(F31)=1,"","  (obs.)")</f>
        <v>New Year's Day  (obs.)</v>
      </c>
      <c r="I31" s="8"/>
      <c r="J31" s="37" t="str">
        <f ca="1">IF(DAY(F31)=1,"","(observed)")</f>
        <v>(observed)</v>
      </c>
      <c r="M31" s="18">
        <f ca="1">ROUNDUP(MONTH(F31)/3,0)</f>
        <v>1</v>
      </c>
      <c r="N31" s="18"/>
      <c r="R31" s="11"/>
    </row>
    <row r="32" spans="3:18" x14ac:dyDescent="0.15">
      <c r="E32" s="22" t="str">
        <f t="shared" ca="1" si="0"/>
        <v>F</v>
      </c>
      <c r="F32" s="31">
        <f ca="1">FLOOR("5/"&amp;DAY(MINUTE(C31/38)/2+56)&amp;"/"&amp;C31,7)-36</f>
        <v>45023</v>
      </c>
      <c r="G32" s="31"/>
      <c r="H32" s="11" t="s">
        <v>5</v>
      </c>
      <c r="I32" s="8"/>
      <c r="M32" s="18">
        <f ca="1">ROUNDUP(MONTH(F32)/3,0)</f>
        <v>2</v>
      </c>
      <c r="R32" s="11"/>
    </row>
    <row r="33" spans="3:8" x14ac:dyDescent="0.15">
      <c r="E33" s="22" t="str">
        <f ca="1">CHOOSE(WEEKDAY(F33),"x","M","Tu","W","Th","F")</f>
        <v>M</v>
      </c>
      <c r="F33" s="31">
        <f ca="1">F32+3</f>
        <v>45026</v>
      </c>
      <c r="G33" s="31"/>
      <c r="H33" s="11" t="s">
        <v>25</v>
      </c>
    </row>
    <row r="37" spans="3:8" x14ac:dyDescent="0.15">
      <c r="C37" s="15" t="b">
        <v>1</v>
      </c>
    </row>
  </sheetData>
  <mergeCells count="1">
    <mergeCell ref="E5:F5"/>
  </mergeCells>
  <conditionalFormatting sqref="E32:I32 E33">
    <cfRule type="expression" dxfId="12" priority="16">
      <formula>$M$32=2</formula>
    </cfRule>
  </conditionalFormatting>
  <conditionalFormatting sqref="H8 H11 H25">
    <cfRule type="containsText" dxfId="11" priority="13" operator="containsText" text="obs">
      <formula>NOT(ISERROR(SEARCH("obs",H8)))</formula>
    </cfRule>
  </conditionalFormatting>
  <conditionalFormatting sqref="D22:H23 D12:H14">
    <cfRule type="expression" dxfId="10" priority="14">
      <formula>$M12&lt;&gt;$M11</formula>
    </cfRule>
    <cfRule type="expression" dxfId="9" priority="15">
      <formula>$M12=1</formula>
    </cfRule>
  </conditionalFormatting>
  <conditionalFormatting sqref="H31">
    <cfRule type="containsText" dxfId="8" priority="2" operator="containsText" text="obs">
      <formula>NOT(ISERROR(SEARCH("obs",H31)))</formula>
    </cfRule>
  </conditionalFormatting>
  <conditionalFormatting sqref="H7">
    <cfRule type="containsText" dxfId="7" priority="12" operator="containsText" text="obs">
      <formula>NOT(ISERROR(SEARCH("obs",H7)))</formula>
    </cfRule>
  </conditionalFormatting>
  <conditionalFormatting sqref="H18">
    <cfRule type="containsText" dxfId="6" priority="11" operator="containsText" text="obs">
      <formula>NOT(ISERROR(SEARCH("obs",H18)))</formula>
    </cfRule>
  </conditionalFormatting>
  <conditionalFormatting sqref="H17">
    <cfRule type="containsText" dxfId="5" priority="10" operator="containsText" text="obs">
      <formula>NOT(ISERROR(SEARCH("obs",H17)))</formula>
    </cfRule>
  </conditionalFormatting>
  <conditionalFormatting sqref="H28">
    <cfRule type="containsText" dxfId="4" priority="7" operator="containsText" text="obs">
      <formula>NOT(ISERROR(SEARCH("obs",H28)))</formula>
    </cfRule>
  </conditionalFormatting>
  <conditionalFormatting sqref="H27">
    <cfRule type="containsText" dxfId="3" priority="6" operator="containsText" text="obs">
      <formula>NOT(ISERROR(SEARCH("obs",H27)))</formula>
    </cfRule>
  </conditionalFormatting>
  <conditionalFormatting sqref="H21">
    <cfRule type="containsText" dxfId="2" priority="4" operator="containsText" text="obs">
      <formula>NOT(ISERROR(SEARCH("obs",H21)))</formula>
    </cfRule>
  </conditionalFormatting>
  <conditionalFormatting sqref="D11:H21">
    <cfRule type="expression" dxfId="1" priority="21">
      <formula>AND($N11=$N$10,$C$37)</formula>
    </cfRule>
  </conditionalFormatting>
  <conditionalFormatting sqref="F33:H33">
    <cfRule type="expression" dxfId="0" priority="1">
      <formula>$M$32=2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how Next Holiday">
              <controlPr defaultSize="0" print="0" autoFill="0" autoLine="0" autoPict="0" altText="Show Next Holiday">
                <anchor moveWithCells="1">
                  <from>
                    <xdr:col>3</xdr:col>
                    <xdr:colOff>127000</xdr:colOff>
                    <xdr:row>35</xdr:row>
                    <xdr:rowOff>101600</xdr:rowOff>
                  </from>
                  <to>
                    <xdr:col>7</xdr:col>
                    <xdr:colOff>787400</xdr:colOff>
                    <xdr:row>37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NYSE</vt:lpstr>
      <vt:lpstr>FRB</vt:lpstr>
      <vt:lpstr>UK</vt:lpstr>
    </vt:vector>
  </TitlesOfParts>
  <Company>Freeman Associates Investment Management,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Petry</dc:creator>
  <cp:lastModifiedBy>Microsoft Office User</cp:lastModifiedBy>
  <dcterms:created xsi:type="dcterms:W3CDTF">2005-04-06T20:43:47Z</dcterms:created>
  <dcterms:modified xsi:type="dcterms:W3CDTF">2021-02-15T18:47:38Z</dcterms:modified>
</cp:coreProperties>
</file>