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0" windowWidth="28800" windowHeight="11835"/>
  </bookViews>
  <sheets>
    <sheet name="бюджет 23 старт" sheetId="9" r:id="rId1"/>
    <sheet name="сменяемость" sheetId="11" r:id="rId2"/>
  </sheets>
  <calcPr calcId="152511"/>
</workbook>
</file>

<file path=xl/calcChain.xml><?xml version="1.0" encoding="utf-8"?>
<calcChain xmlns="http://schemas.openxmlformats.org/spreadsheetml/2006/main">
  <c r="D92" i="11" l="1"/>
  <c r="I87" i="11"/>
  <c r="I85" i="11"/>
  <c r="J77" i="11"/>
  <c r="F77" i="11"/>
  <c r="J76" i="11"/>
  <c r="F76" i="11"/>
  <c r="J75" i="11"/>
  <c r="I75" i="11"/>
  <c r="K75" i="11" s="1"/>
  <c r="F75" i="11"/>
  <c r="C75" i="11"/>
  <c r="E75" i="11" s="1"/>
  <c r="G75" i="11" s="1"/>
  <c r="J74" i="11"/>
  <c r="F74" i="11"/>
  <c r="C74" i="11"/>
  <c r="J73" i="11"/>
  <c r="I73" i="11"/>
  <c r="K73" i="11" s="1"/>
  <c r="F73" i="11"/>
  <c r="C73" i="11"/>
  <c r="J72" i="11"/>
  <c r="F72" i="11"/>
  <c r="C72" i="11"/>
  <c r="E72" i="11" s="1"/>
  <c r="G72" i="11" s="1"/>
  <c r="J71" i="11"/>
  <c r="F71" i="11"/>
  <c r="C71" i="11"/>
  <c r="E71" i="11" s="1"/>
  <c r="G71" i="11" s="1"/>
  <c r="C70" i="11"/>
  <c r="C69" i="11"/>
  <c r="I68" i="11"/>
  <c r="I88" i="11" s="1"/>
  <c r="G68" i="11"/>
  <c r="G88" i="11" s="1"/>
  <c r="E68" i="11"/>
  <c r="E88" i="11" s="1"/>
  <c r="C68" i="11"/>
  <c r="F84" i="11" s="1"/>
  <c r="I67" i="11"/>
  <c r="I76" i="11" s="1"/>
  <c r="K76" i="11" s="1"/>
  <c r="G67" i="11"/>
  <c r="E67" i="11"/>
  <c r="C67" i="11"/>
  <c r="C80" i="11" s="1"/>
  <c r="I66" i="11"/>
  <c r="I86" i="11" s="1"/>
  <c r="G66" i="11"/>
  <c r="E66" i="11"/>
  <c r="C66" i="11"/>
  <c r="C79" i="11" s="1"/>
  <c r="I65" i="11"/>
  <c r="I74" i="11" s="1"/>
  <c r="K74" i="11" s="1"/>
  <c r="H65" i="11"/>
  <c r="G65" i="11"/>
  <c r="E65" i="11"/>
  <c r="C65" i="11"/>
  <c r="C78" i="11" s="1"/>
  <c r="I64" i="11"/>
  <c r="I84" i="11" s="1"/>
  <c r="G64" i="11"/>
  <c r="F64" i="11"/>
  <c r="E64" i="11"/>
  <c r="D64" i="11"/>
  <c r="C64" i="11"/>
  <c r="C77" i="11" s="1"/>
  <c r="I63" i="11"/>
  <c r="I72" i="11" s="1"/>
  <c r="K72" i="11" s="1"/>
  <c r="G63" i="11"/>
  <c r="E63" i="11"/>
  <c r="C63" i="11"/>
  <c r="C76" i="11" s="1"/>
  <c r="B63" i="11"/>
  <c r="I62" i="11"/>
  <c r="I71" i="11" s="1"/>
  <c r="K71" i="11" s="1"/>
  <c r="G62" i="11"/>
  <c r="E62" i="11"/>
  <c r="C62" i="11"/>
  <c r="H59" i="11"/>
  <c r="F59" i="11"/>
  <c r="D59" i="11"/>
  <c r="B59" i="11"/>
  <c r="D91" i="11" s="1"/>
  <c r="K55" i="11"/>
  <c r="M55" i="11" s="1"/>
  <c r="N55" i="11" s="1"/>
  <c r="H55" i="11"/>
  <c r="F55" i="11"/>
  <c r="D55" i="11"/>
  <c r="B55" i="11"/>
  <c r="J55" i="11" s="1"/>
  <c r="L55" i="11" s="1"/>
  <c r="K54" i="11"/>
  <c r="M54" i="11" s="1"/>
  <c r="J54" i="11"/>
  <c r="L54" i="11" s="1"/>
  <c r="H54" i="11"/>
  <c r="F54" i="11"/>
  <c r="D54" i="11"/>
  <c r="B54" i="11"/>
  <c r="K53" i="11"/>
  <c r="K66" i="11" s="1"/>
  <c r="H53" i="11"/>
  <c r="F53" i="11"/>
  <c r="F66" i="11" s="1"/>
  <c r="D53" i="11"/>
  <c r="B53" i="11"/>
  <c r="J53" i="11" s="1"/>
  <c r="L53" i="11" s="1"/>
  <c r="K52" i="11"/>
  <c r="H52" i="11"/>
  <c r="F52" i="11"/>
  <c r="D52" i="11"/>
  <c r="B52" i="11"/>
  <c r="J52" i="11" s="1"/>
  <c r="L52" i="11" s="1"/>
  <c r="K51" i="11"/>
  <c r="J51" i="11"/>
  <c r="L51" i="11" s="1"/>
  <c r="H51" i="11"/>
  <c r="B51" i="11"/>
  <c r="K50" i="11"/>
  <c r="H50" i="11"/>
  <c r="H63" i="11" s="1"/>
  <c r="F50" i="11"/>
  <c r="D50" i="11"/>
  <c r="B50" i="11"/>
  <c r="J50" i="11" s="1"/>
  <c r="L50" i="11" s="1"/>
  <c r="K49" i="11"/>
  <c r="H49" i="11"/>
  <c r="F49" i="11"/>
  <c r="D49" i="11"/>
  <c r="J49" i="11" s="1"/>
  <c r="L49" i="11" s="1"/>
  <c r="B49" i="11"/>
  <c r="J46" i="11"/>
  <c r="M52" i="11" s="1"/>
  <c r="K42" i="11"/>
  <c r="H42" i="11"/>
  <c r="F42" i="11"/>
  <c r="D42" i="11"/>
  <c r="J42" i="11" s="1"/>
  <c r="L42" i="11" s="1"/>
  <c r="B42" i="11"/>
  <c r="K41" i="11"/>
  <c r="H41" i="11"/>
  <c r="F41" i="11"/>
  <c r="F67" i="11" s="1"/>
  <c r="D41" i="11"/>
  <c r="B41" i="11"/>
  <c r="K40" i="11"/>
  <c r="M40" i="11" s="1"/>
  <c r="H40" i="11"/>
  <c r="F40" i="11"/>
  <c r="D40" i="11"/>
  <c r="B40" i="11"/>
  <c r="J40" i="11" s="1"/>
  <c r="L40" i="11" s="1"/>
  <c r="K39" i="11"/>
  <c r="M39" i="11" s="1"/>
  <c r="J39" i="11"/>
  <c r="L39" i="11" s="1"/>
  <c r="H39" i="11"/>
  <c r="F39" i="11"/>
  <c r="D39" i="11"/>
  <c r="B39" i="11"/>
  <c r="K38" i="11"/>
  <c r="K64" i="11" s="1"/>
  <c r="H38" i="11"/>
  <c r="B38" i="11"/>
  <c r="J38" i="11" s="1"/>
  <c r="L38" i="11" s="1"/>
  <c r="K37" i="11"/>
  <c r="M37" i="11" s="1"/>
  <c r="N37" i="11" s="1"/>
  <c r="J37" i="11"/>
  <c r="L37" i="11" s="1"/>
  <c r="H37" i="11"/>
  <c r="F37" i="11"/>
  <c r="D37" i="11"/>
  <c r="B37" i="11"/>
  <c r="K36" i="11"/>
  <c r="M36" i="11" s="1"/>
  <c r="N36" i="11" s="1"/>
  <c r="H36" i="11"/>
  <c r="H62" i="11" s="1"/>
  <c r="F36" i="11"/>
  <c r="D36" i="11"/>
  <c r="B36" i="11"/>
  <c r="J36" i="11" s="1"/>
  <c r="L36" i="11" s="1"/>
  <c r="J33" i="11"/>
  <c r="M42" i="11" s="1"/>
  <c r="N42" i="11" s="1"/>
  <c r="M29" i="11"/>
  <c r="N29" i="11" s="1"/>
  <c r="K29" i="11"/>
  <c r="J29" i="11"/>
  <c r="F29" i="11"/>
  <c r="F68" i="11" s="1"/>
  <c r="D29" i="11"/>
  <c r="B29" i="11"/>
  <c r="K28" i="11"/>
  <c r="M28" i="11" s="1"/>
  <c r="N28" i="11" s="1"/>
  <c r="F28" i="11"/>
  <c r="D28" i="11"/>
  <c r="D67" i="11" s="1"/>
  <c r="B28" i="11"/>
  <c r="J28" i="11" s="1"/>
  <c r="K27" i="11"/>
  <c r="J27" i="11"/>
  <c r="F27" i="11"/>
  <c r="D27" i="11"/>
  <c r="B27" i="11"/>
  <c r="K26" i="11"/>
  <c r="K65" i="11" s="1"/>
  <c r="F26" i="11"/>
  <c r="F65" i="11" s="1"/>
  <c r="D26" i="11"/>
  <c r="B26" i="11"/>
  <c r="J26" i="11" s="1"/>
  <c r="K25" i="11"/>
  <c r="M25" i="11" s="1"/>
  <c r="N25" i="11" s="1"/>
  <c r="J25" i="11"/>
  <c r="B25" i="11"/>
  <c r="B64" i="11" s="1"/>
  <c r="K24" i="11"/>
  <c r="M24" i="11" s="1"/>
  <c r="N24" i="11" s="1"/>
  <c r="F24" i="11"/>
  <c r="D24" i="11"/>
  <c r="B24" i="11"/>
  <c r="J24" i="11" s="1"/>
  <c r="M23" i="11"/>
  <c r="N23" i="11" s="1"/>
  <c r="K23" i="11"/>
  <c r="J23" i="11"/>
  <c r="F23" i="11"/>
  <c r="D23" i="11"/>
  <c r="B23" i="11"/>
  <c r="B62" i="11" s="1"/>
  <c r="J21" i="11"/>
  <c r="M27" i="11" s="1"/>
  <c r="N27" i="11" s="1"/>
  <c r="M17" i="11"/>
  <c r="N17" i="11" s="1"/>
  <c r="K17" i="11"/>
  <c r="H17" i="11"/>
  <c r="H68" i="11" s="1"/>
  <c r="F17" i="11"/>
  <c r="D17" i="11"/>
  <c r="D68" i="11" s="1"/>
  <c r="B17" i="11"/>
  <c r="B68" i="11" s="1"/>
  <c r="B77" i="11" s="1"/>
  <c r="M16" i="11"/>
  <c r="N16" i="11" s="1"/>
  <c r="K16" i="11"/>
  <c r="H16" i="11"/>
  <c r="H67" i="11" s="1"/>
  <c r="F16" i="11"/>
  <c r="D16" i="11"/>
  <c r="B16" i="11"/>
  <c r="J16" i="11" s="1"/>
  <c r="M15" i="11"/>
  <c r="N15" i="11" s="1"/>
  <c r="K15" i="11"/>
  <c r="H15" i="11"/>
  <c r="H66" i="11" s="1"/>
  <c r="F15" i="11"/>
  <c r="D15" i="11"/>
  <c r="D66" i="11" s="1"/>
  <c r="B15" i="11"/>
  <c r="B66" i="11" s="1"/>
  <c r="B75" i="11" s="1"/>
  <c r="D75" i="11" s="1"/>
  <c r="M14" i="11"/>
  <c r="N14" i="11" s="1"/>
  <c r="K14" i="11"/>
  <c r="H14" i="11"/>
  <c r="F14" i="11"/>
  <c r="D14" i="11"/>
  <c r="D65" i="11" s="1"/>
  <c r="B14" i="11"/>
  <c r="J14" i="11" s="1"/>
  <c r="J65" i="11" s="1"/>
  <c r="M13" i="11"/>
  <c r="N13" i="11" s="1"/>
  <c r="K13" i="11"/>
  <c r="J13" i="11"/>
  <c r="J64" i="11" s="1"/>
  <c r="H13" i="11"/>
  <c r="H64" i="11" s="1"/>
  <c r="B13" i="11"/>
  <c r="M12" i="11"/>
  <c r="N12" i="11" s="1"/>
  <c r="K12" i="11"/>
  <c r="K63" i="11" s="1"/>
  <c r="J12" i="11"/>
  <c r="J63" i="11" s="1"/>
  <c r="H12" i="11"/>
  <c r="F12" i="11"/>
  <c r="F63" i="11" s="1"/>
  <c r="D12" i="11"/>
  <c r="D63" i="11" s="1"/>
  <c r="B12" i="11"/>
  <c r="M11" i="11"/>
  <c r="N11" i="11" s="1"/>
  <c r="K11" i="11"/>
  <c r="K62" i="11" s="1"/>
  <c r="J11" i="11"/>
  <c r="J62" i="11" s="1"/>
  <c r="H11" i="11"/>
  <c r="F11" i="11"/>
  <c r="F62" i="11" s="1"/>
  <c r="D11" i="11"/>
  <c r="D62" i="11" s="1"/>
  <c r="B11" i="11"/>
  <c r="J8" i="11"/>
  <c r="E77" i="11" l="1"/>
  <c r="G77" i="11" s="1"/>
  <c r="D77" i="11"/>
  <c r="E92" i="11"/>
  <c r="L65" i="11"/>
  <c r="M63" i="11"/>
  <c r="B72" i="11"/>
  <c r="N40" i="11"/>
  <c r="E76" i="11"/>
  <c r="G76" i="11" s="1"/>
  <c r="D76" i="11"/>
  <c r="L62" i="11"/>
  <c r="B71" i="11"/>
  <c r="D71" i="11" s="1"/>
  <c r="B73" i="11"/>
  <c r="N54" i="11"/>
  <c r="J67" i="11"/>
  <c r="N39" i="11"/>
  <c r="N52" i="11"/>
  <c r="D73" i="11"/>
  <c r="M38" i="11"/>
  <c r="N38" i="11" s="1"/>
  <c r="J41" i="11"/>
  <c r="L41" i="11" s="1"/>
  <c r="M53" i="11"/>
  <c r="N53" i="11" s="1"/>
  <c r="J59" i="11"/>
  <c r="M65" i="11" s="1"/>
  <c r="N65" i="11" s="1"/>
  <c r="M26" i="11"/>
  <c r="N26" i="11" s="1"/>
  <c r="D72" i="11"/>
  <c r="I83" i="11"/>
  <c r="C88" i="11"/>
  <c r="B65" i="11"/>
  <c r="B74" i="11" s="1"/>
  <c r="D74" i="11" s="1"/>
  <c r="K68" i="11"/>
  <c r="I82" i="11"/>
  <c r="B67" i="11"/>
  <c r="B76" i="11" s="1"/>
  <c r="I77" i="11"/>
  <c r="K77" i="11" s="1"/>
  <c r="E84" i="11"/>
  <c r="G84" i="11" s="1"/>
  <c r="M51" i="11"/>
  <c r="N51" i="11" s="1"/>
  <c r="M41" i="11"/>
  <c r="K67" i="11"/>
  <c r="E73" i="11"/>
  <c r="G73" i="11" s="1"/>
  <c r="J15" i="11"/>
  <c r="J66" i="11" s="1"/>
  <c r="J17" i="11"/>
  <c r="J68" i="11" s="1"/>
  <c r="L68" i="11" s="1"/>
  <c r="E74" i="11"/>
  <c r="G74" i="11" s="1"/>
  <c r="M49" i="11"/>
  <c r="N49" i="11" s="1"/>
  <c r="M50" i="11"/>
  <c r="N50" i="11" s="1"/>
  <c r="D47" i="9"/>
  <c r="E47" i="9"/>
  <c r="F47" i="9"/>
  <c r="G47" i="9"/>
  <c r="H47" i="9"/>
  <c r="I47" i="9"/>
  <c r="J47" i="9"/>
  <c r="K47" i="9"/>
  <c r="L47" i="9"/>
  <c r="M47" i="9"/>
  <c r="N47" i="9"/>
  <c r="C47" i="9"/>
  <c r="D46" i="9"/>
  <c r="E46" i="9"/>
  <c r="F46" i="9"/>
  <c r="G46" i="9"/>
  <c r="H46" i="9"/>
  <c r="I46" i="9"/>
  <c r="J46" i="9"/>
  <c r="K46" i="9"/>
  <c r="L46" i="9"/>
  <c r="M46" i="9"/>
  <c r="N46" i="9"/>
  <c r="C46" i="9"/>
  <c r="D45" i="9"/>
  <c r="E45" i="9"/>
  <c r="F45" i="9"/>
  <c r="G45" i="9"/>
  <c r="H45" i="9"/>
  <c r="I45" i="9"/>
  <c r="J45" i="9"/>
  <c r="K45" i="9"/>
  <c r="L45" i="9"/>
  <c r="M45" i="9"/>
  <c r="N45" i="9"/>
  <c r="C45" i="9"/>
  <c r="D44" i="9"/>
  <c r="E44" i="9"/>
  <c r="F44" i="9"/>
  <c r="G44" i="9"/>
  <c r="H44" i="9"/>
  <c r="I44" i="9"/>
  <c r="J44" i="9"/>
  <c r="K44" i="9"/>
  <c r="L44" i="9"/>
  <c r="M44" i="9"/>
  <c r="N44" i="9"/>
  <c r="C44" i="9"/>
  <c r="D41" i="9"/>
  <c r="E41" i="9"/>
  <c r="F41" i="9"/>
  <c r="G41" i="9"/>
  <c r="H41" i="9"/>
  <c r="I41" i="9"/>
  <c r="J41" i="9"/>
  <c r="K41" i="9"/>
  <c r="L41" i="9"/>
  <c r="M41" i="9"/>
  <c r="N41" i="9"/>
  <c r="C41" i="9"/>
  <c r="D40" i="9"/>
  <c r="E40" i="9"/>
  <c r="F40" i="9"/>
  <c r="G40" i="9"/>
  <c r="H40" i="9"/>
  <c r="I40" i="9"/>
  <c r="J40" i="9"/>
  <c r="K40" i="9"/>
  <c r="L40" i="9"/>
  <c r="M40" i="9"/>
  <c r="N40" i="9"/>
  <c r="C40" i="9"/>
  <c r="D39" i="9"/>
  <c r="E39" i="9"/>
  <c r="F39" i="9"/>
  <c r="G39" i="9"/>
  <c r="H39" i="9"/>
  <c r="I39" i="9"/>
  <c r="J39" i="9"/>
  <c r="K39" i="9"/>
  <c r="L39" i="9"/>
  <c r="M39" i="9"/>
  <c r="N39" i="9"/>
  <c r="C39" i="9"/>
  <c r="D38" i="9"/>
  <c r="E38" i="9"/>
  <c r="F38" i="9"/>
  <c r="G38" i="9"/>
  <c r="H38" i="9"/>
  <c r="I38" i="9"/>
  <c r="J38" i="9"/>
  <c r="K38" i="9"/>
  <c r="L38" i="9"/>
  <c r="M38" i="9"/>
  <c r="N38" i="9"/>
  <c r="C38" i="9"/>
  <c r="D37" i="9"/>
  <c r="E37" i="9"/>
  <c r="F37" i="9"/>
  <c r="G37" i="9"/>
  <c r="H37" i="9"/>
  <c r="I37" i="9"/>
  <c r="J37" i="9"/>
  <c r="K37" i="9"/>
  <c r="L37" i="9"/>
  <c r="M37" i="9"/>
  <c r="N37" i="9"/>
  <c r="C37" i="9"/>
  <c r="L64" i="11" l="1"/>
  <c r="M64" i="11"/>
  <c r="N64" i="11" s="1"/>
  <c r="L66" i="11"/>
  <c r="L67" i="11"/>
  <c r="M68" i="11"/>
  <c r="N68" i="11" s="1"/>
  <c r="L63" i="11"/>
  <c r="N63" i="11" s="1"/>
  <c r="M62" i="11"/>
  <c r="N62" i="11" s="1"/>
  <c r="M67" i="11"/>
  <c r="N67" i="11" s="1"/>
  <c r="N41" i="11"/>
  <c r="M66" i="11"/>
  <c r="P161" i="9"/>
  <c r="O183" i="9"/>
  <c r="N66" i="11" l="1"/>
  <c r="R65" i="9"/>
  <c r="R68" i="9"/>
  <c r="R71" i="9"/>
  <c r="B208" i="9" l="1"/>
  <c r="K200" i="9"/>
  <c r="K168" i="9" s="1"/>
  <c r="I200" i="9"/>
  <c r="I168" i="9" s="1"/>
  <c r="C200" i="9"/>
  <c r="C168" i="9" s="1"/>
  <c r="O199" i="9"/>
  <c r="O198" i="9"/>
  <c r="N198" i="9"/>
  <c r="M198" i="9"/>
  <c r="M200" i="9" s="1"/>
  <c r="L198" i="9"/>
  <c r="K198" i="9"/>
  <c r="J198" i="9"/>
  <c r="I198" i="9"/>
  <c r="H198" i="9"/>
  <c r="G198" i="9"/>
  <c r="G200" i="9" s="1"/>
  <c r="G168" i="9" s="1"/>
  <c r="F198" i="9"/>
  <c r="E198" i="9"/>
  <c r="E200" i="9" s="1"/>
  <c r="E168" i="9" s="1"/>
  <c r="D198" i="9"/>
  <c r="C198" i="9"/>
  <c r="N197" i="9"/>
  <c r="N200" i="9" s="1"/>
  <c r="N168" i="9" s="1"/>
  <c r="M197" i="9"/>
  <c r="L197" i="9"/>
  <c r="L200" i="9" s="1"/>
  <c r="L168" i="9" s="1"/>
  <c r="K197" i="9"/>
  <c r="J197" i="9"/>
  <c r="J200" i="9" s="1"/>
  <c r="J168" i="9" s="1"/>
  <c r="I197" i="9"/>
  <c r="H197" i="9"/>
  <c r="H200" i="9" s="1"/>
  <c r="G197" i="9"/>
  <c r="F197" i="9"/>
  <c r="F200" i="9" s="1"/>
  <c r="F168" i="9" s="1"/>
  <c r="E197" i="9"/>
  <c r="D197" i="9"/>
  <c r="C197" i="9"/>
  <c r="O196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O177" i="9"/>
  <c r="O176" i="9"/>
  <c r="O175" i="9"/>
  <c r="O174" i="9"/>
  <c r="O179" i="9" s="1"/>
  <c r="O172" i="9"/>
  <c r="O171" i="9"/>
  <c r="O170" i="9"/>
  <c r="O169" i="9"/>
  <c r="M168" i="9"/>
  <c r="H168" i="9"/>
  <c r="O166" i="9"/>
  <c r="O165" i="9"/>
  <c r="O164" i="9"/>
  <c r="M161" i="9"/>
  <c r="K161" i="9"/>
  <c r="J161" i="9"/>
  <c r="G161" i="9"/>
  <c r="E161" i="9"/>
  <c r="C161" i="9"/>
  <c r="O160" i="9"/>
  <c r="O159" i="9"/>
  <c r="O182" i="9" s="1"/>
  <c r="N158" i="9"/>
  <c r="N161" i="9" s="1"/>
  <c r="M158" i="9"/>
  <c r="L158" i="9"/>
  <c r="L161" i="9" s="1"/>
  <c r="K158" i="9"/>
  <c r="J158" i="9"/>
  <c r="I158" i="9"/>
  <c r="I161" i="9" s="1"/>
  <c r="H158" i="9"/>
  <c r="H161" i="9" s="1"/>
  <c r="G158" i="9"/>
  <c r="F158" i="9"/>
  <c r="F161" i="9" s="1"/>
  <c r="E158" i="9"/>
  <c r="D158" i="9"/>
  <c r="C158" i="9"/>
  <c r="O157" i="9"/>
  <c r="N156" i="9"/>
  <c r="M156" i="9"/>
  <c r="L156" i="9"/>
  <c r="K156" i="9"/>
  <c r="J156" i="9"/>
  <c r="I156" i="9"/>
  <c r="H156" i="9"/>
  <c r="G156" i="9"/>
  <c r="O156" i="9" s="1"/>
  <c r="F156" i="9"/>
  <c r="E156" i="9"/>
  <c r="D156" i="9"/>
  <c r="C156" i="9"/>
  <c r="O155" i="9"/>
  <c r="M154" i="9"/>
  <c r="J154" i="9"/>
  <c r="H154" i="9"/>
  <c r="E154" i="9"/>
  <c r="M153" i="9"/>
  <c r="J153" i="9"/>
  <c r="G153" i="9"/>
  <c r="E153" i="9"/>
  <c r="E151" i="9" s="1"/>
  <c r="E187" i="9" s="1"/>
  <c r="L152" i="9"/>
  <c r="L153" i="9" s="1"/>
  <c r="L151" i="9" s="1"/>
  <c r="L187" i="9" s="1"/>
  <c r="J152" i="9"/>
  <c r="G152" i="9"/>
  <c r="D152" i="9"/>
  <c r="D153" i="9" s="1"/>
  <c r="D151" i="9"/>
  <c r="D187" i="9" s="1"/>
  <c r="O149" i="9"/>
  <c r="J148" i="9"/>
  <c r="J186" i="9" s="1"/>
  <c r="E148" i="9"/>
  <c r="E186" i="9" s="1"/>
  <c r="L147" i="9"/>
  <c r="J147" i="9"/>
  <c r="O142" i="9"/>
  <c r="O141" i="9"/>
  <c r="O140" i="9"/>
  <c r="O139" i="9"/>
  <c r="O138" i="9"/>
  <c r="O137" i="9"/>
  <c r="O136" i="9"/>
  <c r="O135" i="9"/>
  <c r="O134" i="9"/>
  <c r="O133" i="9"/>
  <c r="O132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O129" i="9"/>
  <c r="O128" i="9"/>
  <c r="O127" i="9"/>
  <c r="O126" i="9"/>
  <c r="O125" i="9"/>
  <c r="O124" i="9"/>
  <c r="N123" i="9"/>
  <c r="M123" i="9"/>
  <c r="L123" i="9"/>
  <c r="K123" i="9"/>
  <c r="J123" i="9"/>
  <c r="I123" i="9"/>
  <c r="H123" i="9"/>
  <c r="G123" i="9"/>
  <c r="F123" i="9"/>
  <c r="E123" i="9"/>
  <c r="D123" i="9"/>
  <c r="O123" i="9" s="1"/>
  <c r="C123" i="9"/>
  <c r="O120" i="9"/>
  <c r="O119" i="9"/>
  <c r="O118" i="9"/>
  <c r="O117" i="9"/>
  <c r="O116" i="9"/>
  <c r="O115" i="9"/>
  <c r="O114" i="9"/>
  <c r="O113" i="9"/>
  <c r="N112" i="9"/>
  <c r="M112" i="9"/>
  <c r="M152" i="9" s="1"/>
  <c r="L112" i="9"/>
  <c r="L154" i="9" s="1"/>
  <c r="K112" i="9"/>
  <c r="K154" i="9" s="1"/>
  <c r="J112" i="9"/>
  <c r="I112" i="9"/>
  <c r="H112" i="9"/>
  <c r="H152" i="9" s="1"/>
  <c r="H153" i="9" s="1"/>
  <c r="G112" i="9"/>
  <c r="G154" i="9" s="1"/>
  <c r="G151" i="9" s="1"/>
  <c r="G187" i="9" s="1"/>
  <c r="F112" i="9"/>
  <c r="E112" i="9"/>
  <c r="E152" i="9" s="1"/>
  <c r="D112" i="9"/>
  <c r="D154" i="9" s="1"/>
  <c r="C112" i="9"/>
  <c r="C154" i="9" s="1"/>
  <c r="F111" i="9"/>
  <c r="G111" i="9" s="1"/>
  <c r="H111" i="9" s="1"/>
  <c r="I111" i="9" s="1"/>
  <c r="J111" i="9" s="1"/>
  <c r="K111" i="9" s="1"/>
  <c r="L111" i="9" s="1"/>
  <c r="M111" i="9" s="1"/>
  <c r="N111" i="9" s="1"/>
  <c r="E111" i="9"/>
  <c r="D111" i="9"/>
  <c r="E110" i="9"/>
  <c r="F110" i="9" s="1"/>
  <c r="G110" i="9" s="1"/>
  <c r="H110" i="9" s="1"/>
  <c r="I110" i="9" s="1"/>
  <c r="J110" i="9" s="1"/>
  <c r="K110" i="9" s="1"/>
  <c r="L110" i="9" s="1"/>
  <c r="M110" i="9" s="1"/>
  <c r="N110" i="9" s="1"/>
  <c r="D110" i="9"/>
  <c r="F109" i="9"/>
  <c r="E109" i="9"/>
  <c r="D109" i="9"/>
  <c r="D108" i="9"/>
  <c r="C108" i="9"/>
  <c r="C107" i="9" s="1"/>
  <c r="D105" i="9"/>
  <c r="E105" i="9" s="1"/>
  <c r="F105" i="9" s="1"/>
  <c r="G105" i="9" s="1"/>
  <c r="H105" i="9" s="1"/>
  <c r="I105" i="9" s="1"/>
  <c r="J105" i="9" s="1"/>
  <c r="K105" i="9" s="1"/>
  <c r="L105" i="9" s="1"/>
  <c r="M105" i="9" s="1"/>
  <c r="N105" i="9" s="1"/>
  <c r="E104" i="9"/>
  <c r="D104" i="9"/>
  <c r="D103" i="9"/>
  <c r="C102" i="9"/>
  <c r="O101" i="9"/>
  <c r="O100" i="9"/>
  <c r="O99" i="9"/>
  <c r="E98" i="9"/>
  <c r="D98" i="9"/>
  <c r="D97" i="9"/>
  <c r="C96" i="9"/>
  <c r="O93" i="9"/>
  <c r="O90" i="9"/>
  <c r="O89" i="9"/>
  <c r="O88" i="9"/>
  <c r="P82" i="9"/>
  <c r="O82" i="9"/>
  <c r="Q82" i="9" s="1"/>
  <c r="O81" i="9"/>
  <c r="O80" i="9"/>
  <c r="O79" i="9"/>
  <c r="N78" i="9"/>
  <c r="M78" i="9"/>
  <c r="M77" i="9" s="1"/>
  <c r="M76" i="9" s="1"/>
  <c r="M75" i="9" s="1"/>
  <c r="L78" i="9"/>
  <c r="K78" i="9"/>
  <c r="K77" i="9" s="1"/>
  <c r="K148" i="9" s="1"/>
  <c r="K186" i="9" s="1"/>
  <c r="J78" i="9"/>
  <c r="I78" i="9"/>
  <c r="I77" i="9" s="1"/>
  <c r="H78" i="9"/>
  <c r="H77" i="9" s="1"/>
  <c r="G78" i="9"/>
  <c r="F78" i="9"/>
  <c r="E78" i="9"/>
  <c r="E77" i="9" s="1"/>
  <c r="E76" i="9" s="1"/>
  <c r="D78" i="9"/>
  <c r="C78" i="9"/>
  <c r="P77" i="9"/>
  <c r="N77" i="9"/>
  <c r="N148" i="9" s="1"/>
  <c r="N186" i="9" s="1"/>
  <c r="L77" i="9"/>
  <c r="J77" i="9"/>
  <c r="G77" i="9"/>
  <c r="G76" i="9" s="1"/>
  <c r="F77" i="9"/>
  <c r="F148" i="9" s="1"/>
  <c r="F186" i="9" s="1"/>
  <c r="D77" i="9"/>
  <c r="P76" i="9"/>
  <c r="N76" i="9"/>
  <c r="N75" i="9" s="1"/>
  <c r="F76" i="9"/>
  <c r="F75" i="9" s="1"/>
  <c r="G75" i="9"/>
  <c r="E75" i="9"/>
  <c r="O74" i="9"/>
  <c r="O73" i="9"/>
  <c r="O72" i="9"/>
  <c r="O71" i="9"/>
  <c r="N70" i="9"/>
  <c r="M70" i="9"/>
  <c r="L70" i="9"/>
  <c r="K70" i="9"/>
  <c r="K62" i="9" s="1"/>
  <c r="J70" i="9"/>
  <c r="I70" i="9"/>
  <c r="H70" i="9"/>
  <c r="G70" i="9"/>
  <c r="F70" i="9"/>
  <c r="E70" i="9"/>
  <c r="D70" i="9"/>
  <c r="C70" i="9"/>
  <c r="O69" i="9"/>
  <c r="O68" i="9"/>
  <c r="O67" i="9"/>
  <c r="O66" i="9"/>
  <c r="O65" i="9"/>
  <c r="O64" i="9"/>
  <c r="N63" i="9"/>
  <c r="M63" i="9"/>
  <c r="L63" i="9"/>
  <c r="K63" i="9"/>
  <c r="J63" i="9"/>
  <c r="I63" i="9"/>
  <c r="I62" i="9" s="1"/>
  <c r="H63" i="9"/>
  <c r="G63" i="9"/>
  <c r="G62" i="9" s="1"/>
  <c r="F63" i="9"/>
  <c r="E63" i="9"/>
  <c r="E62" i="9" s="1"/>
  <c r="D63" i="9"/>
  <c r="C63" i="9"/>
  <c r="L62" i="9"/>
  <c r="J62" i="9"/>
  <c r="H62" i="9"/>
  <c r="F62" i="9"/>
  <c r="D62" i="9"/>
  <c r="N61" i="9"/>
  <c r="L61" i="9"/>
  <c r="J61" i="9"/>
  <c r="H61" i="9"/>
  <c r="G61" i="9"/>
  <c r="F61" i="9"/>
  <c r="D61" i="9"/>
  <c r="O60" i="9"/>
  <c r="O59" i="9"/>
  <c r="O58" i="9"/>
  <c r="O57" i="9"/>
  <c r="N56" i="9"/>
  <c r="M56" i="9"/>
  <c r="L56" i="9"/>
  <c r="K56" i="9"/>
  <c r="J56" i="9"/>
  <c r="I56" i="9"/>
  <c r="H56" i="9"/>
  <c r="G56" i="9"/>
  <c r="G43" i="9" s="1"/>
  <c r="F56" i="9"/>
  <c r="E56" i="9"/>
  <c r="D56" i="9"/>
  <c r="C56" i="9"/>
  <c r="O55" i="9"/>
  <c r="O54" i="9"/>
  <c r="O53" i="9"/>
  <c r="O52" i="9"/>
  <c r="O51" i="9"/>
  <c r="P50" i="9"/>
  <c r="N50" i="9"/>
  <c r="N147" i="9" s="1"/>
  <c r="M50" i="9"/>
  <c r="L50" i="9"/>
  <c r="L36" i="9" s="1"/>
  <c r="K50" i="9"/>
  <c r="K147" i="9" s="1"/>
  <c r="J50" i="9"/>
  <c r="I50" i="9"/>
  <c r="H50" i="9"/>
  <c r="G50" i="9"/>
  <c r="F50" i="9"/>
  <c r="F147" i="9" s="1"/>
  <c r="E50" i="9"/>
  <c r="D50" i="9"/>
  <c r="D36" i="9" s="1"/>
  <c r="D35" i="9" s="1"/>
  <c r="D34" i="9" s="1"/>
  <c r="C50" i="9"/>
  <c r="C147" i="9" s="1"/>
  <c r="P49" i="9"/>
  <c r="N49" i="9"/>
  <c r="N48" i="9" s="1"/>
  <c r="J49" i="9"/>
  <c r="J48" i="9" s="1"/>
  <c r="H49" i="9"/>
  <c r="H48" i="9" s="1"/>
  <c r="F49" i="9"/>
  <c r="F48" i="9" s="1"/>
  <c r="D49" i="9"/>
  <c r="D48" i="9" s="1"/>
  <c r="C49" i="9"/>
  <c r="C48" i="9"/>
  <c r="O47" i="9"/>
  <c r="O46" i="9"/>
  <c r="O45" i="9"/>
  <c r="O44" i="9"/>
  <c r="N43" i="9"/>
  <c r="L43" i="9"/>
  <c r="J43" i="9"/>
  <c r="H43" i="9"/>
  <c r="F43" i="9"/>
  <c r="D43" i="9"/>
  <c r="N42" i="9"/>
  <c r="M42" i="9"/>
  <c r="L42" i="9"/>
  <c r="K42" i="9"/>
  <c r="J42" i="9"/>
  <c r="I42" i="9"/>
  <c r="H42" i="9"/>
  <c r="G42" i="9"/>
  <c r="O42" i="9" s="1"/>
  <c r="F42" i="9"/>
  <c r="E42" i="9"/>
  <c r="D42" i="9"/>
  <c r="C42" i="9"/>
  <c r="O41" i="9"/>
  <c r="O40" i="9"/>
  <c r="O39" i="9"/>
  <c r="O38" i="9"/>
  <c r="G36" i="9"/>
  <c r="G35" i="9" s="1"/>
  <c r="G34" i="9" s="1"/>
  <c r="F36" i="9"/>
  <c r="L35" i="9"/>
  <c r="L34" i="9" s="1"/>
  <c r="F35" i="9"/>
  <c r="F34" i="9" s="1"/>
  <c r="O30" i="9"/>
  <c r="O29" i="9"/>
  <c r="O28" i="9"/>
  <c r="O27" i="9"/>
  <c r="O26" i="9"/>
  <c r="O25" i="9"/>
  <c r="N24" i="9"/>
  <c r="N23" i="9" s="1"/>
  <c r="M24" i="9"/>
  <c r="L24" i="9"/>
  <c r="K24" i="9"/>
  <c r="J24" i="9"/>
  <c r="J23" i="9" s="1"/>
  <c r="I24" i="9"/>
  <c r="H24" i="9"/>
  <c r="H23" i="9" s="1"/>
  <c r="G24" i="9"/>
  <c r="F24" i="9"/>
  <c r="F23" i="9" s="1"/>
  <c r="E24" i="9"/>
  <c r="D24" i="9"/>
  <c r="O24" i="9" s="1"/>
  <c r="C24" i="9"/>
  <c r="M23" i="9"/>
  <c r="L23" i="9"/>
  <c r="K23" i="9"/>
  <c r="I23" i="9"/>
  <c r="G23" i="9"/>
  <c r="E23" i="9"/>
  <c r="C23" i="9"/>
  <c r="O22" i="9"/>
  <c r="O21" i="9"/>
  <c r="O20" i="9"/>
  <c r="N19" i="9"/>
  <c r="M19" i="9"/>
  <c r="L19" i="9"/>
  <c r="K19" i="9"/>
  <c r="J19" i="9"/>
  <c r="I19" i="9"/>
  <c r="H19" i="9"/>
  <c r="G19" i="9"/>
  <c r="F19" i="9"/>
  <c r="E19" i="9"/>
  <c r="D19" i="9"/>
  <c r="C19" i="9"/>
  <c r="D18" i="9"/>
  <c r="E18" i="9" s="1"/>
  <c r="F18" i="9" s="1"/>
  <c r="C10" i="9"/>
  <c r="N4" i="9"/>
  <c r="M4" i="9"/>
  <c r="K4" i="9"/>
  <c r="J4" i="9"/>
  <c r="H4" i="9"/>
  <c r="F4" i="9"/>
  <c r="D4" i="9"/>
  <c r="G18" i="9" l="1"/>
  <c r="H18" i="9" s="1"/>
  <c r="I18" i="9" s="1"/>
  <c r="J18" i="9" s="1"/>
  <c r="K18" i="9" s="1"/>
  <c r="L18" i="9" s="1"/>
  <c r="M18" i="9" s="1"/>
  <c r="N18" i="9" s="1"/>
  <c r="O18" i="9"/>
  <c r="C9" i="9"/>
  <c r="F154" i="9"/>
  <c r="F152" i="9"/>
  <c r="F153" i="9" s="1"/>
  <c r="F151" i="9" s="1"/>
  <c r="F187" i="9" s="1"/>
  <c r="I148" i="9"/>
  <c r="I186" i="9" s="1"/>
  <c r="I76" i="9"/>
  <c r="I75" i="9" s="1"/>
  <c r="E61" i="9"/>
  <c r="O56" i="9"/>
  <c r="E43" i="9"/>
  <c r="M61" i="9"/>
  <c r="M43" i="9"/>
  <c r="N154" i="9"/>
  <c r="O154" i="9" s="1"/>
  <c r="N152" i="9"/>
  <c r="N153" i="9" s="1"/>
  <c r="N151" i="9" s="1"/>
  <c r="N187" i="9" s="1"/>
  <c r="O23" i="9"/>
  <c r="I147" i="9"/>
  <c r="I49" i="9"/>
  <c r="I48" i="9" s="1"/>
  <c r="I36" i="9"/>
  <c r="I35" i="9" s="1"/>
  <c r="I34" i="9" s="1"/>
  <c r="O111" i="9"/>
  <c r="H76" i="9"/>
  <c r="H75" i="9" s="1"/>
  <c r="H36" i="9"/>
  <c r="H35" i="9" s="1"/>
  <c r="H34" i="9" s="1"/>
  <c r="H148" i="9"/>
  <c r="H186" i="9" s="1"/>
  <c r="O19" i="9"/>
  <c r="O14" i="9"/>
  <c r="O92" i="9"/>
  <c r="C2" i="9"/>
  <c r="C3" i="9" s="1"/>
  <c r="L185" i="9"/>
  <c r="M62" i="9"/>
  <c r="M36" i="9"/>
  <c r="O70" i="9"/>
  <c r="C62" i="9"/>
  <c r="O62" i="9" s="1"/>
  <c r="N62" i="9"/>
  <c r="N36" i="9"/>
  <c r="N35" i="9" s="1"/>
  <c r="N34" i="9" s="1"/>
  <c r="O91" i="9"/>
  <c r="E103" i="9"/>
  <c r="D102" i="9"/>
  <c r="D23" i="9"/>
  <c r="K36" i="9"/>
  <c r="D148" i="9"/>
  <c r="D186" i="9" s="1"/>
  <c r="D76" i="9"/>
  <c r="D75" i="9" s="1"/>
  <c r="O37" i="9"/>
  <c r="O78" i="9"/>
  <c r="C77" i="9"/>
  <c r="I152" i="9"/>
  <c r="I153" i="9" s="1"/>
  <c r="I154" i="9"/>
  <c r="G148" i="9"/>
  <c r="G186" i="9" s="1"/>
  <c r="D161" i="9"/>
  <c r="O161" i="9" s="1"/>
  <c r="O158" i="9"/>
  <c r="D200" i="9"/>
  <c r="D168" i="9" s="1"/>
  <c r="O197" i="9"/>
  <c r="O200" i="9" s="1"/>
  <c r="E49" i="9"/>
  <c r="E48" i="9" s="1"/>
  <c r="E147" i="9"/>
  <c r="J151" i="9"/>
  <c r="J187" i="9" s="1"/>
  <c r="O168" i="9"/>
  <c r="C185" i="9"/>
  <c r="H151" i="9"/>
  <c r="H187" i="9" s="1"/>
  <c r="O98" i="9"/>
  <c r="F98" i="9"/>
  <c r="G98" i="9" s="1"/>
  <c r="H98" i="9" s="1"/>
  <c r="I98" i="9" s="1"/>
  <c r="J98" i="9" s="1"/>
  <c r="K98" i="9" s="1"/>
  <c r="L98" i="9" s="1"/>
  <c r="M98" i="9" s="1"/>
  <c r="N98" i="9" s="1"/>
  <c r="F146" i="9"/>
  <c r="F145" i="9" s="1"/>
  <c r="F185" i="9"/>
  <c r="N146" i="9"/>
  <c r="N185" i="9"/>
  <c r="G109" i="9"/>
  <c r="F108" i="9"/>
  <c r="F107" i="9" s="1"/>
  <c r="D147" i="9"/>
  <c r="M148" i="9"/>
  <c r="M186" i="9" s="1"/>
  <c r="M151" i="9"/>
  <c r="M187" i="9" s="1"/>
  <c r="M49" i="9"/>
  <c r="M48" i="9" s="1"/>
  <c r="M147" i="9"/>
  <c r="I61" i="9"/>
  <c r="I43" i="9"/>
  <c r="O131" i="9"/>
  <c r="K49" i="9"/>
  <c r="K48" i="9" s="1"/>
  <c r="G49" i="9"/>
  <c r="G48" i="9" s="1"/>
  <c r="O50" i="9"/>
  <c r="Q50" i="9" s="1"/>
  <c r="C43" i="9"/>
  <c r="O43" i="9" s="1"/>
  <c r="C61" i="9"/>
  <c r="K43" i="9"/>
  <c r="K61" i="9"/>
  <c r="O63" i="9"/>
  <c r="J76" i="9"/>
  <c r="J75" i="9" s="1"/>
  <c r="J36" i="9"/>
  <c r="J35" i="9" s="1"/>
  <c r="J34" i="9" s="1"/>
  <c r="E97" i="9"/>
  <c r="D96" i="9"/>
  <c r="O104" i="9"/>
  <c r="F104" i="9"/>
  <c r="G104" i="9" s="1"/>
  <c r="H104" i="9" s="1"/>
  <c r="I104" i="9" s="1"/>
  <c r="J104" i="9" s="1"/>
  <c r="K104" i="9" s="1"/>
  <c r="L104" i="9" s="1"/>
  <c r="M104" i="9" s="1"/>
  <c r="N104" i="9" s="1"/>
  <c r="O105" i="9"/>
  <c r="E108" i="9"/>
  <c r="O110" i="9"/>
  <c r="G147" i="9"/>
  <c r="K185" i="9"/>
  <c r="K146" i="9"/>
  <c r="K145" i="9" s="1"/>
  <c r="O95" i="9"/>
  <c r="E36" i="9"/>
  <c r="E35" i="9" s="1"/>
  <c r="E34" i="9" s="1"/>
  <c r="L49" i="9"/>
  <c r="L48" i="9" s="1"/>
  <c r="H147" i="9"/>
  <c r="K76" i="9"/>
  <c r="K75" i="9" s="1"/>
  <c r="L148" i="9"/>
  <c r="L186" i="9" s="1"/>
  <c r="L76" i="9"/>
  <c r="L75" i="9" s="1"/>
  <c r="O94" i="9"/>
  <c r="D107" i="9"/>
  <c r="J185" i="9"/>
  <c r="J146" i="9"/>
  <c r="J145" i="9" s="1"/>
  <c r="C152" i="9"/>
  <c r="K152" i="9"/>
  <c r="K153" i="9" s="1"/>
  <c r="K151" i="9" s="1"/>
  <c r="K187" i="9" s="1"/>
  <c r="O112" i="9"/>
  <c r="C148" i="9" l="1"/>
  <c r="C76" i="9"/>
  <c r="O77" i="9"/>
  <c r="Q77" i="9" s="1"/>
  <c r="O49" i="9"/>
  <c r="H109" i="9"/>
  <c r="G108" i="9"/>
  <c r="G107" i="9" s="1"/>
  <c r="F97" i="9"/>
  <c r="E96" i="9"/>
  <c r="F103" i="9"/>
  <c r="E102" i="9"/>
  <c r="O17" i="9"/>
  <c r="C83" i="9"/>
  <c r="G185" i="9"/>
  <c r="G146" i="9"/>
  <c r="G145" i="9" s="1"/>
  <c r="C190" i="9"/>
  <c r="L146" i="9"/>
  <c r="L145" i="9" s="1"/>
  <c r="O16" i="9"/>
  <c r="N145" i="9"/>
  <c r="I185" i="9"/>
  <c r="I146" i="9"/>
  <c r="I145" i="9" s="1"/>
  <c r="E107" i="9"/>
  <c r="C153" i="9"/>
  <c r="O152" i="9"/>
  <c r="D185" i="9"/>
  <c r="O185" i="9" s="1"/>
  <c r="O147" i="9"/>
  <c r="D146" i="9"/>
  <c r="D145" i="9" s="1"/>
  <c r="K35" i="9"/>
  <c r="K34" i="9" s="1"/>
  <c r="M35" i="9"/>
  <c r="M34" i="9" s="1"/>
  <c r="D10" i="9"/>
  <c r="D2" i="9" s="1"/>
  <c r="D3" i="9" s="1"/>
  <c r="M146" i="9"/>
  <c r="M145" i="9" s="1"/>
  <c r="M185" i="9"/>
  <c r="H185" i="9"/>
  <c r="H146" i="9"/>
  <c r="H145" i="9" s="1"/>
  <c r="C36" i="9"/>
  <c r="E146" i="9"/>
  <c r="E145" i="9" s="1"/>
  <c r="E185" i="9"/>
  <c r="I151" i="9"/>
  <c r="I187" i="9" s="1"/>
  <c r="C5" i="9"/>
  <c r="C31" i="9"/>
  <c r="E10" i="9" l="1"/>
  <c r="E9" i="9" s="1"/>
  <c r="Q49" i="9"/>
  <c r="O48" i="9"/>
  <c r="O36" i="9"/>
  <c r="C35" i="9"/>
  <c r="F102" i="9"/>
  <c r="G103" i="9"/>
  <c r="C151" i="9"/>
  <c r="O153" i="9"/>
  <c r="D83" i="9"/>
  <c r="F96" i="9"/>
  <c r="G97" i="9"/>
  <c r="O76" i="9"/>
  <c r="Q76" i="9" s="1"/>
  <c r="C75" i="9"/>
  <c r="C186" i="9"/>
  <c r="O148" i="9"/>
  <c r="C146" i="9"/>
  <c r="D190" i="9"/>
  <c r="D9" i="9"/>
  <c r="H108" i="9"/>
  <c r="H107" i="9" s="1"/>
  <c r="I109" i="9"/>
  <c r="D31" i="9" l="1"/>
  <c r="D5" i="9"/>
  <c r="E190" i="9"/>
  <c r="E83" i="9"/>
  <c r="G96" i="9"/>
  <c r="H97" i="9"/>
  <c r="E2" i="9"/>
  <c r="E3" i="9" s="1"/>
  <c r="G102" i="9"/>
  <c r="H103" i="9"/>
  <c r="I108" i="9"/>
  <c r="I107" i="9" s="1"/>
  <c r="J109" i="9"/>
  <c r="C145" i="9"/>
  <c r="O145" i="9" s="1"/>
  <c r="O146" i="9"/>
  <c r="C187" i="9"/>
  <c r="O151" i="9"/>
  <c r="O35" i="9"/>
  <c r="C34" i="9"/>
  <c r="E31" i="9"/>
  <c r="E5" i="9"/>
  <c r="F10" i="9"/>
  <c r="F2" i="9" s="1"/>
  <c r="F3" i="9" s="1"/>
  <c r="C191" i="9"/>
  <c r="O186" i="9"/>
  <c r="F83" i="9"/>
  <c r="O187" i="9" l="1"/>
  <c r="C192" i="9"/>
  <c r="D192" i="9" s="1"/>
  <c r="E192" i="9" s="1"/>
  <c r="F192" i="9" s="1"/>
  <c r="G192" i="9" s="1"/>
  <c r="H192" i="9" s="1"/>
  <c r="I192" i="9" s="1"/>
  <c r="J192" i="9" s="1"/>
  <c r="K192" i="9" s="1"/>
  <c r="L192" i="9" s="1"/>
  <c r="M192" i="9" s="1"/>
  <c r="N192" i="9" s="1"/>
  <c r="I103" i="9"/>
  <c r="H102" i="9"/>
  <c r="F190" i="9"/>
  <c r="D191" i="9"/>
  <c r="F9" i="9"/>
  <c r="G10" i="9"/>
  <c r="G9" i="9" s="1"/>
  <c r="K109" i="9"/>
  <c r="J108" i="9"/>
  <c r="J107" i="9" s="1"/>
  <c r="H96" i="9"/>
  <c r="I97" i="9"/>
  <c r="O84" i="9" l="1"/>
  <c r="G5" i="9"/>
  <c r="G31" i="9"/>
  <c r="K108" i="9"/>
  <c r="L109" i="9"/>
  <c r="G190" i="9"/>
  <c r="E191" i="9"/>
  <c r="D189" i="9"/>
  <c r="H10" i="9"/>
  <c r="H9" i="9" s="1"/>
  <c r="I102" i="9"/>
  <c r="J103" i="9"/>
  <c r="I96" i="9"/>
  <c r="J97" i="9"/>
  <c r="F31" i="9"/>
  <c r="F5" i="9"/>
  <c r="G83" i="9"/>
  <c r="C189" i="9"/>
  <c r="C163" i="9" s="1"/>
  <c r="D163" i="9" s="1"/>
  <c r="E163" i="9" s="1"/>
  <c r="F163" i="9" s="1"/>
  <c r="G163" i="9" s="1"/>
  <c r="H163" i="9" s="1"/>
  <c r="I163" i="9" s="1"/>
  <c r="J163" i="9" s="1"/>
  <c r="K163" i="9" s="1"/>
  <c r="L163" i="9" s="1"/>
  <c r="M163" i="9" s="1"/>
  <c r="N163" i="9" s="1"/>
  <c r="O163" i="9" s="1"/>
  <c r="G2" i="9"/>
  <c r="G3" i="9" s="1"/>
  <c r="H83" i="9" l="1"/>
  <c r="H190" i="9"/>
  <c r="I83" i="9"/>
  <c r="L108" i="9"/>
  <c r="L107" i="9" s="1"/>
  <c r="M109" i="9"/>
  <c r="K107" i="9"/>
  <c r="H31" i="9"/>
  <c r="H5" i="9"/>
  <c r="H2" i="9"/>
  <c r="H3" i="9" s="1"/>
  <c r="I10" i="9"/>
  <c r="I9" i="9" s="1"/>
  <c r="J96" i="9"/>
  <c r="K97" i="9"/>
  <c r="J102" i="9"/>
  <c r="K103" i="9"/>
  <c r="F191" i="9"/>
  <c r="E189" i="9"/>
  <c r="I2" i="9" l="1"/>
  <c r="I3" i="9" s="1"/>
  <c r="J10" i="9"/>
  <c r="J9" i="9" s="1"/>
  <c r="N109" i="9"/>
  <c r="N108" i="9" s="1"/>
  <c r="N107" i="9" s="1"/>
  <c r="M108" i="9"/>
  <c r="O109" i="9"/>
  <c r="J2" i="9"/>
  <c r="J3" i="9" s="1"/>
  <c r="I190" i="9"/>
  <c r="K96" i="9"/>
  <c r="L97" i="9"/>
  <c r="G191" i="9"/>
  <c r="F189" i="9"/>
  <c r="K102" i="9"/>
  <c r="L103" i="9"/>
  <c r="I5" i="9"/>
  <c r="I31" i="9"/>
  <c r="J83" i="9" l="1"/>
  <c r="M103" i="9"/>
  <c r="L102" i="9"/>
  <c r="M97" i="9"/>
  <c r="L96" i="9"/>
  <c r="M107" i="9"/>
  <c r="O107" i="9" s="1"/>
  <c r="O108" i="9"/>
  <c r="J190" i="9"/>
  <c r="H191" i="9"/>
  <c r="G189" i="9"/>
  <c r="J31" i="9"/>
  <c r="J5" i="9"/>
  <c r="K10" i="9"/>
  <c r="K9" i="9" s="1"/>
  <c r="K83" i="9" l="1"/>
  <c r="O11" i="9"/>
  <c r="O96" i="9"/>
  <c r="I191" i="9"/>
  <c r="H189" i="9"/>
  <c r="N97" i="9"/>
  <c r="N96" i="9" s="1"/>
  <c r="M96" i="9"/>
  <c r="O97" i="9"/>
  <c r="K190" i="9"/>
  <c r="N103" i="9"/>
  <c r="N102" i="9" s="1"/>
  <c r="M102" i="9"/>
  <c r="O102" i="9" s="1"/>
  <c r="O87" i="9"/>
  <c r="O12" i="9"/>
  <c r="K5" i="9"/>
  <c r="K31" i="9"/>
  <c r="L10" i="9"/>
  <c r="L9" i="9" s="1"/>
  <c r="K2" i="9"/>
  <c r="K3" i="9" s="1"/>
  <c r="M10" i="9" l="1"/>
  <c r="M9" i="9" s="1"/>
  <c r="L190" i="9"/>
  <c r="J191" i="9"/>
  <c r="I189" i="9"/>
  <c r="L83" i="9"/>
  <c r="M2" i="9"/>
  <c r="M3" i="9" s="1"/>
  <c r="L2" i="9"/>
  <c r="L3" i="9" s="1"/>
  <c r="L31" i="9"/>
  <c r="L5" i="9"/>
  <c r="O103" i="9"/>
  <c r="M190" i="9" l="1"/>
  <c r="K191" i="9"/>
  <c r="J189" i="9"/>
  <c r="M31" i="9"/>
  <c r="M5" i="9"/>
  <c r="M83" i="9"/>
  <c r="O13" i="9"/>
  <c r="N10" i="9"/>
  <c r="O86" i="9"/>
  <c r="O15" i="9"/>
  <c r="N83" i="9" l="1"/>
  <c r="O83" i="9" s="1"/>
  <c r="N9" i="9"/>
  <c r="O10" i="9"/>
  <c r="O2" i="9" s="1"/>
  <c r="O3" i="9" s="1"/>
  <c r="N2" i="9"/>
  <c r="N3" i="9" s="1"/>
  <c r="L191" i="9"/>
  <c r="K189" i="9"/>
  <c r="N190" i="9"/>
  <c r="O85" i="9"/>
  <c r="M191" i="9" l="1"/>
  <c r="L189" i="9"/>
  <c r="N31" i="9"/>
  <c r="O31" i="9" s="1"/>
  <c r="N5" i="9"/>
  <c r="O9" i="9"/>
  <c r="P10" i="9" l="1"/>
  <c r="N191" i="9"/>
  <c r="N189" i="9" s="1"/>
  <c r="M189" i="9"/>
</calcChain>
</file>

<file path=xl/comments1.xml><?xml version="1.0" encoding="utf-8"?>
<comments xmlns="http://schemas.openxmlformats.org/spreadsheetml/2006/main">
  <authors>
    <author>Автор</author>
  </authors>
  <commentList>
    <comment ref="B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26942(подготовка пв П2)/121769(вагоноотправки П2 22г погрузка ССГПО пв все направления) коэф.0,2213
при планировании 23г вагоноотправки ССГПО 118619 в пв *0,22=2245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факт 7 мес22 - 3104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сумма факт 7 мес приведенная к кол-ву отрем вагонов ДР/КР. Итог * на помесячный объем  ремонта 2023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 факт 7 мес 22</t>
        </r>
      </text>
    </comment>
    <comment ref="A1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возврат с вагонного сервиса на КТЖ
заложили по бюджету 2022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 количество колес в одном вагоне 41
план СК 6472/41=158вагонов
потребность в зависимости от плана ремонта на ТРВ и БРК + остаток разделили между двумя предприятиями пополам
ср стоимость тарифа на Железор и Экибас по отдельности</t>
        </r>
      </text>
    </comment>
  </commentList>
</comments>
</file>

<file path=xl/sharedStrings.xml><?xml version="1.0" encoding="utf-8"?>
<sst xmlns="http://schemas.openxmlformats.org/spreadsheetml/2006/main" count="563" uniqueCount="196">
  <si>
    <t>ост на конец мес</t>
  </si>
  <si>
    <t>прочие</t>
  </si>
  <si>
    <t>др</t>
  </si>
  <si>
    <t>кр</t>
  </si>
  <si>
    <t>наим.дет</t>
  </si>
  <si>
    <t>с  м  е  н  я  е  м  о  с  т  ь</t>
  </si>
  <si>
    <t>трв</t>
  </si>
  <si>
    <t>брк</t>
  </si>
  <si>
    <t>над.б.</t>
  </si>
  <si>
    <t>бок.р.</t>
  </si>
  <si>
    <t>кр.л.</t>
  </si>
  <si>
    <t>автосц.</t>
  </si>
  <si>
    <t>тяг.х</t>
  </si>
  <si>
    <t>июн</t>
  </si>
  <si>
    <t>июл</t>
  </si>
  <si>
    <t>авг</t>
  </si>
  <si>
    <t>сен</t>
  </si>
  <si>
    <t>окт</t>
  </si>
  <si>
    <t>ноя</t>
  </si>
  <si>
    <t>дек</t>
  </si>
  <si>
    <t>ед.изм.</t>
  </si>
  <si>
    <t>янв</t>
  </si>
  <si>
    <t>февр</t>
  </si>
  <si>
    <t>март</t>
  </si>
  <si>
    <t>апр</t>
  </si>
  <si>
    <t>май</t>
  </si>
  <si>
    <t>июнь</t>
  </si>
  <si>
    <t>июль</t>
  </si>
  <si>
    <t xml:space="preserve">авг </t>
  </si>
  <si>
    <t>сент</t>
  </si>
  <si>
    <t>нояб</t>
  </si>
  <si>
    <t>прогноз</t>
  </si>
  <si>
    <t>1. Операционная деятельность</t>
  </si>
  <si>
    <r>
      <t xml:space="preserve">1.1. Парк вагонов </t>
    </r>
    <r>
      <rPr>
        <i/>
        <sz val="8"/>
        <rFont val="Arial"/>
        <family val="2"/>
        <charset val="204"/>
      </rPr>
      <t>(инвент.парк + аренда) по сост на конец месяца , в т.ч.</t>
    </r>
  </si>
  <si>
    <t>ваг.</t>
  </si>
  <si>
    <r>
      <t xml:space="preserve">1.1.1. </t>
    </r>
    <r>
      <rPr>
        <b/>
        <sz val="12"/>
        <rFont val="Arial"/>
        <family val="2"/>
        <charset val="204"/>
      </rPr>
      <t>инвент. парк ТК</t>
    </r>
  </si>
  <si>
    <t>п/в</t>
  </si>
  <si>
    <t>цем.</t>
  </si>
  <si>
    <t>окат</t>
  </si>
  <si>
    <t>платформы для перевозки крупнотоннажных контейнеров</t>
  </si>
  <si>
    <t>думпкары</t>
  </si>
  <si>
    <t>платформы для перевозки колесных пар</t>
  </si>
  <si>
    <t>1.1.2. инвентарный парк контейнеров</t>
  </si>
  <si>
    <t>шт.</t>
  </si>
  <si>
    <r>
      <t>1.1.3.</t>
    </r>
    <r>
      <rPr>
        <b/>
        <sz val="12"/>
        <rFont val="Arial"/>
        <family val="2"/>
        <charset val="204"/>
      </rPr>
      <t xml:space="preserve"> аренда вагонов </t>
    </r>
  </si>
  <si>
    <t>полувагоны</t>
  </si>
  <si>
    <t>цементовозы</t>
  </si>
  <si>
    <r>
      <t>1.1.4.</t>
    </r>
    <r>
      <rPr>
        <b/>
        <sz val="12"/>
        <rFont val="Arial"/>
        <family val="2"/>
        <charset val="204"/>
      </rPr>
      <t xml:space="preserve"> нерабочий парк вагонов (ТК+аренда) в т.ч.</t>
    </r>
  </si>
  <si>
    <t>отстой вагонов  (вагоны нерабочего парка)</t>
  </si>
  <si>
    <t>цем</t>
  </si>
  <si>
    <t>в ожид разрешения на курсирование</t>
  </si>
  <si>
    <t>в ожид исключения и исключенные из инвентаря вагоны</t>
  </si>
  <si>
    <t xml:space="preserve">в ремонте </t>
  </si>
  <si>
    <t>1.2. Ремонт вагонов по видам ремонта (ДР/КР)</t>
  </si>
  <si>
    <t>среднее кол-во ремонтов в сутки</t>
  </si>
  <si>
    <t>плановые ремонты</t>
  </si>
  <si>
    <t>ДР</t>
  </si>
  <si>
    <t>платф</t>
  </si>
  <si>
    <t>думп.</t>
  </si>
  <si>
    <t>КР</t>
  </si>
  <si>
    <t>думп</t>
  </si>
  <si>
    <t>ТОО "ТрансРемВагон"</t>
  </si>
  <si>
    <t xml:space="preserve">всего  пл. рем </t>
  </si>
  <si>
    <t>прочие предприятия</t>
  </si>
  <si>
    <t xml:space="preserve">всего пл. рем </t>
  </si>
  <si>
    <t xml:space="preserve">п/в </t>
  </si>
  <si>
    <t>ТОО "Береке"</t>
  </si>
  <si>
    <t>кр п/в</t>
  </si>
  <si>
    <t>Подготовка вагонов под погрузку</t>
  </si>
  <si>
    <t>АО "КТЖ ГП" полувагоны</t>
  </si>
  <si>
    <t xml:space="preserve">подготовка цементовозы </t>
  </si>
  <si>
    <t>ТОО "Рудненское ремонтное депо"</t>
  </si>
  <si>
    <t>ТОО "Альянс Тениз Сервис"</t>
  </si>
  <si>
    <t xml:space="preserve">ИП Дос </t>
  </si>
  <si>
    <t>чистка полувагоны</t>
  </si>
  <si>
    <t>АО "Алюминий Казахстана" маневровая работа</t>
  </si>
  <si>
    <t>АО "ССГПО" маневровая работа</t>
  </si>
  <si>
    <t>ТОР всего</t>
  </si>
  <si>
    <t>ТОО "Трансремвагон"</t>
  </si>
  <si>
    <t>ТОО "Береке 2004"</t>
  </si>
  <si>
    <t>ТОР РК</t>
  </si>
  <si>
    <t>ТОР РФ</t>
  </si>
  <si>
    <t>Освидетельствование контейнеров ТОО "ТрансКом"</t>
  </si>
  <si>
    <t>Подготовка контейнеров</t>
  </si>
  <si>
    <t>ТОО ТрансКом собств</t>
  </si>
  <si>
    <t>ООО Т-Сервис Логистикс</t>
  </si>
  <si>
    <t>ТОО Bravis</t>
  </si>
  <si>
    <t>1.3. Ремонт, покупка колесных пар</t>
  </si>
  <si>
    <t xml:space="preserve">всего </t>
  </si>
  <si>
    <t>участковый ремонт</t>
  </si>
  <si>
    <t>кол пары нового формирования</t>
  </si>
  <si>
    <t>БТ кап ремонт с исп.давал ЦКК+ось (СОСКи)</t>
  </si>
  <si>
    <t>ТОО ЦентрЭнергоАльянс (кап ремонт с пок ЦКК)</t>
  </si>
  <si>
    <t>АВРЗ кап ремонт с исп.давал ЦКК</t>
  </si>
  <si>
    <t>ТОО ЦентрЭнергоАльянс (НОНКи)</t>
  </si>
  <si>
    <t>Трансмашсервис СОНК покупка</t>
  </si>
  <si>
    <t xml:space="preserve">покупка кол пар </t>
  </si>
  <si>
    <t>2. Инвестиционная деятельность</t>
  </si>
  <si>
    <t>2.1. Выбытие вагонов по сроку службы и тех состоянию</t>
  </si>
  <si>
    <t>всего</t>
  </si>
  <si>
    <t>п/в по сроку службы</t>
  </si>
  <si>
    <t>п/в по тех состоянию</t>
  </si>
  <si>
    <t>цем. по сроку службы</t>
  </si>
  <si>
    <t>2.2. Приобретение (поставка/прибытие) вагонов</t>
  </si>
  <si>
    <t>платформа</t>
  </si>
  <si>
    <t>ввод в эксплуатацию п/в</t>
  </si>
  <si>
    <t>ввод в эксплуатацию цем</t>
  </si>
  <si>
    <t>ввод в эксплуатацию окат</t>
  </si>
  <si>
    <t>ввод в эксплуатацию платф</t>
  </si>
  <si>
    <t>ввод в эксплуатацию думп</t>
  </si>
  <si>
    <t>перетрафаречивание</t>
  </si>
  <si>
    <t>3. Не основная деятельность</t>
  </si>
  <si>
    <t>разделка спис.вагонов</t>
  </si>
  <si>
    <t>п/в,цем</t>
  </si>
  <si>
    <t>тн.</t>
  </si>
  <si>
    <t>фев</t>
  </si>
  <si>
    <t>мар</t>
  </si>
  <si>
    <t>Материал для формирования бюджета на 2022 год</t>
  </si>
  <si>
    <t>жд тариф перевозка кол пар</t>
  </si>
  <si>
    <t xml:space="preserve">услуга по кап ремонту кол пар </t>
  </si>
  <si>
    <t>RWS Wheelset кап ремонт с покуп ЦКК (в счет бюджета 2021 года)</t>
  </si>
  <si>
    <t>цистерны КЭЗ</t>
  </si>
  <si>
    <t>чистка цементовозы</t>
  </si>
  <si>
    <t>мойка цементовозы</t>
  </si>
  <si>
    <t xml:space="preserve">3.1.  Образование металлолома </t>
  </si>
  <si>
    <t>ремонт вагонов</t>
  </si>
  <si>
    <t>ремонт кол пар (СК)</t>
  </si>
  <si>
    <r>
      <t xml:space="preserve">в т.ч </t>
    </r>
    <r>
      <rPr>
        <sz val="8"/>
        <rFont val="Arial"/>
        <family val="2"/>
        <charset val="204"/>
      </rPr>
      <t>ось</t>
    </r>
  </si>
  <si>
    <t>диски</t>
  </si>
  <si>
    <t>прочие элементы</t>
  </si>
  <si>
    <t>списание в металлолом кол пар оборотного фонда (РУ-1)</t>
  </si>
  <si>
    <t xml:space="preserve">3.2. Накопление металлолома </t>
  </si>
  <si>
    <t>всего:</t>
  </si>
  <si>
    <t>ТОО "ТРВ"</t>
  </si>
  <si>
    <t>3.3. Реализация металлолома</t>
  </si>
  <si>
    <t>ТОО "Металлург"</t>
  </si>
  <si>
    <t>прочие предприятия (КЗХ,РФ)</t>
  </si>
  <si>
    <t>реализация колесных пар заводского ремонта</t>
  </si>
  <si>
    <t xml:space="preserve">реализация исключенных вагонов </t>
  </si>
  <si>
    <t>3.4. Прочие платежи</t>
  </si>
  <si>
    <t>тыс.тг</t>
  </si>
  <si>
    <t>плата за пользование путями в ожидании ремонта (простои)</t>
  </si>
  <si>
    <t>подача уборка ТОР тр стороны (КТЖ)</t>
  </si>
  <si>
    <t xml:space="preserve">кр </t>
  </si>
  <si>
    <t>всего 2023г</t>
  </si>
  <si>
    <t>пековозы</t>
  </si>
  <si>
    <t xml:space="preserve">Подготовка думпкары </t>
  </si>
  <si>
    <t xml:space="preserve">ТО-3 думпкары </t>
  </si>
  <si>
    <t>разделка</t>
  </si>
  <si>
    <t>образов всего</t>
  </si>
  <si>
    <t>зиксто</t>
  </si>
  <si>
    <t>ЗИКСТО</t>
  </si>
  <si>
    <t>реализация металлолом ТОО Металург (бюджет)</t>
  </si>
  <si>
    <t>год</t>
  </si>
  <si>
    <t xml:space="preserve">ост мет </t>
  </si>
  <si>
    <t>для формирования образ лома за основу принято ср значение лома при ремонте БРК 7 мес 22 = 0,4737</t>
  </si>
  <si>
    <t>норма лома по КР = ДР (1крышка люка) + вес 13 крышек люка -1,885тн, всего 2,359</t>
  </si>
  <si>
    <t>ЦИФРЫ РАСЧ П-2 08.22</t>
  </si>
  <si>
    <r>
      <t>1.1.5.</t>
    </r>
    <r>
      <rPr>
        <b/>
        <sz val="12"/>
        <rFont val="Arial"/>
        <family val="2"/>
        <charset val="204"/>
      </rPr>
      <t xml:space="preserve"> рабочий парк ТК + аренда</t>
    </r>
  </si>
  <si>
    <t>порожний пробег в/из ремонта (по факту 7 мес.22г+ инф 8%)</t>
  </si>
  <si>
    <t>* автотранспортные заложили по предоставленному расчету перевозок на 2023 + 8% инфляция</t>
  </si>
  <si>
    <t>* чистку цементовозов заложили исходя из количества вагонов на разделку* на ставку в 2022 (=41тыс без НДС) + 8 % инфляция</t>
  </si>
  <si>
    <t>*изменили на 100 со 125 заложенных ранее, т.к в АК ушло подстверждение в письме по 100….в случае не хватки средств взять у движенцев, спросить у Ситниковой В.</t>
  </si>
  <si>
    <t xml:space="preserve">* простои заложили по факту 7 мес 22 + коэф инфляции 6,6%  7147,36 * 1,066 = 7619,09
7147,36 * 1,066 = 7619,09
</t>
  </si>
  <si>
    <t>* рем программу по СОНК меняли из-за увеличения ТОР</t>
  </si>
  <si>
    <t>нб</t>
  </si>
  <si>
    <t xml:space="preserve">Анализ выбраковки основных деталей </t>
  </si>
  <si>
    <t>бр</t>
  </si>
  <si>
    <t>авт</t>
  </si>
  <si>
    <t>кол.ваг.</t>
  </si>
  <si>
    <t xml:space="preserve">КР </t>
  </si>
  <si>
    <t xml:space="preserve"> значение норм и фактической выбраковки при ДР КР</t>
  </si>
  <si>
    <t>п.а</t>
  </si>
  <si>
    <t>дм/цем.</t>
  </si>
  <si>
    <t>окат.,платф</t>
  </si>
  <si>
    <t>п/в, ок, цем</t>
  </si>
  <si>
    <t>т.х</t>
  </si>
  <si>
    <t>кп</t>
  </si>
  <si>
    <t>норма</t>
  </si>
  <si>
    <t>факт</t>
  </si>
  <si>
    <t>норм.коэф.смен</t>
  </si>
  <si>
    <t>факт. коэф.смен</t>
  </si>
  <si>
    <t>откл.(+,-)</t>
  </si>
  <si>
    <t>погл.ап</t>
  </si>
  <si>
    <t>кол.пары</t>
  </si>
  <si>
    <t>ТОО "Береке-2004"</t>
  </si>
  <si>
    <t>плат.</t>
  </si>
  <si>
    <t>ТОО "Богатырь Транс"</t>
  </si>
  <si>
    <t>ок</t>
  </si>
  <si>
    <t xml:space="preserve">ТОО "Ремвагон" </t>
  </si>
  <si>
    <t>ИТОГО</t>
  </si>
  <si>
    <t>окат./платф</t>
  </si>
  <si>
    <t>пв, цем</t>
  </si>
  <si>
    <t xml:space="preserve">                                                                                                </t>
  </si>
  <si>
    <t>факт смен</t>
  </si>
  <si>
    <r>
      <t xml:space="preserve">при плановом ремонте вагонов за 1 мес 2023 года. </t>
    </r>
    <r>
      <rPr>
        <i/>
        <sz val="9"/>
        <rFont val="Arial Cyr"/>
        <charset val="204"/>
      </rPr>
      <t>(по образованию металлолома, выход кол пар в зав ремонт)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</si>
</sst>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₽_-;\-* #,##0.00\ _₽_-;_-* &quot;-&quot;??\ _₽_-;_-@_-"/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_-* #,##0_р_._-;\-* #,##0_р_._-;_-* &quot;-&quot;_р_._-;_-@_-"/>
    <numFmt numFmtId="170" formatCode="#,##0.00_р_."/>
    <numFmt numFmtId="171" formatCode="_-* #,##0.00_р_._-;\-* #,##0.00_р_._-;_-* &quot;-&quot;_р_._-;_-@_-"/>
    <numFmt numFmtId="172" formatCode="_-* #,##0\ _₽_-;\-* #,##0\ _₽_-;_-* &quot;-&quot;??\ _₽_-;_-@_-"/>
    <numFmt numFmtId="173" formatCode="_-* #,##0.00_р_._-;\-* #,##0.00_р_._-;_-* &quot;-&quot;??_р_.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9"/>
      <name val="Arial"/>
      <family val="2"/>
      <charset val="204"/>
    </font>
    <font>
      <i/>
      <sz val="10"/>
      <name val="Arial Cyr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10"/>
      <name val="Arial"/>
      <family val="2"/>
      <charset val="204"/>
    </font>
    <font>
      <b/>
      <i/>
      <sz val="8"/>
      <name val="Arial"/>
      <family val="2"/>
      <charset val="204"/>
    </font>
    <font>
      <sz val="6"/>
      <name val="Arial"/>
      <family val="2"/>
      <charset val="204"/>
    </font>
    <font>
      <sz val="10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8"/>
      <color rgb="FFFF0000"/>
      <name val="Arial"/>
      <family val="2"/>
      <charset val="204"/>
    </font>
    <font>
      <b/>
      <sz val="8"/>
      <color rgb="FF0070C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rgb="FF0070C0"/>
      <name val="Arial"/>
      <family val="2"/>
      <charset val="204"/>
    </font>
    <font>
      <b/>
      <i/>
      <sz val="9"/>
      <name val="Arial Cyr"/>
      <charset val="204"/>
    </font>
    <font>
      <i/>
      <sz val="9"/>
      <name val="Arial Cyr"/>
      <charset val="204"/>
    </font>
    <font>
      <sz val="9"/>
      <name val="Arial Cyr"/>
      <charset val="204"/>
    </font>
    <font>
      <i/>
      <sz val="9"/>
      <name val="Arial"/>
      <family val="2"/>
      <charset val="204"/>
    </font>
    <font>
      <b/>
      <i/>
      <sz val="9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99CC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53">
    <xf numFmtId="0" fontId="0" fillId="0" borderId="0" xfId="0"/>
    <xf numFmtId="0" fontId="3" fillId="0" borderId="0" xfId="2" applyFont="1"/>
    <xf numFmtId="0" fontId="2" fillId="0" borderId="0" xfId="0" applyFont="1"/>
    <xf numFmtId="1" fontId="3" fillId="0" borderId="0" xfId="2" applyNumberFormat="1" applyFont="1" applyFill="1" applyBorder="1"/>
    <xf numFmtId="0" fontId="5" fillId="0" borderId="0" xfId="2" applyFont="1" applyBorder="1" applyAlignment="1"/>
    <xf numFmtId="0" fontId="6" fillId="0" borderId="0" xfId="2" applyFont="1" applyBorder="1" applyAlignment="1"/>
    <xf numFmtId="1" fontId="6" fillId="0" borderId="0" xfId="2" applyNumberFormat="1" applyFont="1" applyBorder="1" applyAlignment="1"/>
    <xf numFmtId="0" fontId="6" fillId="0" borderId="0" xfId="2" applyFont="1" applyBorder="1" applyAlignment="1">
      <alignment horizontal="center"/>
    </xf>
    <xf numFmtId="0" fontId="7" fillId="0" borderId="0" xfId="2" applyFont="1" applyFill="1"/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8" xfId="2" applyFont="1" applyFill="1" applyBorder="1" applyAlignment="1">
      <alignment horizontal="center"/>
    </xf>
    <xf numFmtId="0" fontId="7" fillId="5" borderId="8" xfId="2" applyFont="1" applyFill="1" applyBorder="1" applyAlignment="1">
      <alignment horizontal="center"/>
    </xf>
    <xf numFmtId="169" fontId="7" fillId="0" borderId="10" xfId="2" applyNumberFormat="1" applyFont="1" applyBorder="1" applyAlignment="1">
      <alignment horizontal="center"/>
    </xf>
    <xf numFmtId="0" fontId="7" fillId="9" borderId="11" xfId="2" applyFont="1" applyFill="1" applyBorder="1" applyAlignment="1"/>
    <xf numFmtId="0" fontId="7" fillId="9" borderId="12" xfId="2" applyFont="1" applyFill="1" applyBorder="1" applyAlignment="1">
      <alignment horizontal="center"/>
    </xf>
    <xf numFmtId="0" fontId="5" fillId="0" borderId="16" xfId="2" applyFont="1" applyFill="1" applyBorder="1" applyAlignment="1"/>
    <xf numFmtId="0" fontId="5" fillId="0" borderId="17" xfId="2" applyFont="1" applyFill="1" applyBorder="1" applyAlignment="1"/>
    <xf numFmtId="0" fontId="7" fillId="9" borderId="17" xfId="2" applyFont="1" applyFill="1" applyBorder="1" applyAlignment="1">
      <alignment horizontal="center" vertical="center"/>
    </xf>
    <xf numFmtId="0" fontId="7" fillId="9" borderId="18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left"/>
    </xf>
    <xf numFmtId="0" fontId="6" fillId="0" borderId="8" xfId="2" applyFont="1" applyFill="1" applyBorder="1" applyAlignment="1">
      <alignment horizontal="center"/>
    </xf>
    <xf numFmtId="1" fontId="6" fillId="0" borderId="10" xfId="2" applyNumberFormat="1" applyFont="1" applyFill="1" applyBorder="1" applyAlignment="1">
      <alignment horizontal="center"/>
    </xf>
    <xf numFmtId="0" fontId="6" fillId="7" borderId="19" xfId="2" applyFont="1" applyFill="1" applyBorder="1" applyAlignment="1">
      <alignment horizontal="left"/>
    </xf>
    <xf numFmtId="0" fontId="6" fillId="7" borderId="6" xfId="2" applyFont="1" applyFill="1" applyBorder="1" applyAlignment="1">
      <alignment horizontal="center"/>
    </xf>
    <xf numFmtId="1" fontId="6" fillId="7" borderId="20" xfId="2" applyNumberFormat="1" applyFont="1" applyFill="1" applyBorder="1" applyAlignment="1">
      <alignment horizontal="center"/>
    </xf>
    <xf numFmtId="0" fontId="7" fillId="0" borderId="19" xfId="2" applyFont="1" applyBorder="1" applyAlignment="1">
      <alignment horizontal="left"/>
    </xf>
    <xf numFmtId="0" fontId="7" fillId="0" borderId="6" xfId="2" applyFont="1" applyBorder="1" applyAlignment="1">
      <alignment horizontal="center"/>
    </xf>
    <xf numFmtId="0" fontId="7" fillId="0" borderId="2" xfId="2" applyFont="1" applyFill="1" applyBorder="1" applyAlignment="1">
      <alignment horizontal="center"/>
    </xf>
    <xf numFmtId="1" fontId="7" fillId="0" borderId="20" xfId="2" applyNumberFormat="1" applyFont="1" applyFill="1" applyBorder="1" applyAlignment="1">
      <alignment horizontal="center"/>
    </xf>
    <xf numFmtId="1" fontId="7" fillId="0" borderId="2" xfId="2" applyNumberFormat="1" applyFont="1" applyFill="1" applyBorder="1" applyAlignment="1">
      <alignment horizontal="center"/>
    </xf>
    <xf numFmtId="0" fontId="7" fillId="0" borderId="2" xfId="2" applyFont="1" applyBorder="1" applyAlignment="1">
      <alignment horizontal="center"/>
    </xf>
    <xf numFmtId="1" fontId="7" fillId="0" borderId="20" xfId="2" applyNumberFormat="1" applyFont="1" applyBorder="1" applyAlignment="1">
      <alignment horizontal="center"/>
    </xf>
    <xf numFmtId="0" fontId="9" fillId="0" borderId="19" xfId="2" applyFont="1" applyBorder="1" applyAlignment="1">
      <alignment horizontal="left"/>
    </xf>
    <xf numFmtId="0" fontId="6" fillId="10" borderId="19" xfId="2" applyFont="1" applyFill="1" applyBorder="1" applyAlignment="1">
      <alignment horizontal="left"/>
    </xf>
    <xf numFmtId="0" fontId="6" fillId="10" borderId="6" xfId="2" applyFont="1" applyFill="1" applyBorder="1" applyAlignment="1">
      <alignment horizontal="center"/>
    </xf>
    <xf numFmtId="0" fontId="6" fillId="10" borderId="20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left"/>
    </xf>
    <xf numFmtId="0" fontId="7" fillId="0" borderId="6" xfId="2" applyFont="1" applyFill="1" applyBorder="1" applyAlignment="1">
      <alignment horizontal="center"/>
    </xf>
    <xf numFmtId="0" fontId="7" fillId="0" borderId="20" xfId="2" applyFont="1" applyFill="1" applyBorder="1" applyAlignment="1">
      <alignment horizontal="center"/>
    </xf>
    <xf numFmtId="0" fontId="7" fillId="0" borderId="21" xfId="2" applyFont="1" applyBorder="1" applyAlignment="1">
      <alignment horizontal="left"/>
    </xf>
    <xf numFmtId="0" fontId="7" fillId="0" borderId="20" xfId="2" applyFont="1" applyBorder="1" applyAlignment="1">
      <alignment horizontal="center"/>
    </xf>
    <xf numFmtId="0" fontId="6" fillId="0" borderId="19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center"/>
    </xf>
    <xf numFmtId="1" fontId="6" fillId="0" borderId="6" xfId="2" applyNumberFormat="1" applyFont="1" applyFill="1" applyBorder="1" applyAlignment="1">
      <alignment horizontal="center"/>
    </xf>
    <xf numFmtId="1" fontId="6" fillId="0" borderId="20" xfId="2" applyNumberFormat="1" applyFont="1" applyFill="1" applyBorder="1" applyAlignment="1">
      <alignment horizontal="center"/>
    </xf>
    <xf numFmtId="0" fontId="6" fillId="9" borderId="19" xfId="2" applyFont="1" applyFill="1" applyBorder="1" applyAlignment="1">
      <alignment horizontal="left"/>
    </xf>
    <xf numFmtId="0" fontId="6" fillId="9" borderId="6" xfId="2" applyFont="1" applyFill="1" applyBorder="1" applyAlignment="1">
      <alignment horizontal="center"/>
    </xf>
    <xf numFmtId="0" fontId="6" fillId="9" borderId="20" xfId="2" applyFont="1" applyFill="1" applyBorder="1" applyAlignment="1">
      <alignment horizontal="center"/>
    </xf>
    <xf numFmtId="0" fontId="7" fillId="9" borderId="19" xfId="2" applyFont="1" applyFill="1" applyBorder="1" applyAlignment="1">
      <alignment horizontal="left"/>
    </xf>
    <xf numFmtId="0" fontId="7" fillId="4" borderId="6" xfId="2" applyFont="1" applyFill="1" applyBorder="1" applyAlignment="1">
      <alignment horizontal="center"/>
    </xf>
    <xf numFmtId="1" fontId="7" fillId="4" borderId="2" xfId="2" applyNumberFormat="1" applyFont="1" applyFill="1" applyBorder="1" applyAlignment="1">
      <alignment horizontal="center"/>
    </xf>
    <xf numFmtId="0" fontId="7" fillId="9" borderId="2" xfId="2" applyFont="1" applyFill="1" applyBorder="1" applyAlignment="1">
      <alignment horizontal="center"/>
    </xf>
    <xf numFmtId="0" fontId="7" fillId="4" borderId="20" xfId="2" applyFont="1" applyFill="1" applyBorder="1" applyAlignment="1">
      <alignment horizontal="center"/>
    </xf>
    <xf numFmtId="0" fontId="7" fillId="0" borderId="19" xfId="2" applyFont="1" applyFill="1" applyBorder="1" applyAlignment="1">
      <alignment horizontal="left"/>
    </xf>
    <xf numFmtId="1" fontId="7" fillId="0" borderId="6" xfId="2" applyNumberFormat="1" applyFont="1" applyFill="1" applyBorder="1" applyAlignment="1">
      <alignment horizontal="center"/>
    </xf>
    <xf numFmtId="1" fontId="7" fillId="8" borderId="6" xfId="2" applyNumberFormat="1" applyFont="1" applyFill="1" applyBorder="1" applyAlignment="1">
      <alignment horizontal="center"/>
    </xf>
    <xf numFmtId="1" fontId="7" fillId="8" borderId="20" xfId="2" applyNumberFormat="1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0" fontId="7" fillId="0" borderId="12" xfId="2" applyFont="1" applyBorder="1" applyAlignment="1">
      <alignment horizontal="center"/>
    </xf>
    <xf numFmtId="1" fontId="7" fillId="0" borderId="12" xfId="2" applyNumberFormat="1" applyFont="1" applyBorder="1" applyAlignment="1">
      <alignment horizontal="center"/>
    </xf>
    <xf numFmtId="1" fontId="7" fillId="0" borderId="22" xfId="2" applyNumberFormat="1" applyFont="1" applyBorder="1" applyAlignment="1">
      <alignment horizontal="center"/>
    </xf>
    <xf numFmtId="0" fontId="7" fillId="9" borderId="23" xfId="2" applyFont="1" applyFill="1" applyBorder="1" applyAlignment="1"/>
    <xf numFmtId="0" fontId="7" fillId="9" borderId="24" xfId="2" applyFont="1" applyFill="1" applyBorder="1" applyAlignment="1">
      <alignment horizontal="center"/>
    </xf>
    <xf numFmtId="0" fontId="7" fillId="9" borderId="24" xfId="2" applyFont="1" applyFill="1" applyBorder="1" applyAlignment="1">
      <alignment horizontal="center" vertical="center"/>
    </xf>
    <xf numFmtId="0" fontId="7" fillId="9" borderId="25" xfId="2" applyFont="1" applyFill="1" applyBorder="1" applyAlignment="1">
      <alignment horizontal="center" vertical="center"/>
    </xf>
    <xf numFmtId="0" fontId="5" fillId="7" borderId="16" xfId="2" applyFont="1" applyFill="1" applyBorder="1" applyAlignment="1"/>
    <xf numFmtId="0" fontId="5" fillId="7" borderId="17" xfId="2" applyFont="1" applyFill="1" applyBorder="1" applyAlignment="1"/>
    <xf numFmtId="0" fontId="5" fillId="7" borderId="18" xfId="2" applyFont="1" applyFill="1" applyBorder="1" applyAlignment="1"/>
    <xf numFmtId="0" fontId="6" fillId="0" borderId="26" xfId="2" applyFont="1" applyFill="1" applyBorder="1"/>
    <xf numFmtId="0" fontId="6" fillId="0" borderId="4" xfId="2" applyFont="1" applyFill="1" applyBorder="1" applyAlignment="1">
      <alignment horizontal="center"/>
    </xf>
    <xf numFmtId="2" fontId="8" fillId="0" borderId="0" xfId="2" applyNumberFormat="1" applyFont="1" applyFill="1" applyBorder="1" applyAlignment="1"/>
    <xf numFmtId="1" fontId="6" fillId="0" borderId="27" xfId="2" applyNumberFormat="1" applyFont="1" applyFill="1" applyBorder="1" applyAlignment="1">
      <alignment horizontal="center"/>
    </xf>
    <xf numFmtId="0" fontId="10" fillId="0" borderId="19" xfId="2" applyFont="1" applyBorder="1"/>
    <xf numFmtId="0" fontId="6" fillId="0" borderId="6" xfId="2" applyFont="1" applyBorder="1" applyAlignment="1">
      <alignment horizontal="center"/>
    </xf>
    <xf numFmtId="1" fontId="10" fillId="7" borderId="6" xfId="2" applyNumberFormat="1" applyFont="1" applyFill="1" applyBorder="1" applyAlignment="1">
      <alignment horizontal="center"/>
    </xf>
    <xf numFmtId="1" fontId="10" fillId="7" borderId="20" xfId="2" applyNumberFormat="1" applyFont="1" applyFill="1" applyBorder="1" applyAlignment="1">
      <alignment horizontal="center"/>
    </xf>
    <xf numFmtId="0" fontId="6" fillId="0" borderId="19" xfId="2" applyFont="1" applyFill="1" applyBorder="1"/>
    <xf numFmtId="0" fontId="7" fillId="0" borderId="19" xfId="2" applyFont="1" applyFill="1" applyBorder="1"/>
    <xf numFmtId="0" fontId="8" fillId="5" borderId="19" xfId="2" applyFont="1" applyFill="1" applyBorder="1"/>
    <xf numFmtId="0" fontId="8" fillId="5" borderId="6" xfId="2" applyFont="1" applyFill="1" applyBorder="1" applyAlignment="1">
      <alignment horizontal="center"/>
    </xf>
    <xf numFmtId="0" fontId="6" fillId="0" borderId="19" xfId="2" applyFont="1" applyBorder="1"/>
    <xf numFmtId="1" fontId="6" fillId="0" borderId="6" xfId="2" applyNumberFormat="1" applyFont="1" applyBorder="1" applyAlignment="1">
      <alignment horizontal="center"/>
    </xf>
    <xf numFmtId="0" fontId="7" fillId="0" borderId="19" xfId="2" applyFont="1" applyBorder="1"/>
    <xf numFmtId="1" fontId="7" fillId="0" borderId="6" xfId="2" applyNumberFormat="1" applyFont="1" applyBorder="1" applyAlignment="1">
      <alignment horizontal="center"/>
    </xf>
    <xf numFmtId="0" fontId="6" fillId="9" borderId="19" xfId="2" applyFont="1" applyFill="1" applyBorder="1" applyAlignment="1"/>
    <xf numFmtId="0" fontId="6" fillId="9" borderId="6" xfId="2" applyFont="1" applyFill="1" applyBorder="1" applyAlignment="1"/>
    <xf numFmtId="2" fontId="8" fillId="9" borderId="6" xfId="2" applyNumberFormat="1" applyFont="1" applyFill="1" applyBorder="1" applyAlignment="1"/>
    <xf numFmtId="2" fontId="8" fillId="9" borderId="6" xfId="2" applyNumberFormat="1" applyFont="1" applyFill="1" applyBorder="1" applyAlignment="1">
      <alignment horizontal="center"/>
    </xf>
    <xf numFmtId="1" fontId="6" fillId="9" borderId="6" xfId="2" applyNumberFormat="1" applyFont="1" applyFill="1" applyBorder="1" applyAlignment="1">
      <alignment horizontal="center"/>
    </xf>
    <xf numFmtId="1" fontId="7" fillId="5" borderId="6" xfId="2" applyNumberFormat="1" applyFont="1" applyFill="1" applyBorder="1" applyAlignment="1">
      <alignment horizontal="center"/>
    </xf>
    <xf numFmtId="0" fontId="7" fillId="5" borderId="19" xfId="2" applyFont="1" applyFill="1" applyBorder="1"/>
    <xf numFmtId="0" fontId="7" fillId="5" borderId="6" xfId="2" applyFont="1" applyFill="1" applyBorder="1" applyAlignment="1">
      <alignment horizontal="center"/>
    </xf>
    <xf numFmtId="1" fontId="7" fillId="5" borderId="20" xfId="2" applyNumberFormat="1" applyFont="1" applyFill="1" applyBorder="1" applyAlignment="1">
      <alignment horizontal="center"/>
    </xf>
    <xf numFmtId="0" fontId="7" fillId="5" borderId="0" xfId="2" applyFont="1" applyFill="1"/>
    <xf numFmtId="1" fontId="6" fillId="4" borderId="20" xfId="2" applyNumberFormat="1" applyFont="1" applyFill="1" applyBorder="1" applyAlignment="1">
      <alignment horizontal="center"/>
    </xf>
    <xf numFmtId="1" fontId="7" fillId="0" borderId="2" xfId="2" applyNumberFormat="1" applyFont="1" applyBorder="1" applyAlignment="1">
      <alignment horizontal="center"/>
    </xf>
    <xf numFmtId="0" fontId="6" fillId="9" borderId="19" xfId="2" applyFont="1" applyFill="1" applyBorder="1"/>
    <xf numFmtId="0" fontId="11" fillId="9" borderId="20" xfId="2" applyFont="1" applyFill="1" applyBorder="1" applyAlignment="1"/>
    <xf numFmtId="1" fontId="6" fillId="4" borderId="6" xfId="2" applyNumberFormat="1" applyFont="1" applyFill="1" applyBorder="1" applyAlignment="1">
      <alignment horizontal="center"/>
    </xf>
    <xf numFmtId="0" fontId="6" fillId="5" borderId="19" xfId="2" applyFont="1" applyFill="1" applyBorder="1"/>
    <xf numFmtId="1" fontId="6" fillId="5" borderId="6" xfId="2" applyNumberFormat="1" applyFont="1" applyFill="1" applyBorder="1" applyAlignment="1">
      <alignment horizontal="center"/>
    </xf>
    <xf numFmtId="0" fontId="6" fillId="0" borderId="21" xfId="2" applyFont="1" applyFill="1" applyBorder="1"/>
    <xf numFmtId="0" fontId="6" fillId="9" borderId="21" xfId="2" applyFont="1" applyFill="1" applyBorder="1"/>
    <xf numFmtId="1" fontId="7" fillId="4" borderId="6" xfId="2" applyNumberFormat="1" applyFont="1" applyFill="1" applyBorder="1" applyAlignment="1">
      <alignment horizontal="center"/>
    </xf>
    <xf numFmtId="1" fontId="7" fillId="4" borderId="20" xfId="2" applyNumberFormat="1" applyFont="1" applyFill="1" applyBorder="1" applyAlignment="1">
      <alignment horizontal="center"/>
    </xf>
    <xf numFmtId="0" fontId="7" fillId="8" borderId="19" xfId="2" applyFont="1" applyFill="1" applyBorder="1"/>
    <xf numFmtId="0" fontId="7" fillId="8" borderId="6" xfId="2" applyFont="1" applyFill="1" applyBorder="1" applyAlignment="1">
      <alignment horizontal="center"/>
    </xf>
    <xf numFmtId="0" fontId="6" fillId="7" borderId="19" xfId="2" applyFont="1" applyFill="1" applyBorder="1"/>
    <xf numFmtId="1" fontId="6" fillId="7" borderId="6" xfId="2" applyNumberFormat="1" applyFont="1" applyFill="1" applyBorder="1" applyAlignment="1">
      <alignment horizontal="center"/>
    </xf>
    <xf numFmtId="0" fontId="6" fillId="11" borderId="19" xfId="2" applyFont="1" applyFill="1" applyBorder="1" applyAlignment="1">
      <alignment horizontal="left"/>
    </xf>
    <xf numFmtId="0" fontId="6" fillId="11" borderId="6" xfId="2" applyFont="1" applyFill="1" applyBorder="1" applyAlignment="1">
      <alignment horizontal="center"/>
    </xf>
    <xf numFmtId="0" fontId="6" fillId="11" borderId="20" xfId="2" applyFont="1" applyFill="1" applyBorder="1" applyAlignment="1">
      <alignment horizontal="center"/>
    </xf>
    <xf numFmtId="0" fontId="6" fillId="7" borderId="20" xfId="2" applyFont="1" applyFill="1" applyBorder="1" applyAlignment="1">
      <alignment horizontal="center"/>
    </xf>
    <xf numFmtId="0" fontId="7" fillId="7" borderId="19" xfId="2" applyFont="1" applyFill="1" applyBorder="1" applyAlignment="1">
      <alignment horizontal="left"/>
    </xf>
    <xf numFmtId="0" fontId="7" fillId="7" borderId="6" xfId="2" applyFont="1" applyFill="1" applyBorder="1" applyAlignment="1">
      <alignment horizontal="center"/>
    </xf>
    <xf numFmtId="0" fontId="7" fillId="7" borderId="20" xfId="2" applyFont="1" applyFill="1" applyBorder="1" applyAlignment="1">
      <alignment horizontal="center"/>
    </xf>
    <xf numFmtId="0" fontId="7" fillId="7" borderId="11" xfId="2" applyFont="1" applyFill="1" applyBorder="1" applyAlignment="1">
      <alignment horizontal="left"/>
    </xf>
    <xf numFmtId="0" fontId="7" fillId="7" borderId="12" xfId="2" applyFont="1" applyFill="1" applyBorder="1" applyAlignment="1">
      <alignment horizontal="center"/>
    </xf>
    <xf numFmtId="0" fontId="7" fillId="7" borderId="22" xfId="2" applyFont="1" applyFill="1" applyBorder="1" applyAlignment="1">
      <alignment horizontal="center"/>
    </xf>
    <xf numFmtId="0" fontId="5" fillId="7" borderId="23" xfId="2" applyFont="1" applyFill="1" applyBorder="1" applyAlignment="1">
      <alignment horizontal="left"/>
    </xf>
    <xf numFmtId="0" fontId="6" fillId="7" borderId="24" xfId="2" applyFont="1" applyFill="1" applyBorder="1" applyAlignment="1"/>
    <xf numFmtId="0" fontId="6" fillId="7" borderId="25" xfId="2" applyFont="1" applyFill="1" applyBorder="1" applyAlignment="1"/>
    <xf numFmtId="0" fontId="6" fillId="0" borderId="7" xfId="2" applyFont="1" applyBorder="1"/>
    <xf numFmtId="0" fontId="6" fillId="0" borderId="8" xfId="2" applyFont="1" applyBorder="1" applyAlignment="1">
      <alignment horizontal="center"/>
    </xf>
    <xf numFmtId="1" fontId="6" fillId="0" borderId="8" xfId="2" applyNumberFormat="1" applyFont="1" applyFill="1" applyBorder="1" applyAlignment="1">
      <alignment horizontal="center"/>
    </xf>
    <xf numFmtId="1" fontId="6" fillId="0" borderId="29" xfId="2" applyNumberFormat="1" applyFont="1" applyFill="1" applyBorder="1" applyAlignment="1">
      <alignment horizontal="center"/>
    </xf>
    <xf numFmtId="0" fontId="7" fillId="5" borderId="19" xfId="2" applyFont="1" applyFill="1" applyBorder="1" applyAlignment="1">
      <alignment horizontal="left"/>
    </xf>
    <xf numFmtId="0" fontId="7" fillId="0" borderId="1" xfId="2" applyFont="1" applyFill="1" applyBorder="1" applyAlignment="1">
      <alignment horizontal="center"/>
    </xf>
    <xf numFmtId="0" fontId="12" fillId="0" borderId="19" xfId="0" applyFont="1" applyFill="1" applyBorder="1"/>
    <xf numFmtId="0" fontId="7" fillId="0" borderId="11" xfId="2" applyFont="1" applyFill="1" applyBorder="1"/>
    <xf numFmtId="0" fontId="7" fillId="0" borderId="12" xfId="2" applyFont="1" applyFill="1" applyBorder="1" applyAlignment="1">
      <alignment horizontal="center"/>
    </xf>
    <xf numFmtId="1" fontId="7" fillId="0" borderId="12" xfId="2" applyNumberFormat="1" applyFont="1" applyFill="1" applyBorder="1" applyAlignment="1">
      <alignment horizontal="center"/>
    </xf>
    <xf numFmtId="1" fontId="7" fillId="0" borderId="22" xfId="2" applyNumberFormat="1" applyFont="1" applyFill="1" applyBorder="1" applyAlignment="1">
      <alignment horizontal="center"/>
    </xf>
    <xf numFmtId="0" fontId="5" fillId="0" borderId="30" xfId="2" applyFont="1" applyFill="1" applyBorder="1" applyAlignment="1"/>
    <xf numFmtId="0" fontId="5" fillId="0" borderId="0" xfId="2" applyFont="1" applyFill="1" applyBorder="1" applyAlignment="1"/>
    <xf numFmtId="0" fontId="6" fillId="7" borderId="17" xfId="2" applyFont="1" applyFill="1" applyBorder="1" applyAlignment="1"/>
    <xf numFmtId="2" fontId="6" fillId="7" borderId="17" xfId="2" applyNumberFormat="1" applyFont="1" applyFill="1" applyBorder="1" applyAlignment="1"/>
    <xf numFmtId="2" fontId="6" fillId="7" borderId="18" xfId="2" applyNumberFormat="1" applyFont="1" applyFill="1" applyBorder="1" applyAlignment="1"/>
    <xf numFmtId="0" fontId="7" fillId="0" borderId="7" xfId="2" applyFont="1" applyFill="1" applyBorder="1" applyAlignment="1">
      <alignment horizontal="left"/>
    </xf>
    <xf numFmtId="0" fontId="6" fillId="0" borderId="10" xfId="2" applyFont="1" applyFill="1" applyBorder="1" applyAlignment="1">
      <alignment horizontal="center"/>
    </xf>
    <xf numFmtId="0" fontId="5" fillId="7" borderId="23" xfId="2" applyFont="1" applyFill="1" applyBorder="1" applyAlignment="1"/>
    <xf numFmtId="0" fontId="7" fillId="0" borderId="26" xfId="2" applyFont="1" applyBorder="1" applyAlignment="1">
      <alignment horizontal="left"/>
    </xf>
    <xf numFmtId="0" fontId="7" fillId="0" borderId="4" xfId="2" applyFont="1" applyBorder="1" applyAlignment="1">
      <alignment horizontal="center"/>
    </xf>
    <xf numFmtId="0" fontId="6" fillId="7" borderId="4" xfId="2" applyFont="1" applyFill="1" applyBorder="1" applyAlignment="1">
      <alignment horizontal="center"/>
    </xf>
    <xf numFmtId="0" fontId="6" fillId="7" borderId="27" xfId="2" applyFont="1" applyFill="1" applyBorder="1" applyAlignment="1">
      <alignment horizontal="center"/>
    </xf>
    <xf numFmtId="1" fontId="13" fillId="0" borderId="6" xfId="1" applyNumberFormat="1" applyFont="1" applyFill="1" applyBorder="1"/>
    <xf numFmtId="0" fontId="6" fillId="0" borderId="28" xfId="2" applyFont="1" applyFill="1" applyBorder="1" applyAlignment="1">
      <alignment horizontal="left"/>
    </xf>
    <xf numFmtId="0" fontId="7" fillId="0" borderId="22" xfId="2" applyFont="1" applyFill="1" applyBorder="1" applyAlignment="1">
      <alignment horizontal="center"/>
    </xf>
    <xf numFmtId="165" fontId="5" fillId="0" borderId="17" xfId="2" applyNumberFormat="1" applyFont="1" applyFill="1" applyBorder="1" applyAlignment="1"/>
    <xf numFmtId="0" fontId="5" fillId="0" borderId="31" xfId="2" applyFont="1" applyFill="1" applyBorder="1" applyAlignment="1"/>
    <xf numFmtId="0" fontId="5" fillId="0" borderId="32" xfId="2" applyFont="1" applyFill="1" applyBorder="1" applyAlignment="1"/>
    <xf numFmtId="0" fontId="6" fillId="9" borderId="28" xfId="2" applyFont="1" applyFill="1" applyBorder="1" applyAlignment="1">
      <alignment vertical="center"/>
    </xf>
    <xf numFmtId="2" fontId="7" fillId="4" borderId="20" xfId="2" applyNumberFormat="1" applyFont="1" applyFill="1" applyBorder="1" applyAlignment="1">
      <alignment horizontal="center"/>
    </xf>
    <xf numFmtId="0" fontId="7" fillId="9" borderId="19" xfId="2" applyFont="1" applyFill="1" applyBorder="1" applyAlignment="1">
      <alignment vertical="center"/>
    </xf>
    <xf numFmtId="0" fontId="14" fillId="0" borderId="6" xfId="2" applyFont="1" applyFill="1" applyBorder="1" applyAlignment="1">
      <alignment horizontal="center"/>
    </xf>
    <xf numFmtId="1" fontId="14" fillId="0" borderId="6" xfId="2" applyNumberFormat="1" applyFont="1" applyBorder="1" applyAlignment="1">
      <alignment horizontal="center"/>
    </xf>
    <xf numFmtId="0" fontId="6" fillId="9" borderId="33" xfId="2" applyFont="1" applyFill="1" applyBorder="1" applyAlignment="1">
      <alignment vertical="center"/>
    </xf>
    <xf numFmtId="0" fontId="7" fillId="9" borderId="13" xfId="2" applyFont="1" applyFill="1" applyBorder="1" applyAlignment="1">
      <alignment horizontal="center"/>
    </xf>
    <xf numFmtId="2" fontId="7" fillId="4" borderId="22" xfId="2" applyNumberFormat="1" applyFont="1" applyFill="1" applyBorder="1" applyAlignment="1">
      <alignment horizontal="center"/>
    </xf>
    <xf numFmtId="0" fontId="7" fillId="0" borderId="0" xfId="2" applyFont="1"/>
    <xf numFmtId="0" fontId="7" fillId="0" borderId="0" xfId="2" applyFont="1" applyAlignment="1">
      <alignment horizontal="center"/>
    </xf>
    <xf numFmtId="169" fontId="7" fillId="0" borderId="0" xfId="2" applyNumberFormat="1" applyFont="1" applyAlignment="1">
      <alignment horizontal="center"/>
    </xf>
    <xf numFmtId="0" fontId="15" fillId="0" borderId="19" xfId="2" applyFont="1" applyFill="1" applyBorder="1"/>
    <xf numFmtId="0" fontId="15" fillId="0" borderId="1" xfId="2" applyFont="1" applyFill="1" applyBorder="1" applyAlignment="1">
      <alignment horizontal="center"/>
    </xf>
    <xf numFmtId="1" fontId="15" fillId="0" borderId="6" xfId="2" applyNumberFormat="1" applyFont="1" applyFill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7" fillId="3" borderId="19" xfId="2" applyFont="1" applyFill="1" applyBorder="1"/>
    <xf numFmtId="0" fontId="7" fillId="3" borderId="6" xfId="2" applyFont="1" applyFill="1" applyBorder="1" applyAlignment="1">
      <alignment horizontal="center"/>
    </xf>
    <xf numFmtId="1" fontId="7" fillId="3" borderId="6" xfId="2" applyNumberFormat="1" applyFont="1" applyFill="1" applyBorder="1" applyAlignment="1">
      <alignment horizontal="center"/>
    </xf>
    <xf numFmtId="1" fontId="7" fillId="3" borderId="2" xfId="2" applyNumberFormat="1" applyFont="1" applyFill="1" applyBorder="1" applyAlignment="1">
      <alignment horizontal="center"/>
    </xf>
    <xf numFmtId="1" fontId="7" fillId="3" borderId="20" xfId="2" applyNumberFormat="1" applyFont="1" applyFill="1" applyBorder="1" applyAlignment="1">
      <alignment horizontal="center"/>
    </xf>
    <xf numFmtId="167" fontId="6" fillId="7" borderId="17" xfId="2" applyNumberFormat="1" applyFont="1" applyFill="1" applyBorder="1" applyAlignment="1"/>
    <xf numFmtId="168" fontId="6" fillId="7" borderId="17" xfId="2" applyNumberFormat="1" applyFont="1" applyFill="1" applyBorder="1" applyAlignment="1"/>
    <xf numFmtId="164" fontId="6" fillId="7" borderId="18" xfId="2" applyNumberFormat="1" applyFont="1" applyFill="1" applyBorder="1" applyAlignment="1"/>
    <xf numFmtId="0" fontId="7" fillId="0" borderId="7" xfId="2" applyFont="1" applyFill="1" applyBorder="1"/>
    <xf numFmtId="2" fontId="6" fillId="0" borderId="8" xfId="2" applyNumberFormat="1" applyFont="1" applyFill="1" applyBorder="1" applyAlignment="1">
      <alignment horizontal="center"/>
    </xf>
    <xf numFmtId="2" fontId="6" fillId="0" borderId="20" xfId="2" applyNumberFormat="1" applyFont="1" applyFill="1" applyBorder="1" applyAlignment="1">
      <alignment horizontal="center"/>
    </xf>
    <xf numFmtId="2" fontId="6" fillId="9" borderId="6" xfId="2" applyNumberFormat="1" applyFont="1" applyFill="1" applyBorder="1" applyAlignment="1">
      <alignment horizontal="center"/>
    </xf>
    <xf numFmtId="2" fontId="6" fillId="9" borderId="20" xfId="2" applyNumberFormat="1" applyFont="1" applyFill="1" applyBorder="1" applyAlignment="1">
      <alignment horizontal="center"/>
    </xf>
    <xf numFmtId="0" fontId="8" fillId="0" borderId="19" xfId="2" applyFont="1" applyBorder="1"/>
    <xf numFmtId="2" fontId="7" fillId="5" borderId="6" xfId="2" applyNumberFormat="1" applyFont="1" applyFill="1" applyBorder="1" applyAlignment="1">
      <alignment horizontal="center"/>
    </xf>
    <xf numFmtId="2" fontId="7" fillId="0" borderId="20" xfId="2" applyNumberFormat="1" applyFont="1" applyFill="1" applyBorder="1" applyAlignment="1">
      <alignment horizontal="center"/>
    </xf>
    <xf numFmtId="2" fontId="14" fillId="0" borderId="6" xfId="2" applyNumberFormat="1" applyFont="1" applyFill="1" applyBorder="1" applyAlignment="1">
      <alignment horizontal="center"/>
    </xf>
    <xf numFmtId="2" fontId="7" fillId="0" borderId="6" xfId="2" applyNumberFormat="1" applyFont="1" applyFill="1" applyBorder="1" applyAlignment="1">
      <alignment horizontal="center"/>
    </xf>
    <xf numFmtId="168" fontId="6" fillId="9" borderId="6" xfId="2" applyNumberFormat="1" applyFont="1" applyFill="1" applyBorder="1" applyAlignment="1">
      <alignment horizontal="center"/>
    </xf>
    <xf numFmtId="164" fontId="6" fillId="0" borderId="6" xfId="2" applyNumberFormat="1" applyFont="1" applyBorder="1" applyAlignment="1">
      <alignment horizontal="center"/>
    </xf>
    <xf numFmtId="2" fontId="6" fillId="0" borderId="6" xfId="2" applyNumberFormat="1" applyFont="1" applyBorder="1" applyAlignment="1">
      <alignment horizontal="center"/>
    </xf>
    <xf numFmtId="2" fontId="6" fillId="0" borderId="4" xfId="2" applyNumberFormat="1" applyFont="1" applyBorder="1" applyAlignment="1">
      <alignment horizontal="center"/>
    </xf>
    <xf numFmtId="2" fontId="6" fillId="0" borderId="27" xfId="2" applyNumberFormat="1" applyFont="1" applyFill="1" applyBorder="1" applyAlignment="1">
      <alignment horizontal="center"/>
    </xf>
    <xf numFmtId="2" fontId="14" fillId="0" borderId="6" xfId="2" applyNumberFormat="1" applyFont="1" applyBorder="1" applyAlignment="1">
      <alignment horizontal="center"/>
    </xf>
    <xf numFmtId="2" fontId="7" fillId="0" borderId="6" xfId="2" applyNumberFormat="1" applyFont="1" applyBorder="1" applyAlignment="1">
      <alignment horizontal="center"/>
    </xf>
    <xf numFmtId="0" fontId="7" fillId="12" borderId="2" xfId="2" applyFont="1" applyFill="1" applyBorder="1" applyAlignment="1">
      <alignment horizontal="center"/>
    </xf>
    <xf numFmtId="2" fontId="7" fillId="12" borderId="6" xfId="2" applyNumberFormat="1" applyFont="1" applyFill="1" applyBorder="1" applyAlignment="1">
      <alignment horizontal="center"/>
    </xf>
    <xf numFmtId="2" fontId="7" fillId="12" borderId="20" xfId="2" applyNumberFormat="1" applyFont="1" applyFill="1" applyBorder="1" applyAlignment="1">
      <alignment horizontal="center"/>
    </xf>
    <xf numFmtId="1" fontId="14" fillId="12" borderId="6" xfId="2" applyNumberFormat="1" applyFont="1" applyFill="1" applyBorder="1" applyAlignment="1">
      <alignment horizontal="center"/>
    </xf>
    <xf numFmtId="1" fontId="14" fillId="12" borderId="2" xfId="2" applyNumberFormat="1" applyFont="1" applyFill="1" applyBorder="1" applyAlignment="1">
      <alignment horizontal="center"/>
    </xf>
    <xf numFmtId="1" fontId="7" fillId="12" borderId="6" xfId="2" applyNumberFormat="1" applyFont="1" applyFill="1" applyBorder="1" applyAlignment="1">
      <alignment horizontal="center"/>
    </xf>
    <xf numFmtId="2" fontId="7" fillId="0" borderId="27" xfId="2" applyNumberFormat="1" applyFont="1" applyFill="1" applyBorder="1" applyAlignment="1">
      <alignment horizontal="center"/>
    </xf>
    <xf numFmtId="0" fontId="6" fillId="7" borderId="18" xfId="2" applyFont="1" applyFill="1" applyBorder="1" applyAlignment="1"/>
    <xf numFmtId="0" fontId="8" fillId="0" borderId="7" xfId="2" applyFont="1" applyFill="1" applyBorder="1"/>
    <xf numFmtId="2" fontId="14" fillId="0" borderId="2" xfId="2" applyNumberFormat="1" applyFont="1" applyBorder="1" applyAlignment="1">
      <alignment horizontal="center"/>
    </xf>
    <xf numFmtId="166" fontId="7" fillId="0" borderId="6" xfId="2" applyNumberFormat="1" applyFont="1" applyBorder="1" applyAlignment="1">
      <alignment horizontal="center"/>
    </xf>
    <xf numFmtId="0" fontId="8" fillId="0" borderId="28" xfId="2" applyFont="1" applyBorder="1"/>
    <xf numFmtId="2" fontId="14" fillId="0" borderId="5" xfId="2" applyNumberFormat="1" applyFont="1" applyBorder="1" applyAlignment="1">
      <alignment horizontal="center"/>
    </xf>
    <xf numFmtId="2" fontId="14" fillId="0" borderId="1" xfId="2" applyNumberFormat="1" applyFont="1" applyBorder="1" applyAlignment="1">
      <alignment horizontal="center"/>
    </xf>
    <xf numFmtId="2" fontId="14" fillId="0" borderId="1" xfId="2" applyNumberFormat="1" applyFont="1" applyFill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0" fontId="16" fillId="7" borderId="17" xfId="2" applyFont="1" applyFill="1" applyBorder="1" applyAlignment="1"/>
    <xf numFmtId="0" fontId="8" fillId="0" borderId="7" xfId="2" applyFont="1" applyFill="1" applyBorder="1" applyAlignment="1">
      <alignment horizontal="left"/>
    </xf>
    <xf numFmtId="0" fontId="8" fillId="0" borderId="19" xfId="2" applyFont="1" applyFill="1" applyBorder="1"/>
    <xf numFmtId="2" fontId="7" fillId="0" borderId="2" xfId="2" applyNumberFormat="1" applyFont="1" applyFill="1" applyBorder="1" applyAlignment="1">
      <alignment horizontal="center"/>
    </xf>
    <xf numFmtId="2" fontId="14" fillId="0" borderId="2" xfId="2" applyNumberFormat="1" applyFont="1" applyFill="1" applyBorder="1" applyAlignment="1">
      <alignment horizontal="center"/>
    </xf>
    <xf numFmtId="0" fontId="8" fillId="0" borderId="28" xfId="2" applyFont="1" applyFill="1" applyBorder="1"/>
    <xf numFmtId="1" fontId="14" fillId="0" borderId="2" xfId="2" applyNumberFormat="1" applyFont="1" applyFill="1" applyBorder="1" applyAlignment="1">
      <alignment horizontal="center"/>
    </xf>
    <xf numFmtId="0" fontId="10" fillId="0" borderId="28" xfId="2" applyFont="1" applyFill="1" applyBorder="1"/>
    <xf numFmtId="2" fontId="7" fillId="0" borderId="1" xfId="2" applyNumberFormat="1" applyFont="1" applyFill="1" applyBorder="1" applyAlignment="1">
      <alignment horizontal="center"/>
    </xf>
    <xf numFmtId="2" fontId="7" fillId="0" borderId="5" xfId="2" applyNumberFormat="1" applyFont="1" applyFill="1" applyBorder="1" applyAlignment="1">
      <alignment horizontal="center"/>
    </xf>
    <xf numFmtId="166" fontId="7" fillId="0" borderId="1" xfId="2" applyNumberFormat="1" applyFont="1" applyFill="1" applyBorder="1" applyAlignment="1">
      <alignment horizontal="center"/>
    </xf>
    <xf numFmtId="1" fontId="7" fillId="0" borderId="1" xfId="2" applyNumberFormat="1" applyFont="1" applyFill="1" applyBorder="1" applyAlignment="1">
      <alignment horizontal="center"/>
    </xf>
    <xf numFmtId="166" fontId="7" fillId="0" borderId="34" xfId="2" applyNumberFormat="1" applyFont="1" applyFill="1" applyBorder="1" applyAlignment="1">
      <alignment horizontal="center"/>
    </xf>
    <xf numFmtId="0" fontId="7" fillId="0" borderId="11" xfId="2" applyFont="1" applyBorder="1"/>
    <xf numFmtId="2" fontId="16" fillId="4" borderId="12" xfId="2" applyNumberFormat="1" applyFont="1" applyFill="1" applyBorder="1" applyAlignment="1">
      <alignment horizontal="center"/>
    </xf>
    <xf numFmtId="0" fontId="7" fillId="0" borderId="26" xfId="2" applyFont="1" applyBorder="1"/>
    <xf numFmtId="0" fontId="5" fillId="13" borderId="35" xfId="2" applyFont="1" applyFill="1" applyBorder="1" applyAlignment="1"/>
    <xf numFmtId="0" fontId="6" fillId="13" borderId="36" xfId="2" applyFont="1" applyFill="1" applyBorder="1" applyAlignment="1"/>
    <xf numFmtId="2" fontId="7" fillId="13" borderId="36" xfId="2" applyNumberFormat="1" applyFont="1" applyFill="1" applyBorder="1" applyAlignment="1">
      <alignment horizontal="center"/>
    </xf>
    <xf numFmtId="166" fontId="7" fillId="13" borderId="36" xfId="2" applyNumberFormat="1" applyFont="1" applyFill="1" applyBorder="1" applyAlignment="1">
      <alignment horizontal="center"/>
    </xf>
    <xf numFmtId="166" fontId="7" fillId="13" borderId="37" xfId="2" applyNumberFormat="1" applyFont="1" applyFill="1" applyBorder="1" applyAlignment="1">
      <alignment horizontal="center"/>
    </xf>
    <xf numFmtId="2" fontId="7" fillId="0" borderId="12" xfId="2" applyNumberFormat="1" applyFont="1" applyBorder="1" applyAlignment="1">
      <alignment horizontal="center"/>
    </xf>
    <xf numFmtId="171" fontId="7" fillId="0" borderId="22" xfId="2" applyNumberFormat="1" applyFont="1" applyBorder="1" applyAlignment="1">
      <alignment horizontal="center"/>
    </xf>
    <xf numFmtId="171" fontId="7" fillId="0" borderId="20" xfId="2" applyNumberFormat="1" applyFont="1" applyBorder="1" applyAlignment="1">
      <alignment horizontal="center"/>
    </xf>
    <xf numFmtId="1" fontId="7" fillId="0" borderId="27" xfId="2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/>
    <xf numFmtId="2" fontId="6" fillId="9" borderId="6" xfId="2" applyNumberFormat="1" applyFont="1" applyFill="1" applyBorder="1" applyAlignment="1"/>
    <xf numFmtId="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right"/>
    </xf>
    <xf numFmtId="166" fontId="16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171" fontId="7" fillId="0" borderId="0" xfId="2" applyNumberFormat="1" applyFont="1" applyAlignment="1">
      <alignment horizontal="center"/>
    </xf>
    <xf numFmtId="171" fontId="7" fillId="0" borderId="6" xfId="2" applyNumberFormat="1" applyFont="1" applyBorder="1" applyAlignment="1">
      <alignment horizontal="center"/>
    </xf>
    <xf numFmtId="0" fontId="6" fillId="6" borderId="0" xfId="2" applyFont="1" applyFill="1" applyAlignment="1">
      <alignment horizontal="right"/>
    </xf>
    <xf numFmtId="0" fontId="7" fillId="6" borderId="0" xfId="2" applyFont="1" applyFill="1" applyAlignment="1">
      <alignment horizontal="center"/>
    </xf>
    <xf numFmtId="43" fontId="7" fillId="0" borderId="0" xfId="2" applyNumberFormat="1" applyFont="1" applyAlignment="1">
      <alignment horizontal="center"/>
    </xf>
    <xf numFmtId="172" fontId="2" fillId="0" borderId="0" xfId="1" applyNumberFormat="1" applyFont="1"/>
    <xf numFmtId="2" fontId="19" fillId="0" borderId="0" xfId="2" applyNumberFormat="1" applyFont="1" applyFill="1" applyBorder="1" applyAlignment="1">
      <alignment horizontal="center"/>
    </xf>
    <xf numFmtId="2" fontId="6" fillId="2" borderId="0" xfId="2" applyNumberFormat="1" applyFont="1" applyFill="1" applyAlignment="1">
      <alignment horizontal="center"/>
    </xf>
    <xf numFmtId="164" fontId="6" fillId="0" borderId="0" xfId="2" applyNumberFormat="1" applyFont="1" applyBorder="1" applyAlignment="1"/>
    <xf numFmtId="170" fontId="7" fillId="0" borderId="4" xfId="2" applyNumberFormat="1" applyFont="1" applyBorder="1" applyAlignment="1">
      <alignment horizontal="center" vertical="center"/>
    </xf>
    <xf numFmtId="1" fontId="7" fillId="14" borderId="20" xfId="2" applyNumberFormat="1" applyFont="1" applyFill="1" applyBorder="1" applyAlignment="1">
      <alignment horizontal="center"/>
    </xf>
    <xf numFmtId="0" fontId="7" fillId="14" borderId="6" xfId="2" applyFont="1" applyFill="1" applyBorder="1" applyAlignment="1">
      <alignment horizontal="center"/>
    </xf>
    <xf numFmtId="166" fontId="7" fillId="14" borderId="6" xfId="2" applyNumberFormat="1" applyFont="1" applyFill="1" applyBorder="1" applyAlignment="1">
      <alignment horizontal="center"/>
    </xf>
    <xf numFmtId="2" fontId="7" fillId="14" borderId="6" xfId="2" applyNumberFormat="1" applyFont="1" applyFill="1" applyBorder="1" applyAlignment="1">
      <alignment horizontal="center"/>
    </xf>
    <xf numFmtId="166" fontId="7" fillId="14" borderId="2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/>
    <xf numFmtId="1" fontId="7" fillId="0" borderId="0" xfId="2" applyNumberFormat="1" applyFont="1" applyFill="1"/>
    <xf numFmtId="0" fontId="16" fillId="0" borderId="0" xfId="2" applyFont="1" applyFill="1"/>
    <xf numFmtId="0" fontId="2" fillId="0" borderId="0" xfId="0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 applyFont="1" applyFill="1" applyBorder="1"/>
    <xf numFmtId="2" fontId="4" fillId="15" borderId="6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 wrapText="1"/>
    </xf>
    <xf numFmtId="164" fontId="4" fillId="15" borderId="6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/>
    <xf numFmtId="0" fontId="21" fillId="0" borderId="0" xfId="2" applyFont="1" applyFill="1" applyBorder="1" applyAlignment="1">
      <alignment horizontal="center"/>
    </xf>
    <xf numFmtId="2" fontId="4" fillId="16" borderId="6" xfId="2" applyNumberFormat="1" applyFont="1" applyFill="1" applyBorder="1" applyAlignment="1">
      <alignment horizontal="center" vertical="center"/>
    </xf>
    <xf numFmtId="164" fontId="4" fillId="16" borderId="6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/>
    </xf>
    <xf numFmtId="0" fontId="21" fillId="0" borderId="6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vertical="center" wrapText="1"/>
    </xf>
    <xf numFmtId="0" fontId="23" fillId="0" borderId="6" xfId="2" applyFont="1" applyFill="1" applyBorder="1" applyAlignment="1">
      <alignment vertical="center"/>
    </xf>
    <xf numFmtId="0" fontId="23" fillId="0" borderId="6" xfId="2" applyFont="1" applyFill="1" applyBorder="1" applyAlignment="1">
      <alignment horizontal="center" vertical="center" wrapText="1"/>
    </xf>
    <xf numFmtId="0" fontId="23" fillId="0" borderId="20" xfId="2" applyFont="1" applyFill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center" vertical="center" wrapText="1"/>
    </xf>
    <xf numFmtId="166" fontId="3" fillId="0" borderId="0" xfId="2" applyNumberFormat="1" applyFont="1" applyFill="1" applyBorder="1"/>
    <xf numFmtId="0" fontId="21" fillId="0" borderId="19" xfId="2" applyFont="1" applyFill="1" applyBorder="1" applyAlignment="1">
      <alignment horizontal="center" vertical="center"/>
    </xf>
    <xf numFmtId="1" fontId="21" fillId="0" borderId="6" xfId="2" applyNumberFormat="1" applyFont="1" applyFill="1" applyBorder="1" applyAlignment="1">
      <alignment horizontal="center" vertical="center"/>
    </xf>
    <xf numFmtId="1" fontId="3" fillId="0" borderId="6" xfId="2" applyNumberFormat="1" applyFont="1" applyFill="1" applyBorder="1" applyAlignment="1"/>
    <xf numFmtId="2" fontId="3" fillId="0" borderId="6" xfId="2" applyNumberFormat="1" applyFont="1" applyFill="1" applyBorder="1" applyAlignment="1"/>
    <xf numFmtId="2" fontId="3" fillId="0" borderId="20" xfId="2" applyNumberFormat="1" applyFont="1" applyFill="1" applyBorder="1"/>
    <xf numFmtId="2" fontId="3" fillId="0" borderId="0" xfId="2" applyNumberFormat="1" applyFont="1" applyFill="1" applyBorder="1" applyAlignment="1"/>
    <xf numFmtId="2" fontId="3" fillId="0" borderId="0" xfId="2" applyNumberFormat="1" applyFont="1" applyFill="1" applyBorder="1"/>
    <xf numFmtId="2" fontId="21" fillId="0" borderId="6" xfId="2" applyNumberFormat="1" applyFont="1" applyFill="1" applyBorder="1" applyAlignment="1">
      <alignment horizontal="center" vertical="center"/>
    </xf>
    <xf numFmtId="1" fontId="21" fillId="0" borderId="1" xfId="2" applyNumberFormat="1" applyFont="1" applyFill="1" applyBorder="1" applyAlignment="1">
      <alignment horizontal="center" vertical="center"/>
    </xf>
    <xf numFmtId="164" fontId="3" fillId="0" borderId="6" xfId="2" applyNumberFormat="1" applyFont="1" applyFill="1" applyBorder="1" applyAlignment="1"/>
    <xf numFmtId="0" fontId="21" fillId="0" borderId="11" xfId="2" applyFont="1" applyFill="1" applyBorder="1" applyAlignment="1">
      <alignment horizontal="center" vertical="center"/>
    </xf>
    <xf numFmtId="1" fontId="21" fillId="0" borderId="12" xfId="2" applyNumberFormat="1" applyFont="1" applyFill="1" applyBorder="1" applyAlignment="1">
      <alignment horizontal="center" vertical="center"/>
    </xf>
    <xf numFmtId="1" fontId="3" fillId="0" borderId="12" xfId="2" applyNumberFormat="1" applyFont="1" applyFill="1" applyBorder="1" applyAlignment="1"/>
    <xf numFmtId="2" fontId="3" fillId="0" borderId="12" xfId="2" applyNumberFormat="1" applyFont="1" applyFill="1" applyBorder="1" applyAlignment="1"/>
    <xf numFmtId="2" fontId="3" fillId="0" borderId="22" xfId="2" applyNumberFormat="1" applyFont="1" applyFill="1" applyBorder="1"/>
    <xf numFmtId="0" fontId="24" fillId="0" borderId="0" xfId="2" applyFont="1" applyFill="1" applyBorder="1" applyAlignment="1">
      <alignment horizontal="center"/>
    </xf>
    <xf numFmtId="0" fontId="21" fillId="0" borderId="28" xfId="2" applyFont="1" applyFill="1" applyBorder="1" applyAlignment="1">
      <alignment vertical="center"/>
    </xf>
    <xf numFmtId="2" fontId="3" fillId="0" borderId="2" xfId="2" applyNumberFormat="1" applyFont="1" applyFill="1" applyBorder="1" applyAlignment="1"/>
    <xf numFmtId="166" fontId="3" fillId="0" borderId="0" xfId="2" applyNumberFormat="1" applyFont="1" applyFill="1" applyBorder="1" applyAlignment="1"/>
    <xf numFmtId="0" fontId="21" fillId="0" borderId="6" xfId="2" applyFont="1" applyFill="1" applyBorder="1" applyAlignment="1">
      <alignment horizontal="center" vertical="center"/>
    </xf>
    <xf numFmtId="0" fontId="21" fillId="0" borderId="28" xfId="2" applyFont="1" applyFill="1" applyBorder="1" applyAlignment="1">
      <alignment horizontal="center" vertical="center"/>
    </xf>
    <xf numFmtId="0" fontId="21" fillId="0" borderId="12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173" fontId="20" fillId="0" borderId="0" xfId="2" applyNumberFormat="1" applyFont="1" applyFill="1" applyBorder="1" applyAlignment="1">
      <alignment horizontal="center" vertical="center"/>
    </xf>
    <xf numFmtId="2" fontId="21" fillId="0" borderId="5" xfId="2" applyNumberFormat="1" applyFont="1" applyFill="1" applyBorder="1" applyAlignment="1">
      <alignment horizontal="center" vertical="center"/>
    </xf>
    <xf numFmtId="2" fontId="21" fillId="0" borderId="13" xfId="2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1" fontId="21" fillId="0" borderId="0" xfId="2" applyNumberFormat="1" applyFont="1" applyFill="1" applyBorder="1" applyAlignment="1">
      <alignment horizontal="center" vertical="center"/>
    </xf>
    <xf numFmtId="1" fontId="21" fillId="0" borderId="4" xfId="2" applyNumberFormat="1" applyFont="1" applyFill="1" applyBorder="1" applyAlignment="1">
      <alignment horizontal="center" vertical="center"/>
    </xf>
    <xf numFmtId="1" fontId="23" fillId="0" borderId="0" xfId="2" applyNumberFormat="1" applyFont="1" applyFill="1" applyBorder="1" applyAlignment="1"/>
    <xf numFmtId="1" fontId="3" fillId="17" borderId="0" xfId="2" applyNumberFormat="1" applyFont="1" applyFill="1" applyBorder="1"/>
    <xf numFmtId="0" fontId="7" fillId="9" borderId="13" xfId="2" applyFont="1" applyFill="1" applyBorder="1" applyAlignment="1">
      <alignment horizontal="center" vertical="center"/>
    </xf>
    <xf numFmtId="0" fontId="7" fillId="9" borderId="14" xfId="2" applyFont="1" applyFill="1" applyBorder="1" applyAlignment="1">
      <alignment horizontal="center" vertical="center"/>
    </xf>
    <xf numFmtId="0" fontId="7" fillId="9" borderId="15" xfId="2" applyFont="1" applyFill="1" applyBorder="1" applyAlignment="1">
      <alignment horizontal="center" vertical="center"/>
    </xf>
    <xf numFmtId="0" fontId="6" fillId="9" borderId="28" xfId="2" applyFont="1" applyFill="1" applyBorder="1" applyAlignment="1">
      <alignment horizontal="left" vertical="center"/>
    </xf>
    <xf numFmtId="0" fontId="6" fillId="9" borderId="26" xfId="2" applyFont="1" applyFill="1" applyBorder="1" applyAlignment="1">
      <alignment horizontal="left" vertical="center"/>
    </xf>
    <xf numFmtId="0" fontId="8" fillId="0" borderId="28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10" fillId="12" borderId="28" xfId="2" applyFont="1" applyFill="1" applyBorder="1" applyAlignment="1">
      <alignment horizontal="left" vertical="center"/>
    </xf>
    <xf numFmtId="0" fontId="10" fillId="12" borderId="26" xfId="2" applyFont="1" applyFill="1" applyBorder="1" applyAlignment="1">
      <alignment horizontal="left" vertical="center"/>
    </xf>
    <xf numFmtId="0" fontId="7" fillId="0" borderId="0" xfId="2" applyFont="1" applyFill="1" applyAlignment="1">
      <alignment horizontal="left" wrapText="1"/>
    </xf>
    <xf numFmtId="0" fontId="21" fillId="0" borderId="19" xfId="2" applyFont="1" applyFill="1" applyBorder="1" applyAlignment="1">
      <alignment horizontal="center" vertical="center"/>
    </xf>
    <xf numFmtId="0" fontId="22" fillId="0" borderId="6" xfId="2" applyFont="1" applyFill="1" applyBorder="1" applyAlignment="1">
      <alignment horizontal="center"/>
    </xf>
    <xf numFmtId="0" fontId="22" fillId="0" borderId="2" xfId="2" applyFont="1" applyFill="1" applyBorder="1" applyAlignment="1">
      <alignment horizontal="center"/>
    </xf>
    <xf numFmtId="0" fontId="22" fillId="0" borderId="20" xfId="2" applyFont="1" applyFill="1" applyBorder="1" applyAlignment="1">
      <alignment horizontal="center"/>
    </xf>
    <xf numFmtId="173" fontId="20" fillId="0" borderId="7" xfId="2" applyNumberFormat="1" applyFont="1" applyFill="1" applyBorder="1" applyAlignment="1">
      <alignment horizontal="center" vertical="center"/>
    </xf>
    <xf numFmtId="173" fontId="20" fillId="0" borderId="8" xfId="2" applyNumberFormat="1" applyFont="1" applyFill="1" applyBorder="1" applyAlignment="1">
      <alignment horizontal="center" vertical="center"/>
    </xf>
    <xf numFmtId="173" fontId="20" fillId="0" borderId="29" xfId="2" applyNumberFormat="1" applyFont="1" applyFill="1" applyBorder="1" applyAlignment="1">
      <alignment horizontal="center" vertical="center"/>
    </xf>
    <xf numFmtId="173" fontId="20" fillId="0" borderId="10" xfId="2" applyNumberFormat="1" applyFont="1" applyFill="1" applyBorder="1" applyAlignment="1">
      <alignment horizontal="center" vertical="center"/>
    </xf>
    <xf numFmtId="0" fontId="3" fillId="0" borderId="19" xfId="2" applyFont="1" applyFill="1" applyBorder="1" applyAlignment="1">
      <alignment horizontal="center"/>
    </xf>
    <xf numFmtId="0" fontId="21" fillId="0" borderId="6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3" xfId="2" applyFont="1" applyFill="1" applyBorder="1" applyAlignment="1">
      <alignment horizontal="center" vertical="center" wrapText="1"/>
    </xf>
    <xf numFmtId="0" fontId="21" fillId="0" borderId="8" xfId="2" applyFont="1" applyFill="1" applyBorder="1" applyAlignment="1">
      <alignment horizontal="center" vertical="center" wrapText="1"/>
    </xf>
    <xf numFmtId="0" fontId="21" fillId="0" borderId="10" xfId="2" applyFont="1" applyFill="1" applyBorder="1" applyAlignment="1">
      <alignment horizontal="center" vertical="center" wrapText="1"/>
    </xf>
    <xf numFmtId="0" fontId="21" fillId="0" borderId="20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center"/>
    </xf>
    <xf numFmtId="0" fontId="21" fillId="0" borderId="2" xfId="2" applyFont="1" applyFill="1" applyBorder="1" applyAlignment="1">
      <alignment horizontal="center"/>
    </xf>
    <xf numFmtId="0" fontId="21" fillId="0" borderId="20" xfId="2" applyFont="1" applyFill="1" applyBorder="1" applyAlignment="1">
      <alignment horizontal="center"/>
    </xf>
    <xf numFmtId="0" fontId="24" fillId="0" borderId="7" xfId="2" applyFont="1" applyFill="1" applyBorder="1" applyAlignment="1">
      <alignment horizontal="center"/>
    </xf>
    <xf numFmtId="0" fontId="24" fillId="0" borderId="42" xfId="2" applyFont="1" applyFill="1" applyBorder="1" applyAlignment="1">
      <alignment horizontal="center"/>
    </xf>
    <xf numFmtId="0" fontId="24" fillId="0" borderId="43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4" fillId="0" borderId="4" xfId="2" applyFont="1" applyFill="1" applyBorder="1" applyAlignment="1">
      <alignment horizontal="center"/>
    </xf>
    <xf numFmtId="0" fontId="24" fillId="0" borderId="41" xfId="2" applyFont="1" applyFill="1" applyBorder="1" applyAlignment="1">
      <alignment horizontal="center"/>
    </xf>
    <xf numFmtId="0" fontId="24" fillId="0" borderId="27" xfId="2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"/>
    </xf>
    <xf numFmtId="0" fontId="20" fillId="0" borderId="38" xfId="2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0" fontId="20" fillId="0" borderId="40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/>
    </xf>
  </cellXfs>
  <cellStyles count="3">
    <cellStyle name="КАНДАГАЧ тел3-33-96" xfId="2"/>
    <cellStyle name="Обычный" xfId="0" builtinId="0"/>
    <cellStyle name="Финансовый" xfId="1" builtinId="3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L208"/>
  <sheetViews>
    <sheetView tabSelected="1" topLeftCell="A2" zoomScale="94" zoomScaleNormal="94" workbookViewId="0">
      <pane xSplit="1" ySplit="7" topLeftCell="B21" activePane="bottomRight" state="frozen"/>
      <selection activeCell="I24" sqref="I24"/>
      <selection pane="topRight" activeCell="I24" sqref="I24"/>
      <selection pane="bottomLeft" activeCell="I24" sqref="I24"/>
      <selection pane="bottomRight" activeCell="A33" sqref="A33:O47"/>
    </sheetView>
  </sheetViews>
  <sheetFormatPr defaultColWidth="5.42578125" defaultRowHeight="11.25" x14ac:dyDescent="0.2"/>
  <cols>
    <col min="1" max="1" width="54" style="161" customWidth="1"/>
    <col min="2" max="2" width="9.140625" style="162" customWidth="1"/>
    <col min="3" max="14" width="10.42578125" style="162" customWidth="1"/>
    <col min="15" max="15" width="12.5703125" style="163" customWidth="1"/>
    <col min="16" max="225" width="9.140625" style="8" customWidth="1"/>
    <col min="226" max="226" width="63" style="8" customWidth="1"/>
    <col min="227" max="227" width="9.140625" style="8" customWidth="1"/>
    <col min="228" max="228" width="9.85546875" style="8" customWidth="1"/>
    <col min="229" max="239" width="9.7109375" style="8" customWidth="1"/>
    <col min="240" max="240" width="12.5703125" style="8" customWidth="1"/>
    <col min="241" max="241" width="11" style="8" customWidth="1"/>
    <col min="242" max="242" width="6" style="8" customWidth="1"/>
    <col min="243" max="243" width="4.5703125" style="8" customWidth="1"/>
    <col min="244" max="249" width="5.42578125" style="8"/>
    <col min="250" max="250" width="63" style="8" customWidth="1"/>
    <col min="251" max="251" width="9.140625" style="8" customWidth="1"/>
    <col min="252" max="263" width="10.42578125" style="8" customWidth="1"/>
    <col min="264" max="264" width="12.5703125" style="8" customWidth="1"/>
    <col min="265" max="481" width="9.140625" style="8" customWidth="1"/>
    <col min="482" max="482" width="63" style="8" customWidth="1"/>
    <col min="483" max="483" width="9.140625" style="8" customWidth="1"/>
    <col min="484" max="484" width="9.85546875" style="8" customWidth="1"/>
    <col min="485" max="495" width="9.7109375" style="8" customWidth="1"/>
    <col min="496" max="496" width="12.5703125" style="8" customWidth="1"/>
    <col min="497" max="497" width="11" style="8" customWidth="1"/>
    <col min="498" max="498" width="6" style="8" customWidth="1"/>
    <col min="499" max="499" width="4.5703125" style="8" customWidth="1"/>
    <col min="500" max="505" width="5.42578125" style="8"/>
    <col min="506" max="506" width="63" style="8" customWidth="1"/>
    <col min="507" max="507" width="9.140625" style="8" customWidth="1"/>
    <col min="508" max="519" width="10.42578125" style="8" customWidth="1"/>
    <col min="520" max="520" width="12.5703125" style="8" customWidth="1"/>
    <col min="521" max="737" width="9.140625" style="8" customWidth="1"/>
    <col min="738" max="738" width="63" style="8" customWidth="1"/>
    <col min="739" max="739" width="9.140625" style="8" customWidth="1"/>
    <col min="740" max="740" width="9.85546875" style="8" customWidth="1"/>
    <col min="741" max="751" width="9.7109375" style="8" customWidth="1"/>
    <col min="752" max="752" width="12.5703125" style="8" customWidth="1"/>
    <col min="753" max="753" width="11" style="8" customWidth="1"/>
    <col min="754" max="754" width="6" style="8" customWidth="1"/>
    <col min="755" max="755" width="4.5703125" style="8" customWidth="1"/>
    <col min="756" max="761" width="5.42578125" style="8"/>
    <col min="762" max="762" width="63" style="8" customWidth="1"/>
    <col min="763" max="763" width="9.140625" style="8" customWidth="1"/>
    <col min="764" max="775" width="10.42578125" style="8" customWidth="1"/>
    <col min="776" max="776" width="12.5703125" style="8" customWidth="1"/>
    <col min="777" max="993" width="9.140625" style="8" customWidth="1"/>
    <col min="994" max="994" width="63" style="8" customWidth="1"/>
    <col min="995" max="995" width="9.140625" style="8" customWidth="1"/>
    <col min="996" max="996" width="9.85546875" style="8" customWidth="1"/>
    <col min="997" max="1007" width="9.7109375" style="8" customWidth="1"/>
    <col min="1008" max="1008" width="12.5703125" style="8" customWidth="1"/>
    <col min="1009" max="1009" width="11" style="8" customWidth="1"/>
    <col min="1010" max="1010" width="6" style="8" customWidth="1"/>
    <col min="1011" max="1011" width="4.5703125" style="8" customWidth="1"/>
    <col min="1012" max="1017" width="5.42578125" style="8"/>
    <col min="1018" max="1018" width="63" style="8" customWidth="1"/>
    <col min="1019" max="1019" width="9.140625" style="8" customWidth="1"/>
    <col min="1020" max="1031" width="10.42578125" style="8" customWidth="1"/>
    <col min="1032" max="1032" width="12.5703125" style="8" customWidth="1"/>
    <col min="1033" max="1249" width="9.140625" style="8" customWidth="1"/>
    <col min="1250" max="1250" width="63" style="8" customWidth="1"/>
    <col min="1251" max="1251" width="9.140625" style="8" customWidth="1"/>
    <col min="1252" max="1252" width="9.85546875" style="8" customWidth="1"/>
    <col min="1253" max="1263" width="9.7109375" style="8" customWidth="1"/>
    <col min="1264" max="1264" width="12.5703125" style="8" customWidth="1"/>
    <col min="1265" max="1265" width="11" style="8" customWidth="1"/>
    <col min="1266" max="1266" width="6" style="8" customWidth="1"/>
    <col min="1267" max="1267" width="4.5703125" style="8" customWidth="1"/>
    <col min="1268" max="1273" width="5.42578125" style="8"/>
    <col min="1274" max="1274" width="63" style="8" customWidth="1"/>
    <col min="1275" max="1275" width="9.140625" style="8" customWidth="1"/>
    <col min="1276" max="1287" width="10.42578125" style="8" customWidth="1"/>
    <col min="1288" max="1288" width="12.5703125" style="8" customWidth="1"/>
    <col min="1289" max="1505" width="9.140625" style="8" customWidth="1"/>
    <col min="1506" max="1506" width="63" style="8" customWidth="1"/>
    <col min="1507" max="1507" width="9.140625" style="8" customWidth="1"/>
    <col min="1508" max="1508" width="9.85546875" style="8" customWidth="1"/>
    <col min="1509" max="1519" width="9.7109375" style="8" customWidth="1"/>
    <col min="1520" max="1520" width="12.5703125" style="8" customWidth="1"/>
    <col min="1521" max="1521" width="11" style="8" customWidth="1"/>
    <col min="1522" max="1522" width="6" style="8" customWidth="1"/>
    <col min="1523" max="1523" width="4.5703125" style="8" customWidth="1"/>
    <col min="1524" max="1529" width="5.42578125" style="8"/>
    <col min="1530" max="1530" width="63" style="8" customWidth="1"/>
    <col min="1531" max="1531" width="9.140625" style="8" customWidth="1"/>
    <col min="1532" max="1543" width="10.42578125" style="8" customWidth="1"/>
    <col min="1544" max="1544" width="12.5703125" style="8" customWidth="1"/>
    <col min="1545" max="1761" width="9.140625" style="8" customWidth="1"/>
    <col min="1762" max="1762" width="63" style="8" customWidth="1"/>
    <col min="1763" max="1763" width="9.140625" style="8" customWidth="1"/>
    <col min="1764" max="1764" width="9.85546875" style="8" customWidth="1"/>
    <col min="1765" max="1775" width="9.7109375" style="8" customWidth="1"/>
    <col min="1776" max="1776" width="12.5703125" style="8" customWidth="1"/>
    <col min="1777" max="1777" width="11" style="8" customWidth="1"/>
    <col min="1778" max="1778" width="6" style="8" customWidth="1"/>
    <col min="1779" max="1779" width="4.5703125" style="8" customWidth="1"/>
    <col min="1780" max="1785" width="5.42578125" style="8"/>
    <col min="1786" max="1786" width="63" style="8" customWidth="1"/>
    <col min="1787" max="1787" width="9.140625" style="8" customWidth="1"/>
    <col min="1788" max="1799" width="10.42578125" style="8" customWidth="1"/>
    <col min="1800" max="1800" width="12.5703125" style="8" customWidth="1"/>
    <col min="1801" max="2017" width="9.140625" style="8" customWidth="1"/>
    <col min="2018" max="2018" width="63" style="8" customWidth="1"/>
    <col min="2019" max="2019" width="9.140625" style="8" customWidth="1"/>
    <col min="2020" max="2020" width="9.85546875" style="8" customWidth="1"/>
    <col min="2021" max="2031" width="9.7109375" style="8" customWidth="1"/>
    <col min="2032" max="2032" width="12.5703125" style="8" customWidth="1"/>
    <col min="2033" max="2033" width="11" style="8" customWidth="1"/>
    <col min="2034" max="2034" width="6" style="8" customWidth="1"/>
    <col min="2035" max="2035" width="4.5703125" style="8" customWidth="1"/>
    <col min="2036" max="2041" width="5.42578125" style="8"/>
    <col min="2042" max="2042" width="63" style="8" customWidth="1"/>
    <col min="2043" max="2043" width="9.140625" style="8" customWidth="1"/>
    <col min="2044" max="2055" width="10.42578125" style="8" customWidth="1"/>
    <col min="2056" max="2056" width="12.5703125" style="8" customWidth="1"/>
    <col min="2057" max="2273" width="9.140625" style="8" customWidth="1"/>
    <col min="2274" max="2274" width="63" style="8" customWidth="1"/>
    <col min="2275" max="2275" width="9.140625" style="8" customWidth="1"/>
    <col min="2276" max="2276" width="9.85546875" style="8" customWidth="1"/>
    <col min="2277" max="2287" width="9.7109375" style="8" customWidth="1"/>
    <col min="2288" max="2288" width="12.5703125" style="8" customWidth="1"/>
    <col min="2289" max="2289" width="11" style="8" customWidth="1"/>
    <col min="2290" max="2290" width="6" style="8" customWidth="1"/>
    <col min="2291" max="2291" width="4.5703125" style="8" customWidth="1"/>
    <col min="2292" max="2297" width="5.42578125" style="8"/>
    <col min="2298" max="2298" width="63" style="8" customWidth="1"/>
    <col min="2299" max="2299" width="9.140625" style="8" customWidth="1"/>
    <col min="2300" max="2311" width="10.42578125" style="8" customWidth="1"/>
    <col min="2312" max="2312" width="12.5703125" style="8" customWidth="1"/>
    <col min="2313" max="2529" width="9.140625" style="8" customWidth="1"/>
    <col min="2530" max="2530" width="63" style="8" customWidth="1"/>
    <col min="2531" max="2531" width="9.140625" style="8" customWidth="1"/>
    <col min="2532" max="2532" width="9.85546875" style="8" customWidth="1"/>
    <col min="2533" max="2543" width="9.7109375" style="8" customWidth="1"/>
    <col min="2544" max="2544" width="12.5703125" style="8" customWidth="1"/>
    <col min="2545" max="2545" width="11" style="8" customWidth="1"/>
    <col min="2546" max="2546" width="6" style="8" customWidth="1"/>
    <col min="2547" max="2547" width="4.5703125" style="8" customWidth="1"/>
    <col min="2548" max="2553" width="5.42578125" style="8"/>
    <col min="2554" max="2554" width="63" style="8" customWidth="1"/>
    <col min="2555" max="2555" width="9.140625" style="8" customWidth="1"/>
    <col min="2556" max="2567" width="10.42578125" style="8" customWidth="1"/>
    <col min="2568" max="2568" width="12.5703125" style="8" customWidth="1"/>
    <col min="2569" max="2785" width="9.140625" style="8" customWidth="1"/>
    <col min="2786" max="2786" width="63" style="8" customWidth="1"/>
    <col min="2787" max="2787" width="9.140625" style="8" customWidth="1"/>
    <col min="2788" max="2788" width="9.85546875" style="8" customWidth="1"/>
    <col min="2789" max="2799" width="9.7109375" style="8" customWidth="1"/>
    <col min="2800" max="2800" width="12.5703125" style="8" customWidth="1"/>
    <col min="2801" max="2801" width="11" style="8" customWidth="1"/>
    <col min="2802" max="2802" width="6" style="8" customWidth="1"/>
    <col min="2803" max="2803" width="4.5703125" style="8" customWidth="1"/>
    <col min="2804" max="2809" width="5.42578125" style="8"/>
    <col min="2810" max="2810" width="63" style="8" customWidth="1"/>
    <col min="2811" max="2811" width="9.140625" style="8" customWidth="1"/>
    <col min="2812" max="2823" width="10.42578125" style="8" customWidth="1"/>
    <col min="2824" max="2824" width="12.5703125" style="8" customWidth="1"/>
    <col min="2825" max="3041" width="9.140625" style="8" customWidth="1"/>
    <col min="3042" max="3042" width="63" style="8" customWidth="1"/>
    <col min="3043" max="3043" width="9.140625" style="8" customWidth="1"/>
    <col min="3044" max="3044" width="9.85546875" style="8" customWidth="1"/>
    <col min="3045" max="3055" width="9.7109375" style="8" customWidth="1"/>
    <col min="3056" max="3056" width="12.5703125" style="8" customWidth="1"/>
    <col min="3057" max="3057" width="11" style="8" customWidth="1"/>
    <col min="3058" max="3058" width="6" style="8" customWidth="1"/>
    <col min="3059" max="3059" width="4.5703125" style="8" customWidth="1"/>
    <col min="3060" max="3065" width="5.42578125" style="8"/>
    <col min="3066" max="3066" width="63" style="8" customWidth="1"/>
    <col min="3067" max="3067" width="9.140625" style="8" customWidth="1"/>
    <col min="3068" max="3079" width="10.42578125" style="8" customWidth="1"/>
    <col min="3080" max="3080" width="12.5703125" style="8" customWidth="1"/>
    <col min="3081" max="3297" width="9.140625" style="8" customWidth="1"/>
    <col min="3298" max="3298" width="63" style="8" customWidth="1"/>
    <col min="3299" max="3299" width="9.140625" style="8" customWidth="1"/>
    <col min="3300" max="3300" width="9.85546875" style="8" customWidth="1"/>
    <col min="3301" max="3311" width="9.7109375" style="8" customWidth="1"/>
    <col min="3312" max="3312" width="12.5703125" style="8" customWidth="1"/>
    <col min="3313" max="3313" width="11" style="8" customWidth="1"/>
    <col min="3314" max="3314" width="6" style="8" customWidth="1"/>
    <col min="3315" max="3315" width="4.5703125" style="8" customWidth="1"/>
    <col min="3316" max="3321" width="5.42578125" style="8"/>
    <col min="3322" max="3322" width="63" style="8" customWidth="1"/>
    <col min="3323" max="3323" width="9.140625" style="8" customWidth="1"/>
    <col min="3324" max="3335" width="10.42578125" style="8" customWidth="1"/>
    <col min="3336" max="3336" width="12.5703125" style="8" customWidth="1"/>
    <col min="3337" max="3553" width="9.140625" style="8" customWidth="1"/>
    <col min="3554" max="3554" width="63" style="8" customWidth="1"/>
    <col min="3555" max="3555" width="9.140625" style="8" customWidth="1"/>
    <col min="3556" max="3556" width="9.85546875" style="8" customWidth="1"/>
    <col min="3557" max="3567" width="9.7109375" style="8" customWidth="1"/>
    <col min="3568" max="3568" width="12.5703125" style="8" customWidth="1"/>
    <col min="3569" max="3569" width="11" style="8" customWidth="1"/>
    <col min="3570" max="3570" width="6" style="8" customWidth="1"/>
    <col min="3571" max="3571" width="4.5703125" style="8" customWidth="1"/>
    <col min="3572" max="3577" width="5.42578125" style="8"/>
    <col min="3578" max="3578" width="63" style="8" customWidth="1"/>
    <col min="3579" max="3579" width="9.140625" style="8" customWidth="1"/>
    <col min="3580" max="3591" width="10.42578125" style="8" customWidth="1"/>
    <col min="3592" max="3592" width="12.5703125" style="8" customWidth="1"/>
    <col min="3593" max="3809" width="9.140625" style="8" customWidth="1"/>
    <col min="3810" max="3810" width="63" style="8" customWidth="1"/>
    <col min="3811" max="3811" width="9.140625" style="8" customWidth="1"/>
    <col min="3812" max="3812" width="9.85546875" style="8" customWidth="1"/>
    <col min="3813" max="3823" width="9.7109375" style="8" customWidth="1"/>
    <col min="3824" max="3824" width="12.5703125" style="8" customWidth="1"/>
    <col min="3825" max="3825" width="11" style="8" customWidth="1"/>
    <col min="3826" max="3826" width="6" style="8" customWidth="1"/>
    <col min="3827" max="3827" width="4.5703125" style="8" customWidth="1"/>
    <col min="3828" max="3833" width="5.42578125" style="8"/>
    <col min="3834" max="3834" width="63" style="8" customWidth="1"/>
    <col min="3835" max="3835" width="9.140625" style="8" customWidth="1"/>
    <col min="3836" max="3847" width="10.42578125" style="8" customWidth="1"/>
    <col min="3848" max="3848" width="12.5703125" style="8" customWidth="1"/>
    <col min="3849" max="4065" width="9.140625" style="8" customWidth="1"/>
    <col min="4066" max="4066" width="63" style="8" customWidth="1"/>
    <col min="4067" max="4067" width="9.140625" style="8" customWidth="1"/>
    <col min="4068" max="4068" width="9.85546875" style="8" customWidth="1"/>
    <col min="4069" max="4079" width="9.7109375" style="8" customWidth="1"/>
    <col min="4080" max="4080" width="12.5703125" style="8" customWidth="1"/>
    <col min="4081" max="4081" width="11" style="8" customWidth="1"/>
    <col min="4082" max="4082" width="6" style="8" customWidth="1"/>
    <col min="4083" max="4083" width="4.5703125" style="8" customWidth="1"/>
    <col min="4084" max="4089" width="5.42578125" style="8"/>
    <col min="4090" max="4090" width="63" style="8" customWidth="1"/>
    <col min="4091" max="4091" width="9.140625" style="8" customWidth="1"/>
    <col min="4092" max="4103" width="10.42578125" style="8" customWidth="1"/>
    <col min="4104" max="4104" width="12.5703125" style="8" customWidth="1"/>
    <col min="4105" max="4321" width="9.140625" style="8" customWidth="1"/>
    <col min="4322" max="4322" width="63" style="8" customWidth="1"/>
    <col min="4323" max="4323" width="9.140625" style="8" customWidth="1"/>
    <col min="4324" max="4324" width="9.85546875" style="8" customWidth="1"/>
    <col min="4325" max="4335" width="9.7109375" style="8" customWidth="1"/>
    <col min="4336" max="4336" width="12.5703125" style="8" customWidth="1"/>
    <col min="4337" max="4337" width="11" style="8" customWidth="1"/>
    <col min="4338" max="4338" width="6" style="8" customWidth="1"/>
    <col min="4339" max="4339" width="4.5703125" style="8" customWidth="1"/>
    <col min="4340" max="4345" width="5.42578125" style="8"/>
    <col min="4346" max="4346" width="63" style="8" customWidth="1"/>
    <col min="4347" max="4347" width="9.140625" style="8" customWidth="1"/>
    <col min="4348" max="4359" width="10.42578125" style="8" customWidth="1"/>
    <col min="4360" max="4360" width="12.5703125" style="8" customWidth="1"/>
    <col min="4361" max="4577" width="9.140625" style="8" customWidth="1"/>
    <col min="4578" max="4578" width="63" style="8" customWidth="1"/>
    <col min="4579" max="4579" width="9.140625" style="8" customWidth="1"/>
    <col min="4580" max="4580" width="9.85546875" style="8" customWidth="1"/>
    <col min="4581" max="4591" width="9.7109375" style="8" customWidth="1"/>
    <col min="4592" max="4592" width="12.5703125" style="8" customWidth="1"/>
    <col min="4593" max="4593" width="11" style="8" customWidth="1"/>
    <col min="4594" max="4594" width="6" style="8" customWidth="1"/>
    <col min="4595" max="4595" width="4.5703125" style="8" customWidth="1"/>
    <col min="4596" max="4601" width="5.42578125" style="8"/>
    <col min="4602" max="4602" width="63" style="8" customWidth="1"/>
    <col min="4603" max="4603" width="9.140625" style="8" customWidth="1"/>
    <col min="4604" max="4615" width="10.42578125" style="8" customWidth="1"/>
    <col min="4616" max="4616" width="12.5703125" style="8" customWidth="1"/>
    <col min="4617" max="4833" width="9.140625" style="8" customWidth="1"/>
    <col min="4834" max="4834" width="63" style="8" customWidth="1"/>
    <col min="4835" max="4835" width="9.140625" style="8" customWidth="1"/>
    <col min="4836" max="4836" width="9.85546875" style="8" customWidth="1"/>
    <col min="4837" max="4847" width="9.7109375" style="8" customWidth="1"/>
    <col min="4848" max="4848" width="12.5703125" style="8" customWidth="1"/>
    <col min="4849" max="4849" width="11" style="8" customWidth="1"/>
    <col min="4850" max="4850" width="6" style="8" customWidth="1"/>
    <col min="4851" max="4851" width="4.5703125" style="8" customWidth="1"/>
    <col min="4852" max="4857" width="5.42578125" style="8"/>
    <col min="4858" max="4858" width="63" style="8" customWidth="1"/>
    <col min="4859" max="4859" width="9.140625" style="8" customWidth="1"/>
    <col min="4860" max="4871" width="10.42578125" style="8" customWidth="1"/>
    <col min="4872" max="4872" width="12.5703125" style="8" customWidth="1"/>
    <col min="4873" max="5089" width="9.140625" style="8" customWidth="1"/>
    <col min="5090" max="5090" width="63" style="8" customWidth="1"/>
    <col min="5091" max="5091" width="9.140625" style="8" customWidth="1"/>
    <col min="5092" max="5092" width="9.85546875" style="8" customWidth="1"/>
    <col min="5093" max="5103" width="9.7109375" style="8" customWidth="1"/>
    <col min="5104" max="5104" width="12.5703125" style="8" customWidth="1"/>
    <col min="5105" max="5105" width="11" style="8" customWidth="1"/>
    <col min="5106" max="5106" width="6" style="8" customWidth="1"/>
    <col min="5107" max="5107" width="4.5703125" style="8" customWidth="1"/>
    <col min="5108" max="5113" width="5.42578125" style="8"/>
    <col min="5114" max="5114" width="63" style="8" customWidth="1"/>
    <col min="5115" max="5115" width="9.140625" style="8" customWidth="1"/>
    <col min="5116" max="5127" width="10.42578125" style="8" customWidth="1"/>
    <col min="5128" max="5128" width="12.5703125" style="8" customWidth="1"/>
    <col min="5129" max="5345" width="9.140625" style="8" customWidth="1"/>
    <col min="5346" max="5346" width="63" style="8" customWidth="1"/>
    <col min="5347" max="5347" width="9.140625" style="8" customWidth="1"/>
    <col min="5348" max="5348" width="9.85546875" style="8" customWidth="1"/>
    <col min="5349" max="5359" width="9.7109375" style="8" customWidth="1"/>
    <col min="5360" max="5360" width="12.5703125" style="8" customWidth="1"/>
    <col min="5361" max="5361" width="11" style="8" customWidth="1"/>
    <col min="5362" max="5362" width="6" style="8" customWidth="1"/>
    <col min="5363" max="5363" width="4.5703125" style="8" customWidth="1"/>
    <col min="5364" max="5369" width="5.42578125" style="8"/>
    <col min="5370" max="5370" width="63" style="8" customWidth="1"/>
    <col min="5371" max="5371" width="9.140625" style="8" customWidth="1"/>
    <col min="5372" max="5383" width="10.42578125" style="8" customWidth="1"/>
    <col min="5384" max="5384" width="12.5703125" style="8" customWidth="1"/>
    <col min="5385" max="5601" width="9.140625" style="8" customWidth="1"/>
    <col min="5602" max="5602" width="63" style="8" customWidth="1"/>
    <col min="5603" max="5603" width="9.140625" style="8" customWidth="1"/>
    <col min="5604" max="5604" width="9.85546875" style="8" customWidth="1"/>
    <col min="5605" max="5615" width="9.7109375" style="8" customWidth="1"/>
    <col min="5616" max="5616" width="12.5703125" style="8" customWidth="1"/>
    <col min="5617" max="5617" width="11" style="8" customWidth="1"/>
    <col min="5618" max="5618" width="6" style="8" customWidth="1"/>
    <col min="5619" max="5619" width="4.5703125" style="8" customWidth="1"/>
    <col min="5620" max="5625" width="5.42578125" style="8"/>
    <col min="5626" max="5626" width="63" style="8" customWidth="1"/>
    <col min="5627" max="5627" width="9.140625" style="8" customWidth="1"/>
    <col min="5628" max="5639" width="10.42578125" style="8" customWidth="1"/>
    <col min="5640" max="5640" width="12.5703125" style="8" customWidth="1"/>
    <col min="5641" max="5857" width="9.140625" style="8" customWidth="1"/>
    <col min="5858" max="5858" width="63" style="8" customWidth="1"/>
    <col min="5859" max="5859" width="9.140625" style="8" customWidth="1"/>
    <col min="5860" max="5860" width="9.85546875" style="8" customWidth="1"/>
    <col min="5861" max="5871" width="9.7109375" style="8" customWidth="1"/>
    <col min="5872" max="5872" width="12.5703125" style="8" customWidth="1"/>
    <col min="5873" max="5873" width="11" style="8" customWidth="1"/>
    <col min="5874" max="5874" width="6" style="8" customWidth="1"/>
    <col min="5875" max="5875" width="4.5703125" style="8" customWidth="1"/>
    <col min="5876" max="5881" width="5.42578125" style="8"/>
    <col min="5882" max="5882" width="63" style="8" customWidth="1"/>
    <col min="5883" max="5883" width="9.140625" style="8" customWidth="1"/>
    <col min="5884" max="5895" width="10.42578125" style="8" customWidth="1"/>
    <col min="5896" max="5896" width="12.5703125" style="8" customWidth="1"/>
    <col min="5897" max="6113" width="9.140625" style="8" customWidth="1"/>
    <col min="6114" max="6114" width="63" style="8" customWidth="1"/>
    <col min="6115" max="6115" width="9.140625" style="8" customWidth="1"/>
    <col min="6116" max="6116" width="9.85546875" style="8" customWidth="1"/>
    <col min="6117" max="6127" width="9.7109375" style="8" customWidth="1"/>
    <col min="6128" max="6128" width="12.5703125" style="8" customWidth="1"/>
    <col min="6129" max="6129" width="11" style="8" customWidth="1"/>
    <col min="6130" max="6130" width="6" style="8" customWidth="1"/>
    <col min="6131" max="6131" width="4.5703125" style="8" customWidth="1"/>
    <col min="6132" max="6137" width="5.42578125" style="8"/>
    <col min="6138" max="6138" width="63" style="8" customWidth="1"/>
    <col min="6139" max="6139" width="9.140625" style="8" customWidth="1"/>
    <col min="6140" max="6151" width="10.42578125" style="8" customWidth="1"/>
    <col min="6152" max="6152" width="12.5703125" style="8" customWidth="1"/>
    <col min="6153" max="6369" width="9.140625" style="8" customWidth="1"/>
    <col min="6370" max="6370" width="63" style="8" customWidth="1"/>
    <col min="6371" max="6371" width="9.140625" style="8" customWidth="1"/>
    <col min="6372" max="6372" width="9.85546875" style="8" customWidth="1"/>
    <col min="6373" max="6383" width="9.7109375" style="8" customWidth="1"/>
    <col min="6384" max="6384" width="12.5703125" style="8" customWidth="1"/>
    <col min="6385" max="6385" width="11" style="8" customWidth="1"/>
    <col min="6386" max="6386" width="6" style="8" customWidth="1"/>
    <col min="6387" max="6387" width="4.5703125" style="8" customWidth="1"/>
    <col min="6388" max="6393" width="5.42578125" style="8"/>
    <col min="6394" max="6394" width="63" style="8" customWidth="1"/>
    <col min="6395" max="6395" width="9.140625" style="8" customWidth="1"/>
    <col min="6396" max="6407" width="10.42578125" style="8" customWidth="1"/>
    <col min="6408" max="6408" width="12.5703125" style="8" customWidth="1"/>
    <col min="6409" max="6625" width="9.140625" style="8" customWidth="1"/>
    <col min="6626" max="6626" width="63" style="8" customWidth="1"/>
    <col min="6627" max="6627" width="9.140625" style="8" customWidth="1"/>
    <col min="6628" max="6628" width="9.85546875" style="8" customWidth="1"/>
    <col min="6629" max="6639" width="9.7109375" style="8" customWidth="1"/>
    <col min="6640" max="6640" width="12.5703125" style="8" customWidth="1"/>
    <col min="6641" max="6641" width="11" style="8" customWidth="1"/>
    <col min="6642" max="6642" width="6" style="8" customWidth="1"/>
    <col min="6643" max="6643" width="4.5703125" style="8" customWidth="1"/>
    <col min="6644" max="6649" width="5.42578125" style="8"/>
    <col min="6650" max="6650" width="63" style="8" customWidth="1"/>
    <col min="6651" max="6651" width="9.140625" style="8" customWidth="1"/>
    <col min="6652" max="6663" width="10.42578125" style="8" customWidth="1"/>
    <col min="6664" max="6664" width="12.5703125" style="8" customWidth="1"/>
    <col min="6665" max="6881" width="9.140625" style="8" customWidth="1"/>
    <col min="6882" max="6882" width="63" style="8" customWidth="1"/>
    <col min="6883" max="6883" width="9.140625" style="8" customWidth="1"/>
    <col min="6884" max="6884" width="9.85546875" style="8" customWidth="1"/>
    <col min="6885" max="6895" width="9.7109375" style="8" customWidth="1"/>
    <col min="6896" max="6896" width="12.5703125" style="8" customWidth="1"/>
    <col min="6897" max="6897" width="11" style="8" customWidth="1"/>
    <col min="6898" max="6898" width="6" style="8" customWidth="1"/>
    <col min="6899" max="6899" width="4.5703125" style="8" customWidth="1"/>
    <col min="6900" max="6905" width="5.42578125" style="8"/>
    <col min="6906" max="6906" width="63" style="8" customWidth="1"/>
    <col min="6907" max="6907" width="9.140625" style="8" customWidth="1"/>
    <col min="6908" max="6919" width="10.42578125" style="8" customWidth="1"/>
    <col min="6920" max="6920" width="12.5703125" style="8" customWidth="1"/>
    <col min="6921" max="7137" width="9.140625" style="8" customWidth="1"/>
    <col min="7138" max="7138" width="63" style="8" customWidth="1"/>
    <col min="7139" max="7139" width="9.140625" style="8" customWidth="1"/>
    <col min="7140" max="7140" width="9.85546875" style="8" customWidth="1"/>
    <col min="7141" max="7151" width="9.7109375" style="8" customWidth="1"/>
    <col min="7152" max="7152" width="12.5703125" style="8" customWidth="1"/>
    <col min="7153" max="7153" width="11" style="8" customWidth="1"/>
    <col min="7154" max="7154" width="6" style="8" customWidth="1"/>
    <col min="7155" max="7155" width="4.5703125" style="8" customWidth="1"/>
    <col min="7156" max="7161" width="5.42578125" style="8"/>
    <col min="7162" max="7162" width="63" style="8" customWidth="1"/>
    <col min="7163" max="7163" width="9.140625" style="8" customWidth="1"/>
    <col min="7164" max="7175" width="10.42578125" style="8" customWidth="1"/>
    <col min="7176" max="7176" width="12.5703125" style="8" customWidth="1"/>
    <col min="7177" max="7393" width="9.140625" style="8" customWidth="1"/>
    <col min="7394" max="7394" width="63" style="8" customWidth="1"/>
    <col min="7395" max="7395" width="9.140625" style="8" customWidth="1"/>
    <col min="7396" max="7396" width="9.85546875" style="8" customWidth="1"/>
    <col min="7397" max="7407" width="9.7109375" style="8" customWidth="1"/>
    <col min="7408" max="7408" width="12.5703125" style="8" customWidth="1"/>
    <col min="7409" max="7409" width="11" style="8" customWidth="1"/>
    <col min="7410" max="7410" width="6" style="8" customWidth="1"/>
    <col min="7411" max="7411" width="4.5703125" style="8" customWidth="1"/>
    <col min="7412" max="7417" width="5.42578125" style="8"/>
    <col min="7418" max="7418" width="63" style="8" customWidth="1"/>
    <col min="7419" max="7419" width="9.140625" style="8" customWidth="1"/>
    <col min="7420" max="7431" width="10.42578125" style="8" customWidth="1"/>
    <col min="7432" max="7432" width="12.5703125" style="8" customWidth="1"/>
    <col min="7433" max="7649" width="9.140625" style="8" customWidth="1"/>
    <col min="7650" max="7650" width="63" style="8" customWidth="1"/>
    <col min="7651" max="7651" width="9.140625" style="8" customWidth="1"/>
    <col min="7652" max="7652" width="9.85546875" style="8" customWidth="1"/>
    <col min="7653" max="7663" width="9.7109375" style="8" customWidth="1"/>
    <col min="7664" max="7664" width="12.5703125" style="8" customWidth="1"/>
    <col min="7665" max="7665" width="11" style="8" customWidth="1"/>
    <col min="7666" max="7666" width="6" style="8" customWidth="1"/>
    <col min="7667" max="7667" width="4.5703125" style="8" customWidth="1"/>
    <col min="7668" max="7673" width="5.42578125" style="8"/>
    <col min="7674" max="7674" width="63" style="8" customWidth="1"/>
    <col min="7675" max="7675" width="9.140625" style="8" customWidth="1"/>
    <col min="7676" max="7687" width="10.42578125" style="8" customWidth="1"/>
    <col min="7688" max="7688" width="12.5703125" style="8" customWidth="1"/>
    <col min="7689" max="7905" width="9.140625" style="8" customWidth="1"/>
    <col min="7906" max="7906" width="63" style="8" customWidth="1"/>
    <col min="7907" max="7907" width="9.140625" style="8" customWidth="1"/>
    <col min="7908" max="7908" width="9.85546875" style="8" customWidth="1"/>
    <col min="7909" max="7919" width="9.7109375" style="8" customWidth="1"/>
    <col min="7920" max="7920" width="12.5703125" style="8" customWidth="1"/>
    <col min="7921" max="7921" width="11" style="8" customWidth="1"/>
    <col min="7922" max="7922" width="6" style="8" customWidth="1"/>
    <col min="7923" max="7923" width="4.5703125" style="8" customWidth="1"/>
    <col min="7924" max="7929" width="5.42578125" style="8"/>
    <col min="7930" max="7930" width="63" style="8" customWidth="1"/>
    <col min="7931" max="7931" width="9.140625" style="8" customWidth="1"/>
    <col min="7932" max="7943" width="10.42578125" style="8" customWidth="1"/>
    <col min="7944" max="7944" width="12.5703125" style="8" customWidth="1"/>
    <col min="7945" max="8161" width="9.140625" style="8" customWidth="1"/>
    <col min="8162" max="8162" width="63" style="8" customWidth="1"/>
    <col min="8163" max="8163" width="9.140625" style="8" customWidth="1"/>
    <col min="8164" max="8164" width="9.85546875" style="8" customWidth="1"/>
    <col min="8165" max="8175" width="9.7109375" style="8" customWidth="1"/>
    <col min="8176" max="8176" width="12.5703125" style="8" customWidth="1"/>
    <col min="8177" max="8177" width="11" style="8" customWidth="1"/>
    <col min="8178" max="8178" width="6" style="8" customWidth="1"/>
    <col min="8179" max="8179" width="4.5703125" style="8" customWidth="1"/>
    <col min="8180" max="8185" width="5.42578125" style="8"/>
    <col min="8186" max="8186" width="63" style="8" customWidth="1"/>
    <col min="8187" max="8187" width="9.140625" style="8" customWidth="1"/>
    <col min="8188" max="8199" width="10.42578125" style="8" customWidth="1"/>
    <col min="8200" max="8200" width="12.5703125" style="8" customWidth="1"/>
    <col min="8201" max="8417" width="9.140625" style="8" customWidth="1"/>
    <col min="8418" max="8418" width="63" style="8" customWidth="1"/>
    <col min="8419" max="8419" width="9.140625" style="8" customWidth="1"/>
    <col min="8420" max="8420" width="9.85546875" style="8" customWidth="1"/>
    <col min="8421" max="8431" width="9.7109375" style="8" customWidth="1"/>
    <col min="8432" max="8432" width="12.5703125" style="8" customWidth="1"/>
    <col min="8433" max="8433" width="11" style="8" customWidth="1"/>
    <col min="8434" max="8434" width="6" style="8" customWidth="1"/>
    <col min="8435" max="8435" width="4.5703125" style="8" customWidth="1"/>
    <col min="8436" max="8441" width="5.42578125" style="8"/>
    <col min="8442" max="8442" width="63" style="8" customWidth="1"/>
    <col min="8443" max="8443" width="9.140625" style="8" customWidth="1"/>
    <col min="8444" max="8455" width="10.42578125" style="8" customWidth="1"/>
    <col min="8456" max="8456" width="12.5703125" style="8" customWidth="1"/>
    <col min="8457" max="8673" width="9.140625" style="8" customWidth="1"/>
    <col min="8674" max="8674" width="63" style="8" customWidth="1"/>
    <col min="8675" max="8675" width="9.140625" style="8" customWidth="1"/>
    <col min="8676" max="8676" width="9.85546875" style="8" customWidth="1"/>
    <col min="8677" max="8687" width="9.7109375" style="8" customWidth="1"/>
    <col min="8688" max="8688" width="12.5703125" style="8" customWidth="1"/>
    <col min="8689" max="8689" width="11" style="8" customWidth="1"/>
    <col min="8690" max="8690" width="6" style="8" customWidth="1"/>
    <col min="8691" max="8691" width="4.5703125" style="8" customWidth="1"/>
    <col min="8692" max="8697" width="5.42578125" style="8"/>
    <col min="8698" max="8698" width="63" style="8" customWidth="1"/>
    <col min="8699" max="8699" width="9.140625" style="8" customWidth="1"/>
    <col min="8700" max="8711" width="10.42578125" style="8" customWidth="1"/>
    <col min="8712" max="8712" width="12.5703125" style="8" customWidth="1"/>
    <col min="8713" max="8929" width="9.140625" style="8" customWidth="1"/>
    <col min="8930" max="8930" width="63" style="8" customWidth="1"/>
    <col min="8931" max="8931" width="9.140625" style="8" customWidth="1"/>
    <col min="8932" max="8932" width="9.85546875" style="8" customWidth="1"/>
    <col min="8933" max="8943" width="9.7109375" style="8" customWidth="1"/>
    <col min="8944" max="8944" width="12.5703125" style="8" customWidth="1"/>
    <col min="8945" max="8945" width="11" style="8" customWidth="1"/>
    <col min="8946" max="8946" width="6" style="8" customWidth="1"/>
    <col min="8947" max="8947" width="4.5703125" style="8" customWidth="1"/>
    <col min="8948" max="8953" width="5.42578125" style="8"/>
    <col min="8954" max="8954" width="63" style="8" customWidth="1"/>
    <col min="8955" max="8955" width="9.140625" style="8" customWidth="1"/>
    <col min="8956" max="8967" width="10.42578125" style="8" customWidth="1"/>
    <col min="8968" max="8968" width="12.5703125" style="8" customWidth="1"/>
    <col min="8969" max="9185" width="9.140625" style="8" customWidth="1"/>
    <col min="9186" max="9186" width="63" style="8" customWidth="1"/>
    <col min="9187" max="9187" width="9.140625" style="8" customWidth="1"/>
    <col min="9188" max="9188" width="9.85546875" style="8" customWidth="1"/>
    <col min="9189" max="9199" width="9.7109375" style="8" customWidth="1"/>
    <col min="9200" max="9200" width="12.5703125" style="8" customWidth="1"/>
    <col min="9201" max="9201" width="11" style="8" customWidth="1"/>
    <col min="9202" max="9202" width="6" style="8" customWidth="1"/>
    <col min="9203" max="9203" width="4.5703125" style="8" customWidth="1"/>
    <col min="9204" max="9209" width="5.42578125" style="8"/>
    <col min="9210" max="9210" width="63" style="8" customWidth="1"/>
    <col min="9211" max="9211" width="9.140625" style="8" customWidth="1"/>
    <col min="9212" max="9223" width="10.42578125" style="8" customWidth="1"/>
    <col min="9224" max="9224" width="12.5703125" style="8" customWidth="1"/>
    <col min="9225" max="9441" width="9.140625" style="8" customWidth="1"/>
    <col min="9442" max="9442" width="63" style="8" customWidth="1"/>
    <col min="9443" max="9443" width="9.140625" style="8" customWidth="1"/>
    <col min="9444" max="9444" width="9.85546875" style="8" customWidth="1"/>
    <col min="9445" max="9455" width="9.7109375" style="8" customWidth="1"/>
    <col min="9456" max="9456" width="12.5703125" style="8" customWidth="1"/>
    <col min="9457" max="9457" width="11" style="8" customWidth="1"/>
    <col min="9458" max="9458" width="6" style="8" customWidth="1"/>
    <col min="9459" max="9459" width="4.5703125" style="8" customWidth="1"/>
    <col min="9460" max="9465" width="5.42578125" style="8"/>
    <col min="9466" max="9466" width="63" style="8" customWidth="1"/>
    <col min="9467" max="9467" width="9.140625" style="8" customWidth="1"/>
    <col min="9468" max="9479" width="10.42578125" style="8" customWidth="1"/>
    <col min="9480" max="9480" width="12.5703125" style="8" customWidth="1"/>
    <col min="9481" max="9697" width="9.140625" style="8" customWidth="1"/>
    <col min="9698" max="9698" width="63" style="8" customWidth="1"/>
    <col min="9699" max="9699" width="9.140625" style="8" customWidth="1"/>
    <col min="9700" max="9700" width="9.85546875" style="8" customWidth="1"/>
    <col min="9701" max="9711" width="9.7109375" style="8" customWidth="1"/>
    <col min="9712" max="9712" width="12.5703125" style="8" customWidth="1"/>
    <col min="9713" max="9713" width="11" style="8" customWidth="1"/>
    <col min="9714" max="9714" width="6" style="8" customWidth="1"/>
    <col min="9715" max="9715" width="4.5703125" style="8" customWidth="1"/>
    <col min="9716" max="9721" width="5.42578125" style="8"/>
    <col min="9722" max="9722" width="63" style="8" customWidth="1"/>
    <col min="9723" max="9723" width="9.140625" style="8" customWidth="1"/>
    <col min="9724" max="9735" width="10.42578125" style="8" customWidth="1"/>
    <col min="9736" max="9736" width="12.5703125" style="8" customWidth="1"/>
    <col min="9737" max="9953" width="9.140625" style="8" customWidth="1"/>
    <col min="9954" max="9954" width="63" style="8" customWidth="1"/>
    <col min="9955" max="9955" width="9.140625" style="8" customWidth="1"/>
    <col min="9956" max="9956" width="9.85546875" style="8" customWidth="1"/>
    <col min="9957" max="9967" width="9.7109375" style="8" customWidth="1"/>
    <col min="9968" max="9968" width="12.5703125" style="8" customWidth="1"/>
    <col min="9969" max="9969" width="11" style="8" customWidth="1"/>
    <col min="9970" max="9970" width="6" style="8" customWidth="1"/>
    <col min="9971" max="9971" width="4.5703125" style="8" customWidth="1"/>
    <col min="9972" max="9977" width="5.42578125" style="8"/>
    <col min="9978" max="9978" width="63" style="8" customWidth="1"/>
    <col min="9979" max="9979" width="9.140625" style="8" customWidth="1"/>
    <col min="9980" max="9991" width="10.42578125" style="8" customWidth="1"/>
    <col min="9992" max="9992" width="12.5703125" style="8" customWidth="1"/>
    <col min="9993" max="10209" width="9.140625" style="8" customWidth="1"/>
    <col min="10210" max="10210" width="63" style="8" customWidth="1"/>
    <col min="10211" max="10211" width="9.140625" style="8" customWidth="1"/>
    <col min="10212" max="10212" width="9.85546875" style="8" customWidth="1"/>
    <col min="10213" max="10223" width="9.7109375" style="8" customWidth="1"/>
    <col min="10224" max="10224" width="12.5703125" style="8" customWidth="1"/>
    <col min="10225" max="10225" width="11" style="8" customWidth="1"/>
    <col min="10226" max="10226" width="6" style="8" customWidth="1"/>
    <col min="10227" max="10227" width="4.5703125" style="8" customWidth="1"/>
    <col min="10228" max="10233" width="5.42578125" style="8"/>
    <col min="10234" max="10234" width="63" style="8" customWidth="1"/>
    <col min="10235" max="10235" width="9.140625" style="8" customWidth="1"/>
    <col min="10236" max="10247" width="10.42578125" style="8" customWidth="1"/>
    <col min="10248" max="10248" width="12.5703125" style="8" customWidth="1"/>
    <col min="10249" max="10465" width="9.140625" style="8" customWidth="1"/>
    <col min="10466" max="10466" width="63" style="8" customWidth="1"/>
    <col min="10467" max="10467" width="9.140625" style="8" customWidth="1"/>
    <col min="10468" max="10468" width="9.85546875" style="8" customWidth="1"/>
    <col min="10469" max="10479" width="9.7109375" style="8" customWidth="1"/>
    <col min="10480" max="10480" width="12.5703125" style="8" customWidth="1"/>
    <col min="10481" max="10481" width="11" style="8" customWidth="1"/>
    <col min="10482" max="10482" width="6" style="8" customWidth="1"/>
    <col min="10483" max="10483" width="4.5703125" style="8" customWidth="1"/>
    <col min="10484" max="10489" width="5.42578125" style="8"/>
    <col min="10490" max="10490" width="63" style="8" customWidth="1"/>
    <col min="10491" max="10491" width="9.140625" style="8" customWidth="1"/>
    <col min="10492" max="10503" width="10.42578125" style="8" customWidth="1"/>
    <col min="10504" max="10504" width="12.5703125" style="8" customWidth="1"/>
    <col min="10505" max="10721" width="9.140625" style="8" customWidth="1"/>
    <col min="10722" max="10722" width="63" style="8" customWidth="1"/>
    <col min="10723" max="10723" width="9.140625" style="8" customWidth="1"/>
    <col min="10724" max="10724" width="9.85546875" style="8" customWidth="1"/>
    <col min="10725" max="10735" width="9.7109375" style="8" customWidth="1"/>
    <col min="10736" max="10736" width="12.5703125" style="8" customWidth="1"/>
    <col min="10737" max="10737" width="11" style="8" customWidth="1"/>
    <col min="10738" max="10738" width="6" style="8" customWidth="1"/>
    <col min="10739" max="10739" width="4.5703125" style="8" customWidth="1"/>
    <col min="10740" max="10745" width="5.42578125" style="8"/>
    <col min="10746" max="10746" width="63" style="8" customWidth="1"/>
    <col min="10747" max="10747" width="9.140625" style="8" customWidth="1"/>
    <col min="10748" max="10759" width="10.42578125" style="8" customWidth="1"/>
    <col min="10760" max="10760" width="12.5703125" style="8" customWidth="1"/>
    <col min="10761" max="10977" width="9.140625" style="8" customWidth="1"/>
    <col min="10978" max="10978" width="63" style="8" customWidth="1"/>
    <col min="10979" max="10979" width="9.140625" style="8" customWidth="1"/>
    <col min="10980" max="10980" width="9.85546875" style="8" customWidth="1"/>
    <col min="10981" max="10991" width="9.7109375" style="8" customWidth="1"/>
    <col min="10992" max="10992" width="12.5703125" style="8" customWidth="1"/>
    <col min="10993" max="10993" width="11" style="8" customWidth="1"/>
    <col min="10994" max="10994" width="6" style="8" customWidth="1"/>
    <col min="10995" max="10995" width="4.5703125" style="8" customWidth="1"/>
    <col min="10996" max="11001" width="5.42578125" style="8"/>
    <col min="11002" max="11002" width="63" style="8" customWidth="1"/>
    <col min="11003" max="11003" width="9.140625" style="8" customWidth="1"/>
    <col min="11004" max="11015" width="10.42578125" style="8" customWidth="1"/>
    <col min="11016" max="11016" width="12.5703125" style="8" customWidth="1"/>
    <col min="11017" max="11233" width="9.140625" style="8" customWidth="1"/>
    <col min="11234" max="11234" width="63" style="8" customWidth="1"/>
    <col min="11235" max="11235" width="9.140625" style="8" customWidth="1"/>
    <col min="11236" max="11236" width="9.85546875" style="8" customWidth="1"/>
    <col min="11237" max="11247" width="9.7109375" style="8" customWidth="1"/>
    <col min="11248" max="11248" width="12.5703125" style="8" customWidth="1"/>
    <col min="11249" max="11249" width="11" style="8" customWidth="1"/>
    <col min="11250" max="11250" width="6" style="8" customWidth="1"/>
    <col min="11251" max="11251" width="4.5703125" style="8" customWidth="1"/>
    <col min="11252" max="11257" width="5.42578125" style="8"/>
    <col min="11258" max="11258" width="63" style="8" customWidth="1"/>
    <col min="11259" max="11259" width="9.140625" style="8" customWidth="1"/>
    <col min="11260" max="11271" width="10.42578125" style="8" customWidth="1"/>
    <col min="11272" max="11272" width="12.5703125" style="8" customWidth="1"/>
    <col min="11273" max="11489" width="9.140625" style="8" customWidth="1"/>
    <col min="11490" max="11490" width="63" style="8" customWidth="1"/>
    <col min="11491" max="11491" width="9.140625" style="8" customWidth="1"/>
    <col min="11492" max="11492" width="9.85546875" style="8" customWidth="1"/>
    <col min="11493" max="11503" width="9.7109375" style="8" customWidth="1"/>
    <col min="11504" max="11504" width="12.5703125" style="8" customWidth="1"/>
    <col min="11505" max="11505" width="11" style="8" customWidth="1"/>
    <col min="11506" max="11506" width="6" style="8" customWidth="1"/>
    <col min="11507" max="11507" width="4.5703125" style="8" customWidth="1"/>
    <col min="11508" max="11513" width="5.42578125" style="8"/>
    <col min="11514" max="11514" width="63" style="8" customWidth="1"/>
    <col min="11515" max="11515" width="9.140625" style="8" customWidth="1"/>
    <col min="11516" max="11527" width="10.42578125" style="8" customWidth="1"/>
    <col min="11528" max="11528" width="12.5703125" style="8" customWidth="1"/>
    <col min="11529" max="11745" width="9.140625" style="8" customWidth="1"/>
    <col min="11746" max="11746" width="63" style="8" customWidth="1"/>
    <col min="11747" max="11747" width="9.140625" style="8" customWidth="1"/>
    <col min="11748" max="11748" width="9.85546875" style="8" customWidth="1"/>
    <col min="11749" max="11759" width="9.7109375" style="8" customWidth="1"/>
    <col min="11760" max="11760" width="12.5703125" style="8" customWidth="1"/>
    <col min="11761" max="11761" width="11" style="8" customWidth="1"/>
    <col min="11762" max="11762" width="6" style="8" customWidth="1"/>
    <col min="11763" max="11763" width="4.5703125" style="8" customWidth="1"/>
    <col min="11764" max="11769" width="5.42578125" style="8"/>
    <col min="11770" max="11770" width="63" style="8" customWidth="1"/>
    <col min="11771" max="11771" width="9.140625" style="8" customWidth="1"/>
    <col min="11772" max="11783" width="10.42578125" style="8" customWidth="1"/>
    <col min="11784" max="11784" width="12.5703125" style="8" customWidth="1"/>
    <col min="11785" max="12001" width="9.140625" style="8" customWidth="1"/>
    <col min="12002" max="12002" width="63" style="8" customWidth="1"/>
    <col min="12003" max="12003" width="9.140625" style="8" customWidth="1"/>
    <col min="12004" max="12004" width="9.85546875" style="8" customWidth="1"/>
    <col min="12005" max="12015" width="9.7109375" style="8" customWidth="1"/>
    <col min="12016" max="12016" width="12.5703125" style="8" customWidth="1"/>
    <col min="12017" max="12017" width="11" style="8" customWidth="1"/>
    <col min="12018" max="12018" width="6" style="8" customWidth="1"/>
    <col min="12019" max="12019" width="4.5703125" style="8" customWidth="1"/>
    <col min="12020" max="12025" width="5.42578125" style="8"/>
    <col min="12026" max="12026" width="63" style="8" customWidth="1"/>
    <col min="12027" max="12027" width="9.140625" style="8" customWidth="1"/>
    <col min="12028" max="12039" width="10.42578125" style="8" customWidth="1"/>
    <col min="12040" max="12040" width="12.5703125" style="8" customWidth="1"/>
    <col min="12041" max="12257" width="9.140625" style="8" customWidth="1"/>
    <col min="12258" max="12258" width="63" style="8" customWidth="1"/>
    <col min="12259" max="12259" width="9.140625" style="8" customWidth="1"/>
    <col min="12260" max="12260" width="9.85546875" style="8" customWidth="1"/>
    <col min="12261" max="12271" width="9.7109375" style="8" customWidth="1"/>
    <col min="12272" max="12272" width="12.5703125" style="8" customWidth="1"/>
    <col min="12273" max="12273" width="11" style="8" customWidth="1"/>
    <col min="12274" max="12274" width="6" style="8" customWidth="1"/>
    <col min="12275" max="12275" width="4.5703125" style="8" customWidth="1"/>
    <col min="12276" max="12281" width="5.42578125" style="8"/>
    <col min="12282" max="12282" width="63" style="8" customWidth="1"/>
    <col min="12283" max="12283" width="9.140625" style="8" customWidth="1"/>
    <col min="12284" max="12295" width="10.42578125" style="8" customWidth="1"/>
    <col min="12296" max="12296" width="12.5703125" style="8" customWidth="1"/>
    <col min="12297" max="12513" width="9.140625" style="8" customWidth="1"/>
    <col min="12514" max="12514" width="63" style="8" customWidth="1"/>
    <col min="12515" max="12515" width="9.140625" style="8" customWidth="1"/>
    <col min="12516" max="12516" width="9.85546875" style="8" customWidth="1"/>
    <col min="12517" max="12527" width="9.7109375" style="8" customWidth="1"/>
    <col min="12528" max="12528" width="12.5703125" style="8" customWidth="1"/>
    <col min="12529" max="12529" width="11" style="8" customWidth="1"/>
    <col min="12530" max="12530" width="6" style="8" customWidth="1"/>
    <col min="12531" max="12531" width="4.5703125" style="8" customWidth="1"/>
    <col min="12532" max="12537" width="5.42578125" style="8"/>
    <col min="12538" max="12538" width="63" style="8" customWidth="1"/>
    <col min="12539" max="12539" width="9.140625" style="8" customWidth="1"/>
    <col min="12540" max="12551" width="10.42578125" style="8" customWidth="1"/>
    <col min="12552" max="12552" width="12.5703125" style="8" customWidth="1"/>
    <col min="12553" max="12769" width="9.140625" style="8" customWidth="1"/>
    <col min="12770" max="12770" width="63" style="8" customWidth="1"/>
    <col min="12771" max="12771" width="9.140625" style="8" customWidth="1"/>
    <col min="12772" max="12772" width="9.85546875" style="8" customWidth="1"/>
    <col min="12773" max="12783" width="9.7109375" style="8" customWidth="1"/>
    <col min="12784" max="12784" width="12.5703125" style="8" customWidth="1"/>
    <col min="12785" max="12785" width="11" style="8" customWidth="1"/>
    <col min="12786" max="12786" width="6" style="8" customWidth="1"/>
    <col min="12787" max="12787" width="4.5703125" style="8" customWidth="1"/>
    <col min="12788" max="12793" width="5.42578125" style="8"/>
    <col min="12794" max="12794" width="63" style="8" customWidth="1"/>
    <col min="12795" max="12795" width="9.140625" style="8" customWidth="1"/>
    <col min="12796" max="12807" width="10.42578125" style="8" customWidth="1"/>
    <col min="12808" max="12808" width="12.5703125" style="8" customWidth="1"/>
    <col min="12809" max="13025" width="9.140625" style="8" customWidth="1"/>
    <col min="13026" max="13026" width="63" style="8" customWidth="1"/>
    <col min="13027" max="13027" width="9.140625" style="8" customWidth="1"/>
    <col min="13028" max="13028" width="9.85546875" style="8" customWidth="1"/>
    <col min="13029" max="13039" width="9.7109375" style="8" customWidth="1"/>
    <col min="13040" max="13040" width="12.5703125" style="8" customWidth="1"/>
    <col min="13041" max="13041" width="11" style="8" customWidth="1"/>
    <col min="13042" max="13042" width="6" style="8" customWidth="1"/>
    <col min="13043" max="13043" width="4.5703125" style="8" customWidth="1"/>
    <col min="13044" max="13049" width="5.42578125" style="8"/>
    <col min="13050" max="13050" width="63" style="8" customWidth="1"/>
    <col min="13051" max="13051" width="9.140625" style="8" customWidth="1"/>
    <col min="13052" max="13063" width="10.42578125" style="8" customWidth="1"/>
    <col min="13064" max="13064" width="12.5703125" style="8" customWidth="1"/>
    <col min="13065" max="13281" width="9.140625" style="8" customWidth="1"/>
    <col min="13282" max="13282" width="63" style="8" customWidth="1"/>
    <col min="13283" max="13283" width="9.140625" style="8" customWidth="1"/>
    <col min="13284" max="13284" width="9.85546875" style="8" customWidth="1"/>
    <col min="13285" max="13295" width="9.7109375" style="8" customWidth="1"/>
    <col min="13296" max="13296" width="12.5703125" style="8" customWidth="1"/>
    <col min="13297" max="13297" width="11" style="8" customWidth="1"/>
    <col min="13298" max="13298" width="6" style="8" customWidth="1"/>
    <col min="13299" max="13299" width="4.5703125" style="8" customWidth="1"/>
    <col min="13300" max="13305" width="5.42578125" style="8"/>
    <col min="13306" max="13306" width="63" style="8" customWidth="1"/>
    <col min="13307" max="13307" width="9.140625" style="8" customWidth="1"/>
    <col min="13308" max="13319" width="10.42578125" style="8" customWidth="1"/>
    <col min="13320" max="13320" width="12.5703125" style="8" customWidth="1"/>
    <col min="13321" max="13537" width="9.140625" style="8" customWidth="1"/>
    <col min="13538" max="13538" width="63" style="8" customWidth="1"/>
    <col min="13539" max="13539" width="9.140625" style="8" customWidth="1"/>
    <col min="13540" max="13540" width="9.85546875" style="8" customWidth="1"/>
    <col min="13541" max="13551" width="9.7109375" style="8" customWidth="1"/>
    <col min="13552" max="13552" width="12.5703125" style="8" customWidth="1"/>
    <col min="13553" max="13553" width="11" style="8" customWidth="1"/>
    <col min="13554" max="13554" width="6" style="8" customWidth="1"/>
    <col min="13555" max="13555" width="4.5703125" style="8" customWidth="1"/>
    <col min="13556" max="13561" width="5.42578125" style="8"/>
    <col min="13562" max="13562" width="63" style="8" customWidth="1"/>
    <col min="13563" max="13563" width="9.140625" style="8" customWidth="1"/>
    <col min="13564" max="13575" width="10.42578125" style="8" customWidth="1"/>
    <col min="13576" max="13576" width="12.5703125" style="8" customWidth="1"/>
    <col min="13577" max="13793" width="9.140625" style="8" customWidth="1"/>
    <col min="13794" max="13794" width="63" style="8" customWidth="1"/>
    <col min="13795" max="13795" width="9.140625" style="8" customWidth="1"/>
    <col min="13796" max="13796" width="9.85546875" style="8" customWidth="1"/>
    <col min="13797" max="13807" width="9.7109375" style="8" customWidth="1"/>
    <col min="13808" max="13808" width="12.5703125" style="8" customWidth="1"/>
    <col min="13809" max="13809" width="11" style="8" customWidth="1"/>
    <col min="13810" max="13810" width="6" style="8" customWidth="1"/>
    <col min="13811" max="13811" width="4.5703125" style="8" customWidth="1"/>
    <col min="13812" max="13817" width="5.42578125" style="8"/>
    <col min="13818" max="13818" width="63" style="8" customWidth="1"/>
    <col min="13819" max="13819" width="9.140625" style="8" customWidth="1"/>
    <col min="13820" max="13831" width="10.42578125" style="8" customWidth="1"/>
    <col min="13832" max="13832" width="12.5703125" style="8" customWidth="1"/>
    <col min="13833" max="14049" width="9.140625" style="8" customWidth="1"/>
    <col min="14050" max="14050" width="63" style="8" customWidth="1"/>
    <col min="14051" max="14051" width="9.140625" style="8" customWidth="1"/>
    <col min="14052" max="14052" width="9.85546875" style="8" customWidth="1"/>
    <col min="14053" max="14063" width="9.7109375" style="8" customWidth="1"/>
    <col min="14064" max="14064" width="12.5703125" style="8" customWidth="1"/>
    <col min="14065" max="14065" width="11" style="8" customWidth="1"/>
    <col min="14066" max="14066" width="6" style="8" customWidth="1"/>
    <col min="14067" max="14067" width="4.5703125" style="8" customWidth="1"/>
    <col min="14068" max="14073" width="5.42578125" style="8"/>
    <col min="14074" max="14074" width="63" style="8" customWidth="1"/>
    <col min="14075" max="14075" width="9.140625" style="8" customWidth="1"/>
    <col min="14076" max="14087" width="10.42578125" style="8" customWidth="1"/>
    <col min="14088" max="14088" width="12.5703125" style="8" customWidth="1"/>
    <col min="14089" max="14305" width="9.140625" style="8" customWidth="1"/>
    <col min="14306" max="14306" width="63" style="8" customWidth="1"/>
    <col min="14307" max="14307" width="9.140625" style="8" customWidth="1"/>
    <col min="14308" max="14308" width="9.85546875" style="8" customWidth="1"/>
    <col min="14309" max="14319" width="9.7109375" style="8" customWidth="1"/>
    <col min="14320" max="14320" width="12.5703125" style="8" customWidth="1"/>
    <col min="14321" max="14321" width="11" style="8" customWidth="1"/>
    <col min="14322" max="14322" width="6" style="8" customWidth="1"/>
    <col min="14323" max="14323" width="4.5703125" style="8" customWidth="1"/>
    <col min="14324" max="14329" width="5.42578125" style="8"/>
    <col min="14330" max="14330" width="63" style="8" customWidth="1"/>
    <col min="14331" max="14331" width="9.140625" style="8" customWidth="1"/>
    <col min="14332" max="14343" width="10.42578125" style="8" customWidth="1"/>
    <col min="14344" max="14344" width="12.5703125" style="8" customWidth="1"/>
    <col min="14345" max="14561" width="9.140625" style="8" customWidth="1"/>
    <col min="14562" max="14562" width="63" style="8" customWidth="1"/>
    <col min="14563" max="14563" width="9.140625" style="8" customWidth="1"/>
    <col min="14564" max="14564" width="9.85546875" style="8" customWidth="1"/>
    <col min="14565" max="14575" width="9.7109375" style="8" customWidth="1"/>
    <col min="14576" max="14576" width="12.5703125" style="8" customWidth="1"/>
    <col min="14577" max="14577" width="11" style="8" customWidth="1"/>
    <col min="14578" max="14578" width="6" style="8" customWidth="1"/>
    <col min="14579" max="14579" width="4.5703125" style="8" customWidth="1"/>
    <col min="14580" max="14585" width="5.42578125" style="8"/>
    <col min="14586" max="14586" width="63" style="8" customWidth="1"/>
    <col min="14587" max="14587" width="9.140625" style="8" customWidth="1"/>
    <col min="14588" max="14599" width="10.42578125" style="8" customWidth="1"/>
    <col min="14600" max="14600" width="12.5703125" style="8" customWidth="1"/>
    <col min="14601" max="14817" width="9.140625" style="8" customWidth="1"/>
    <col min="14818" max="14818" width="63" style="8" customWidth="1"/>
    <col min="14819" max="14819" width="9.140625" style="8" customWidth="1"/>
    <col min="14820" max="14820" width="9.85546875" style="8" customWidth="1"/>
    <col min="14821" max="14831" width="9.7109375" style="8" customWidth="1"/>
    <col min="14832" max="14832" width="12.5703125" style="8" customWidth="1"/>
    <col min="14833" max="14833" width="11" style="8" customWidth="1"/>
    <col min="14834" max="14834" width="6" style="8" customWidth="1"/>
    <col min="14835" max="14835" width="4.5703125" style="8" customWidth="1"/>
    <col min="14836" max="14841" width="5.42578125" style="8"/>
    <col min="14842" max="14842" width="63" style="8" customWidth="1"/>
    <col min="14843" max="14843" width="9.140625" style="8" customWidth="1"/>
    <col min="14844" max="14855" width="10.42578125" style="8" customWidth="1"/>
    <col min="14856" max="14856" width="12.5703125" style="8" customWidth="1"/>
    <col min="14857" max="15073" width="9.140625" style="8" customWidth="1"/>
    <col min="15074" max="15074" width="63" style="8" customWidth="1"/>
    <col min="15075" max="15075" width="9.140625" style="8" customWidth="1"/>
    <col min="15076" max="15076" width="9.85546875" style="8" customWidth="1"/>
    <col min="15077" max="15087" width="9.7109375" style="8" customWidth="1"/>
    <col min="15088" max="15088" width="12.5703125" style="8" customWidth="1"/>
    <col min="15089" max="15089" width="11" style="8" customWidth="1"/>
    <col min="15090" max="15090" width="6" style="8" customWidth="1"/>
    <col min="15091" max="15091" width="4.5703125" style="8" customWidth="1"/>
    <col min="15092" max="15097" width="5.42578125" style="8"/>
    <col min="15098" max="15098" width="63" style="8" customWidth="1"/>
    <col min="15099" max="15099" width="9.140625" style="8" customWidth="1"/>
    <col min="15100" max="15111" width="10.42578125" style="8" customWidth="1"/>
    <col min="15112" max="15112" width="12.5703125" style="8" customWidth="1"/>
    <col min="15113" max="15329" width="9.140625" style="8" customWidth="1"/>
    <col min="15330" max="15330" width="63" style="8" customWidth="1"/>
    <col min="15331" max="15331" width="9.140625" style="8" customWidth="1"/>
    <col min="15332" max="15332" width="9.85546875" style="8" customWidth="1"/>
    <col min="15333" max="15343" width="9.7109375" style="8" customWidth="1"/>
    <col min="15344" max="15344" width="12.5703125" style="8" customWidth="1"/>
    <col min="15345" max="15345" width="11" style="8" customWidth="1"/>
    <col min="15346" max="15346" width="6" style="8" customWidth="1"/>
    <col min="15347" max="15347" width="4.5703125" style="8" customWidth="1"/>
    <col min="15348" max="15353" width="5.42578125" style="8"/>
    <col min="15354" max="15354" width="63" style="8" customWidth="1"/>
    <col min="15355" max="15355" width="9.140625" style="8" customWidth="1"/>
    <col min="15356" max="15367" width="10.42578125" style="8" customWidth="1"/>
    <col min="15368" max="15368" width="12.5703125" style="8" customWidth="1"/>
    <col min="15369" max="15585" width="9.140625" style="8" customWidth="1"/>
    <col min="15586" max="15586" width="63" style="8" customWidth="1"/>
    <col min="15587" max="15587" width="9.140625" style="8" customWidth="1"/>
    <col min="15588" max="15588" width="9.85546875" style="8" customWidth="1"/>
    <col min="15589" max="15599" width="9.7109375" style="8" customWidth="1"/>
    <col min="15600" max="15600" width="12.5703125" style="8" customWidth="1"/>
    <col min="15601" max="15601" width="11" style="8" customWidth="1"/>
    <col min="15602" max="15602" width="6" style="8" customWidth="1"/>
    <col min="15603" max="15603" width="4.5703125" style="8" customWidth="1"/>
    <col min="15604" max="15609" width="5.42578125" style="8"/>
    <col min="15610" max="15610" width="63" style="8" customWidth="1"/>
    <col min="15611" max="15611" width="9.140625" style="8" customWidth="1"/>
    <col min="15612" max="15623" width="10.42578125" style="8" customWidth="1"/>
    <col min="15624" max="15624" width="12.5703125" style="8" customWidth="1"/>
    <col min="15625" max="15841" width="9.140625" style="8" customWidth="1"/>
    <col min="15842" max="15842" width="63" style="8" customWidth="1"/>
    <col min="15843" max="15843" width="9.140625" style="8" customWidth="1"/>
    <col min="15844" max="15844" width="9.85546875" style="8" customWidth="1"/>
    <col min="15845" max="15855" width="9.7109375" style="8" customWidth="1"/>
    <col min="15856" max="15856" width="12.5703125" style="8" customWidth="1"/>
    <col min="15857" max="15857" width="11" style="8" customWidth="1"/>
    <col min="15858" max="15858" width="6" style="8" customWidth="1"/>
    <col min="15859" max="15859" width="4.5703125" style="8" customWidth="1"/>
    <col min="15860" max="15865" width="5.42578125" style="8"/>
    <col min="15866" max="15866" width="63" style="8" customWidth="1"/>
    <col min="15867" max="15867" width="9.140625" style="8" customWidth="1"/>
    <col min="15868" max="15879" width="10.42578125" style="8" customWidth="1"/>
    <col min="15880" max="15880" width="12.5703125" style="8" customWidth="1"/>
    <col min="15881" max="16097" width="9.140625" style="8" customWidth="1"/>
    <col min="16098" max="16098" width="63" style="8" customWidth="1"/>
    <col min="16099" max="16099" width="9.140625" style="8" customWidth="1"/>
    <col min="16100" max="16100" width="9.85546875" style="8" customWidth="1"/>
    <col min="16101" max="16111" width="9.7109375" style="8" customWidth="1"/>
    <col min="16112" max="16112" width="12.5703125" style="8" customWidth="1"/>
    <col min="16113" max="16113" width="11" style="8" customWidth="1"/>
    <col min="16114" max="16114" width="6" style="8" customWidth="1"/>
    <col min="16115" max="16115" width="4.5703125" style="8" customWidth="1"/>
    <col min="16116" max="16121" width="5.42578125" style="8"/>
    <col min="16122" max="16122" width="63" style="8" customWidth="1"/>
    <col min="16123" max="16123" width="9.140625" style="8" customWidth="1"/>
    <col min="16124" max="16135" width="10.42578125" style="8" customWidth="1"/>
    <col min="16136" max="16136" width="12.5703125" style="8" customWidth="1"/>
    <col min="16137" max="16353" width="9.140625" style="8" customWidth="1"/>
    <col min="16354" max="16354" width="63" style="8" customWidth="1"/>
    <col min="16355" max="16355" width="9.140625" style="8" customWidth="1"/>
    <col min="16356" max="16356" width="9.85546875" style="8" customWidth="1"/>
    <col min="16357" max="16367" width="9.7109375" style="8" customWidth="1"/>
    <col min="16368" max="16368" width="12.5703125" style="8" customWidth="1"/>
    <col min="16369" max="16369" width="11" style="8" customWidth="1"/>
    <col min="16370" max="16370" width="6" style="8" customWidth="1"/>
    <col min="16371" max="16371" width="4.5703125" style="8" customWidth="1"/>
    <col min="16372" max="16384" width="5.42578125" style="8"/>
  </cols>
  <sheetData>
    <row r="1" spans="1:16" ht="15.75" x14ac:dyDescent="0.25">
      <c r="A1" s="4" t="s">
        <v>117</v>
      </c>
      <c r="B1" s="5"/>
      <c r="C1" s="6">
        <v>31</v>
      </c>
      <c r="D1" s="6">
        <v>28</v>
      </c>
      <c r="E1" s="6">
        <v>31</v>
      </c>
      <c r="F1" s="6">
        <v>30</v>
      </c>
      <c r="G1" s="6">
        <v>31</v>
      </c>
      <c r="H1" s="6">
        <v>30</v>
      </c>
      <c r="I1" s="6">
        <v>31</v>
      </c>
      <c r="J1" s="6">
        <v>31</v>
      </c>
      <c r="K1" s="6">
        <v>30</v>
      </c>
      <c r="L1" s="6">
        <v>31</v>
      </c>
      <c r="M1" s="6">
        <v>30</v>
      </c>
      <c r="N1" s="6">
        <v>31</v>
      </c>
      <c r="O1" s="7"/>
    </row>
    <row r="2" spans="1:16" ht="15.75" x14ac:dyDescent="0.25">
      <c r="A2" s="4"/>
      <c r="B2" s="5"/>
      <c r="C2" s="257">
        <f>C96/(C10+C20)</f>
        <v>0.10841737781225756</v>
      </c>
      <c r="D2" s="257">
        <f>D96/(D10+D20)</f>
        <v>0.10841737781225756</v>
      </c>
      <c r="E2" s="257">
        <f t="shared" ref="E2:N2" si="0">E96/(E10+E20)</f>
        <v>0.10841737781225756</v>
      </c>
      <c r="F2" s="257">
        <f t="shared" si="0"/>
        <v>0.10843139790508212</v>
      </c>
      <c r="G2" s="257">
        <f t="shared" si="0"/>
        <v>0.10843139790508212</v>
      </c>
      <c r="H2" s="257">
        <f t="shared" si="0"/>
        <v>0.10844386929796182</v>
      </c>
      <c r="I2" s="257">
        <f t="shared" si="0"/>
        <v>0.1084719435635234</v>
      </c>
      <c r="J2" s="257">
        <f t="shared" si="0"/>
        <v>0.10845635845635845</v>
      </c>
      <c r="K2" s="257">
        <f t="shared" si="0"/>
        <v>0.10847435648058094</v>
      </c>
      <c r="L2" s="257">
        <f t="shared" si="0"/>
        <v>0.10846113854951911</v>
      </c>
      <c r="M2" s="257">
        <f t="shared" si="0"/>
        <v>0.10851147028154327</v>
      </c>
      <c r="N2" s="257">
        <f t="shared" si="0"/>
        <v>0.10904690259697783</v>
      </c>
      <c r="O2" s="257">
        <f>O96/(O10+O20)</f>
        <v>1.3019748498336285</v>
      </c>
    </row>
    <row r="3" spans="1:16" ht="15.75" x14ac:dyDescent="0.25">
      <c r="A3" s="4"/>
      <c r="B3" s="5"/>
      <c r="C3" s="6">
        <f>C20*C2</f>
        <v>433.66951124903022</v>
      </c>
      <c r="D3" s="6">
        <f t="shared" ref="D3:O3" si="1">D20*D2</f>
        <v>433.66951124903022</v>
      </c>
      <c r="E3" s="6">
        <f t="shared" si="1"/>
        <v>433.66951124903022</v>
      </c>
      <c r="F3" s="6">
        <f t="shared" si="1"/>
        <v>433.72559162032849</v>
      </c>
      <c r="G3" s="6">
        <f t="shared" si="1"/>
        <v>433.72559162032849</v>
      </c>
      <c r="H3" s="6">
        <f t="shared" si="1"/>
        <v>433.7754771918473</v>
      </c>
      <c r="I3" s="6">
        <f t="shared" si="1"/>
        <v>433.88777425409359</v>
      </c>
      <c r="J3" s="6">
        <f t="shared" si="1"/>
        <v>433.82543382543383</v>
      </c>
      <c r="K3" s="6">
        <f t="shared" si="1"/>
        <v>433.89742592232375</v>
      </c>
      <c r="L3" s="6">
        <f t="shared" si="1"/>
        <v>433.84455419807642</v>
      </c>
      <c r="M3" s="6">
        <f t="shared" si="1"/>
        <v>434.04588112617307</v>
      </c>
      <c r="N3" s="6">
        <f t="shared" si="1"/>
        <v>436.18761038791132</v>
      </c>
      <c r="O3" s="6">
        <f t="shared" si="1"/>
        <v>5207.8993993345139</v>
      </c>
    </row>
    <row r="4" spans="1:16" ht="15.75" x14ac:dyDescent="0.25">
      <c r="A4" s="4"/>
      <c r="B4" s="5"/>
      <c r="C4" s="6"/>
      <c r="D4" s="6">
        <f>D22-C22</f>
        <v>65</v>
      </c>
      <c r="E4" s="6"/>
      <c r="F4" s="6">
        <f>F22-E22</f>
        <v>23</v>
      </c>
      <c r="G4" s="6"/>
      <c r="H4" s="6">
        <f>H22-G22</f>
        <v>20</v>
      </c>
      <c r="I4" s="6"/>
      <c r="J4" s="6">
        <f>J22-I22</f>
        <v>10</v>
      </c>
      <c r="K4" s="6">
        <f>K22-J22</f>
        <v>38</v>
      </c>
      <c r="L4" s="6"/>
      <c r="M4" s="6">
        <f>M22-L22</f>
        <v>55</v>
      </c>
      <c r="N4" s="6">
        <f>N22-M22</f>
        <v>33</v>
      </c>
      <c r="O4" s="7"/>
    </row>
    <row r="5" spans="1:16" ht="16.5" thickBot="1" x14ac:dyDescent="0.3">
      <c r="A5" s="4"/>
      <c r="B5" s="5"/>
      <c r="C5" s="250">
        <f>C30/C9</f>
        <v>3.6392909519862272E-2</v>
      </c>
      <c r="D5" s="250">
        <f>D30/D9</f>
        <v>4.0543561087122176E-2</v>
      </c>
      <c r="E5" s="250">
        <f t="shared" ref="E5:N5" si="2">E30/E9</f>
        <v>3.6151834130781497E-2</v>
      </c>
      <c r="F5" s="250">
        <f t="shared" si="2"/>
        <v>3.4936289500509685E-2</v>
      </c>
      <c r="G5" s="250">
        <f t="shared" si="2"/>
        <v>3.4007399846899718E-2</v>
      </c>
      <c r="H5" s="250">
        <f t="shared" si="2"/>
        <v>3.5500159387950272E-2</v>
      </c>
      <c r="I5" s="250">
        <f t="shared" si="2"/>
        <v>3.3964119261954924E-2</v>
      </c>
      <c r="J5" s="250">
        <f t="shared" si="2"/>
        <v>3.4082088599514872E-2</v>
      </c>
      <c r="K5" s="250">
        <f t="shared" si="2"/>
        <v>3.5081298221003629E-2</v>
      </c>
      <c r="L5" s="250">
        <f t="shared" si="2"/>
        <v>3.4780412964265171E-2</v>
      </c>
      <c r="M5" s="250">
        <f t="shared" si="2"/>
        <v>3.61268685320046E-2</v>
      </c>
      <c r="N5" s="250">
        <f t="shared" si="2"/>
        <v>3.6349328214971208E-2</v>
      </c>
      <c r="O5" s="7"/>
    </row>
    <row r="6" spans="1:16" x14ac:dyDescent="0.2">
      <c r="A6" s="9"/>
      <c r="B6" s="10" t="s">
        <v>20</v>
      </c>
      <c r="C6" s="10" t="s">
        <v>21</v>
      </c>
      <c r="D6" s="10" t="s">
        <v>22</v>
      </c>
      <c r="E6" s="11" t="s">
        <v>23</v>
      </c>
      <c r="F6" s="10" t="s">
        <v>24</v>
      </c>
      <c r="G6" s="10" t="s">
        <v>25</v>
      </c>
      <c r="H6" s="10" t="s">
        <v>26</v>
      </c>
      <c r="I6" s="12" t="s">
        <v>27</v>
      </c>
      <c r="J6" s="12" t="s">
        <v>28</v>
      </c>
      <c r="K6" s="13" t="s">
        <v>29</v>
      </c>
      <c r="L6" s="13" t="s">
        <v>17</v>
      </c>
      <c r="M6" s="10" t="s">
        <v>30</v>
      </c>
      <c r="N6" s="13" t="s">
        <v>19</v>
      </c>
      <c r="O6" s="14" t="s">
        <v>144</v>
      </c>
    </row>
    <row r="7" spans="1:16" ht="13.5" customHeight="1" thickBot="1" x14ac:dyDescent="0.25">
      <c r="A7" s="15"/>
      <c r="B7" s="16"/>
      <c r="C7" s="312" t="s">
        <v>31</v>
      </c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4"/>
    </row>
    <row r="8" spans="1:16" ht="13.5" customHeight="1" thickBot="1" x14ac:dyDescent="0.3">
      <c r="A8" s="17" t="s">
        <v>32</v>
      </c>
      <c r="B8" s="18"/>
      <c r="C8" s="19">
        <v>31</v>
      </c>
      <c r="D8" s="19">
        <v>28</v>
      </c>
      <c r="E8" s="19">
        <v>31</v>
      </c>
      <c r="F8" s="19">
        <v>30</v>
      </c>
      <c r="G8" s="19">
        <v>31</v>
      </c>
      <c r="H8" s="19">
        <v>30</v>
      </c>
      <c r="I8" s="19">
        <v>31</v>
      </c>
      <c r="J8" s="19">
        <v>31</v>
      </c>
      <c r="K8" s="19">
        <v>30</v>
      </c>
      <c r="L8" s="19">
        <v>31</v>
      </c>
      <c r="M8" s="19">
        <v>30</v>
      </c>
      <c r="N8" s="19">
        <v>31</v>
      </c>
      <c r="O8" s="20"/>
    </row>
    <row r="9" spans="1:16" ht="13.5" customHeight="1" x14ac:dyDescent="0.25">
      <c r="A9" s="21" t="s">
        <v>33</v>
      </c>
      <c r="B9" s="12" t="s">
        <v>34</v>
      </c>
      <c r="C9" s="22">
        <f>C10+C19</f>
        <v>15683</v>
      </c>
      <c r="D9" s="126">
        <f>D10+D19</f>
        <v>15748</v>
      </c>
      <c r="E9" s="22">
        <f t="shared" ref="E9:N9" si="3">E10+E19</f>
        <v>15675</v>
      </c>
      <c r="F9" s="22">
        <f t="shared" si="3"/>
        <v>15696</v>
      </c>
      <c r="G9" s="22">
        <f t="shared" si="3"/>
        <v>15676</v>
      </c>
      <c r="H9" s="22">
        <f t="shared" si="3"/>
        <v>15685</v>
      </c>
      <c r="I9" s="22">
        <f t="shared" si="3"/>
        <v>15663</v>
      </c>
      <c r="J9" s="22">
        <f t="shared" si="3"/>
        <v>15666</v>
      </c>
      <c r="K9" s="22">
        <f t="shared" si="3"/>
        <v>15683</v>
      </c>
      <c r="L9" s="22">
        <f t="shared" si="3"/>
        <v>15643</v>
      </c>
      <c r="M9" s="22">
        <f t="shared" si="3"/>
        <v>15654</v>
      </c>
      <c r="N9" s="22">
        <f t="shared" si="3"/>
        <v>15630</v>
      </c>
      <c r="O9" s="23">
        <f>AVERAGE(C9:N9)</f>
        <v>15675.166666666666</v>
      </c>
    </row>
    <row r="10" spans="1:16" ht="13.5" customHeight="1" x14ac:dyDescent="0.25">
      <c r="A10" s="24" t="s">
        <v>35</v>
      </c>
      <c r="B10" s="25" t="s">
        <v>34</v>
      </c>
      <c r="C10" s="110">
        <f>C11+C13+C12+C14+C15+C16+C17</f>
        <v>11468</v>
      </c>
      <c r="D10" s="110">
        <f t="shared" ref="D10:N10" si="4">D11+D13+D12+D14+D15+D16+D17</f>
        <v>11468</v>
      </c>
      <c r="E10" s="110">
        <f t="shared" si="4"/>
        <v>11468</v>
      </c>
      <c r="F10" s="110">
        <f t="shared" si="4"/>
        <v>11466</v>
      </c>
      <c r="G10" s="110">
        <f t="shared" si="4"/>
        <v>11466</v>
      </c>
      <c r="H10" s="110">
        <f t="shared" si="4"/>
        <v>11455</v>
      </c>
      <c r="I10" s="110">
        <f t="shared" si="4"/>
        <v>11451</v>
      </c>
      <c r="J10" s="110">
        <f t="shared" si="4"/>
        <v>11444</v>
      </c>
      <c r="K10" s="110">
        <f t="shared" si="4"/>
        <v>11423</v>
      </c>
      <c r="L10" s="110">
        <f t="shared" si="4"/>
        <v>11388</v>
      </c>
      <c r="M10" s="110">
        <f t="shared" si="4"/>
        <v>11344</v>
      </c>
      <c r="N10" s="110">
        <f t="shared" si="4"/>
        <v>11287</v>
      </c>
      <c r="O10" s="26">
        <f t="shared" ref="O10:O18" si="5">AVERAGE(C10:N10)</f>
        <v>11427.333333333334</v>
      </c>
      <c r="P10" s="8">
        <f>O31/O9*100</f>
        <v>96.433839087303696</v>
      </c>
    </row>
    <row r="11" spans="1:16" ht="13.5" customHeight="1" x14ac:dyDescent="0.2">
      <c r="A11" s="27" t="s">
        <v>36</v>
      </c>
      <c r="B11" s="28" t="s">
        <v>34</v>
      </c>
      <c r="C11" s="29">
        <v>9690</v>
      </c>
      <c r="D11" s="29">
        <v>9690</v>
      </c>
      <c r="E11" s="29">
        <v>9690</v>
      </c>
      <c r="F11" s="29">
        <v>9688</v>
      </c>
      <c r="G11" s="29">
        <v>9688</v>
      </c>
      <c r="H11" s="29">
        <v>9677</v>
      </c>
      <c r="I11" s="29">
        <v>9676</v>
      </c>
      <c r="J11" s="29">
        <v>9676</v>
      </c>
      <c r="K11" s="29">
        <v>9667</v>
      </c>
      <c r="L11" s="29">
        <v>9649</v>
      </c>
      <c r="M11" s="29">
        <v>9629</v>
      </c>
      <c r="N11" s="29">
        <v>9613</v>
      </c>
      <c r="O11" s="30">
        <f t="shared" si="5"/>
        <v>9669.4166666666661</v>
      </c>
    </row>
    <row r="12" spans="1:16" ht="13.5" customHeight="1" x14ac:dyDescent="0.2">
      <c r="A12" s="27" t="s">
        <v>37</v>
      </c>
      <c r="B12" s="28" t="s">
        <v>34</v>
      </c>
      <c r="C12" s="31">
        <v>498</v>
      </c>
      <c r="D12" s="31">
        <v>498</v>
      </c>
      <c r="E12" s="31">
        <v>498</v>
      </c>
      <c r="F12" s="31">
        <v>498</v>
      </c>
      <c r="G12" s="31">
        <v>498</v>
      </c>
      <c r="H12" s="31">
        <v>498</v>
      </c>
      <c r="I12" s="31">
        <v>495</v>
      </c>
      <c r="J12" s="31">
        <v>488</v>
      </c>
      <c r="K12" s="31">
        <v>476</v>
      </c>
      <c r="L12" s="31">
        <v>461</v>
      </c>
      <c r="M12" s="31">
        <v>437</v>
      </c>
      <c r="N12" s="31">
        <v>396</v>
      </c>
      <c r="O12" s="30">
        <f t="shared" si="5"/>
        <v>478.41666666666669</v>
      </c>
    </row>
    <row r="13" spans="1:16" ht="13.5" customHeight="1" x14ac:dyDescent="0.2">
      <c r="A13" s="27" t="s">
        <v>38</v>
      </c>
      <c r="B13" s="28" t="s">
        <v>34</v>
      </c>
      <c r="C13" s="29">
        <v>372</v>
      </c>
      <c r="D13" s="29">
        <v>372</v>
      </c>
      <c r="E13" s="29">
        <v>372</v>
      </c>
      <c r="F13" s="29">
        <v>372</v>
      </c>
      <c r="G13" s="29">
        <v>372</v>
      </c>
      <c r="H13" s="29">
        <v>372</v>
      </c>
      <c r="I13" s="29">
        <v>372</v>
      </c>
      <c r="J13" s="29">
        <v>372</v>
      </c>
      <c r="K13" s="29">
        <v>372</v>
      </c>
      <c r="L13" s="29">
        <v>372</v>
      </c>
      <c r="M13" s="29">
        <v>372</v>
      </c>
      <c r="N13" s="29">
        <v>372</v>
      </c>
      <c r="O13" s="30">
        <f t="shared" si="5"/>
        <v>372</v>
      </c>
    </row>
    <row r="14" spans="1:16" ht="13.5" customHeight="1" x14ac:dyDescent="0.2">
      <c r="A14" s="27" t="s">
        <v>39</v>
      </c>
      <c r="B14" s="28" t="s">
        <v>34</v>
      </c>
      <c r="C14" s="31">
        <v>683</v>
      </c>
      <c r="D14" s="31">
        <v>683</v>
      </c>
      <c r="E14" s="31">
        <v>683</v>
      </c>
      <c r="F14" s="31">
        <v>683</v>
      </c>
      <c r="G14" s="31">
        <v>683</v>
      </c>
      <c r="H14" s="31">
        <v>683</v>
      </c>
      <c r="I14" s="31">
        <v>683</v>
      </c>
      <c r="J14" s="31">
        <v>683</v>
      </c>
      <c r="K14" s="31">
        <v>683</v>
      </c>
      <c r="L14" s="31">
        <v>683</v>
      </c>
      <c r="M14" s="31">
        <v>683</v>
      </c>
      <c r="N14" s="31">
        <v>683</v>
      </c>
      <c r="O14" s="30">
        <f t="shared" si="5"/>
        <v>683</v>
      </c>
    </row>
    <row r="15" spans="1:16" ht="13.5" customHeight="1" x14ac:dyDescent="0.2">
      <c r="A15" s="27" t="s">
        <v>40</v>
      </c>
      <c r="B15" s="28" t="s">
        <v>34</v>
      </c>
      <c r="C15" s="31">
        <v>204</v>
      </c>
      <c r="D15" s="31">
        <v>204</v>
      </c>
      <c r="E15" s="31">
        <v>204</v>
      </c>
      <c r="F15" s="31">
        <v>204</v>
      </c>
      <c r="G15" s="31">
        <v>204</v>
      </c>
      <c r="H15" s="31">
        <v>204</v>
      </c>
      <c r="I15" s="31">
        <v>204</v>
      </c>
      <c r="J15" s="31">
        <v>204</v>
      </c>
      <c r="K15" s="31">
        <v>204</v>
      </c>
      <c r="L15" s="31">
        <v>204</v>
      </c>
      <c r="M15" s="31">
        <v>204</v>
      </c>
      <c r="N15" s="31">
        <v>204</v>
      </c>
      <c r="O15" s="30">
        <f t="shared" si="5"/>
        <v>204</v>
      </c>
    </row>
    <row r="16" spans="1:16" ht="13.5" customHeight="1" x14ac:dyDescent="0.2">
      <c r="A16" s="27" t="s">
        <v>41</v>
      </c>
      <c r="B16" s="28" t="s">
        <v>34</v>
      </c>
      <c r="C16" s="29">
        <v>3</v>
      </c>
      <c r="D16" s="32">
        <v>3</v>
      </c>
      <c r="E16" s="32">
        <v>3</v>
      </c>
      <c r="F16" s="32">
        <v>3</v>
      </c>
      <c r="G16" s="32">
        <v>3</v>
      </c>
      <c r="H16" s="32">
        <v>3</v>
      </c>
      <c r="I16" s="32">
        <v>3</v>
      </c>
      <c r="J16" s="32">
        <v>3</v>
      </c>
      <c r="K16" s="32">
        <v>3</v>
      </c>
      <c r="L16" s="32">
        <v>1</v>
      </c>
      <c r="M16" s="32">
        <v>1</v>
      </c>
      <c r="N16" s="32">
        <v>1</v>
      </c>
      <c r="O16" s="33">
        <f t="shared" si="5"/>
        <v>2.5</v>
      </c>
    </row>
    <row r="17" spans="1:15" ht="13.5" customHeight="1" x14ac:dyDescent="0.2">
      <c r="A17" s="27" t="s">
        <v>145</v>
      </c>
      <c r="B17" s="28" t="s">
        <v>34</v>
      </c>
      <c r="C17" s="29">
        <v>18</v>
      </c>
      <c r="D17" s="32">
        <v>18</v>
      </c>
      <c r="E17" s="32">
        <v>18</v>
      </c>
      <c r="F17" s="32">
        <v>18</v>
      </c>
      <c r="G17" s="32">
        <v>18</v>
      </c>
      <c r="H17" s="32">
        <v>18</v>
      </c>
      <c r="I17" s="32">
        <v>18</v>
      </c>
      <c r="J17" s="32">
        <v>18</v>
      </c>
      <c r="K17" s="32">
        <v>18</v>
      </c>
      <c r="L17" s="32">
        <v>18</v>
      </c>
      <c r="M17" s="32">
        <v>18</v>
      </c>
      <c r="N17" s="32">
        <v>18</v>
      </c>
      <c r="O17" s="33">
        <f t="shared" si="5"/>
        <v>18</v>
      </c>
    </row>
    <row r="18" spans="1:15" ht="13.5" customHeight="1" x14ac:dyDescent="0.2">
      <c r="A18" s="34" t="s">
        <v>42</v>
      </c>
      <c r="B18" s="28" t="s">
        <v>43</v>
      </c>
      <c r="C18" s="29">
        <v>1841</v>
      </c>
      <c r="D18" s="32">
        <f>C18</f>
        <v>1841</v>
      </c>
      <c r="E18" s="32">
        <f t="shared" ref="E18:M18" si="6">D18</f>
        <v>1841</v>
      </c>
      <c r="F18" s="32">
        <f t="shared" si="6"/>
        <v>1841</v>
      </c>
      <c r="G18" s="32">
        <f t="shared" si="6"/>
        <v>1841</v>
      </c>
      <c r="H18" s="32">
        <f t="shared" si="6"/>
        <v>1841</v>
      </c>
      <c r="I18" s="32">
        <f t="shared" si="6"/>
        <v>1841</v>
      </c>
      <c r="J18" s="32">
        <f t="shared" si="6"/>
        <v>1841</v>
      </c>
      <c r="K18" s="32">
        <f t="shared" si="6"/>
        <v>1841</v>
      </c>
      <c r="L18" s="32">
        <f t="shared" si="6"/>
        <v>1841</v>
      </c>
      <c r="M18" s="32">
        <f t="shared" si="6"/>
        <v>1841</v>
      </c>
      <c r="N18" s="32">
        <f>M18</f>
        <v>1841</v>
      </c>
      <c r="O18" s="33">
        <f t="shared" si="5"/>
        <v>1841</v>
      </c>
    </row>
    <row r="19" spans="1:15" ht="13.5" customHeight="1" x14ac:dyDescent="0.25">
      <c r="A19" s="35" t="s">
        <v>44</v>
      </c>
      <c r="B19" s="36" t="s">
        <v>34</v>
      </c>
      <c r="C19" s="36">
        <f>SUM(C20:C22)</f>
        <v>4215</v>
      </c>
      <c r="D19" s="36">
        <f t="shared" ref="D19:N19" si="7">SUM(D20:D22)</f>
        <v>4280</v>
      </c>
      <c r="E19" s="36">
        <f t="shared" si="7"/>
        <v>4207</v>
      </c>
      <c r="F19" s="36">
        <f t="shared" si="7"/>
        <v>4230</v>
      </c>
      <c r="G19" s="36">
        <f t="shared" si="7"/>
        <v>4210</v>
      </c>
      <c r="H19" s="36">
        <f t="shared" si="7"/>
        <v>4230</v>
      </c>
      <c r="I19" s="36">
        <f t="shared" si="7"/>
        <v>4212</v>
      </c>
      <c r="J19" s="36">
        <f t="shared" si="7"/>
        <v>4222</v>
      </c>
      <c r="K19" s="36">
        <f t="shared" si="7"/>
        <v>4260</v>
      </c>
      <c r="L19" s="36">
        <f t="shared" si="7"/>
        <v>4255</v>
      </c>
      <c r="M19" s="36">
        <f t="shared" si="7"/>
        <v>4310</v>
      </c>
      <c r="N19" s="36">
        <f t="shared" si="7"/>
        <v>4343</v>
      </c>
      <c r="O19" s="37">
        <f>AVERAGE(C19:N19)</f>
        <v>4247.833333333333</v>
      </c>
    </row>
    <row r="20" spans="1:15" ht="13.5" customHeight="1" x14ac:dyDescent="0.2">
      <c r="A20" s="38" t="s">
        <v>45</v>
      </c>
      <c r="B20" s="39" t="s">
        <v>34</v>
      </c>
      <c r="C20" s="39">
        <v>4000</v>
      </c>
      <c r="D20" s="39">
        <v>4000</v>
      </c>
      <c r="E20" s="39">
        <v>4000</v>
      </c>
      <c r="F20" s="39">
        <v>4000</v>
      </c>
      <c r="G20" s="39">
        <v>4000</v>
      </c>
      <c r="H20" s="39">
        <v>4000</v>
      </c>
      <c r="I20" s="39">
        <v>4000</v>
      </c>
      <c r="J20" s="39">
        <v>4000</v>
      </c>
      <c r="K20" s="39">
        <v>4000</v>
      </c>
      <c r="L20" s="39">
        <v>4000</v>
      </c>
      <c r="M20" s="39">
        <v>4000</v>
      </c>
      <c r="N20" s="39">
        <v>4000</v>
      </c>
      <c r="O20" s="40">
        <f t="shared" ref="O20:O31" si="8">AVERAGE(C20:N20)</f>
        <v>4000</v>
      </c>
    </row>
    <row r="21" spans="1:15" ht="13.5" customHeight="1" x14ac:dyDescent="0.2">
      <c r="A21" s="41" t="s">
        <v>40</v>
      </c>
      <c r="B21" s="28" t="s">
        <v>34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2" t="e">
        <f t="shared" si="8"/>
        <v>#DIV/0!</v>
      </c>
    </row>
    <row r="22" spans="1:15" ht="13.5" customHeight="1" x14ac:dyDescent="0.2">
      <c r="A22" s="41" t="s">
        <v>46</v>
      </c>
      <c r="B22" s="28" t="s">
        <v>34</v>
      </c>
      <c r="C22" s="253">
        <v>215</v>
      </c>
      <c r="D22" s="253">
        <v>280</v>
      </c>
      <c r="E22" s="253">
        <v>207</v>
      </c>
      <c r="F22" s="253">
        <v>230</v>
      </c>
      <c r="G22" s="253">
        <v>210</v>
      </c>
      <c r="H22" s="253">
        <v>230</v>
      </c>
      <c r="I22" s="253">
        <v>212</v>
      </c>
      <c r="J22" s="253">
        <v>222</v>
      </c>
      <c r="K22" s="253">
        <v>260</v>
      </c>
      <c r="L22" s="253">
        <v>255</v>
      </c>
      <c r="M22" s="253">
        <v>310</v>
      </c>
      <c r="N22" s="253">
        <v>343</v>
      </c>
      <c r="O22" s="33">
        <f t="shared" si="8"/>
        <v>247.83333333333334</v>
      </c>
    </row>
    <row r="23" spans="1:15" ht="13.5" customHeight="1" x14ac:dyDescent="0.25">
      <c r="A23" s="43" t="s">
        <v>47</v>
      </c>
      <c r="B23" s="44" t="s">
        <v>34</v>
      </c>
      <c r="C23" s="45">
        <f>C24+C30</f>
        <v>570.75</v>
      </c>
      <c r="D23" s="45">
        <f>D24+D30</f>
        <v>638.48</v>
      </c>
      <c r="E23" s="45">
        <f>E24+E30</f>
        <v>566.67999999999995</v>
      </c>
      <c r="F23" s="45">
        <f t="shared" ref="F23:N23" si="9">F24+F30</f>
        <v>548.36</v>
      </c>
      <c r="G23" s="45">
        <f t="shared" si="9"/>
        <v>533.1</v>
      </c>
      <c r="H23" s="45">
        <f t="shared" si="9"/>
        <v>556.82000000000005</v>
      </c>
      <c r="I23" s="45">
        <f t="shared" si="9"/>
        <v>531.98</v>
      </c>
      <c r="J23" s="45">
        <f t="shared" si="9"/>
        <v>533.92999999999995</v>
      </c>
      <c r="K23" s="45">
        <f t="shared" si="9"/>
        <v>550.17999999999995</v>
      </c>
      <c r="L23" s="45">
        <f t="shared" si="9"/>
        <v>544.07000000000005</v>
      </c>
      <c r="M23" s="45">
        <f t="shared" si="9"/>
        <v>565.53</v>
      </c>
      <c r="N23" s="45">
        <f t="shared" si="9"/>
        <v>568.14</v>
      </c>
      <c r="O23" s="46">
        <f t="shared" si="8"/>
        <v>559.00166666666667</v>
      </c>
    </row>
    <row r="24" spans="1:15" ht="13.5" customHeight="1" x14ac:dyDescent="0.2">
      <c r="A24" s="47" t="s">
        <v>48</v>
      </c>
      <c r="B24" s="48" t="s">
        <v>34</v>
      </c>
      <c r="C24" s="48">
        <f>C25+C26</f>
        <v>0</v>
      </c>
      <c r="D24" s="48">
        <f>D25+D26</f>
        <v>0</v>
      </c>
      <c r="E24" s="48">
        <f t="shared" ref="E24:N24" si="10">E25+E26</f>
        <v>0</v>
      </c>
      <c r="F24" s="48">
        <f t="shared" si="10"/>
        <v>0</v>
      </c>
      <c r="G24" s="48">
        <f t="shared" si="10"/>
        <v>0</v>
      </c>
      <c r="H24" s="48">
        <f t="shared" si="10"/>
        <v>0</v>
      </c>
      <c r="I24" s="48">
        <f t="shared" si="10"/>
        <v>0</v>
      </c>
      <c r="J24" s="48">
        <f t="shared" si="10"/>
        <v>0</v>
      </c>
      <c r="K24" s="48">
        <f t="shared" si="10"/>
        <v>0</v>
      </c>
      <c r="L24" s="48">
        <f t="shared" si="10"/>
        <v>0</v>
      </c>
      <c r="M24" s="48">
        <f t="shared" si="10"/>
        <v>0</v>
      </c>
      <c r="N24" s="48">
        <f t="shared" si="10"/>
        <v>0</v>
      </c>
      <c r="O24" s="49">
        <f t="shared" si="8"/>
        <v>0</v>
      </c>
    </row>
    <row r="25" spans="1:15" ht="13.5" customHeight="1" x14ac:dyDescent="0.2">
      <c r="A25" s="50" t="s">
        <v>36</v>
      </c>
      <c r="B25" s="51" t="s">
        <v>34</v>
      </c>
      <c r="C25" s="52"/>
      <c r="D25" s="53"/>
      <c r="E25" s="52"/>
      <c r="F25" s="53"/>
      <c r="G25" s="52"/>
      <c r="H25" s="53"/>
      <c r="I25" s="52"/>
      <c r="J25" s="53"/>
      <c r="K25" s="52"/>
      <c r="L25" s="53"/>
      <c r="M25" s="52"/>
      <c r="N25" s="53"/>
      <c r="O25" s="54" t="e">
        <f t="shared" si="8"/>
        <v>#DIV/0!</v>
      </c>
    </row>
    <row r="26" spans="1:15" ht="13.5" customHeight="1" x14ac:dyDescent="0.2">
      <c r="A26" s="50" t="s">
        <v>49</v>
      </c>
      <c r="B26" s="51" t="s">
        <v>34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4" t="e">
        <f t="shared" si="8"/>
        <v>#DIV/0!</v>
      </c>
    </row>
    <row r="27" spans="1:15" ht="13.5" customHeight="1" x14ac:dyDescent="0.2">
      <c r="A27" s="50" t="s">
        <v>40</v>
      </c>
      <c r="B27" s="51" t="s">
        <v>34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4" t="e">
        <f t="shared" si="8"/>
        <v>#DIV/0!</v>
      </c>
    </row>
    <row r="28" spans="1:15" ht="13.5" customHeight="1" x14ac:dyDescent="0.2">
      <c r="A28" s="55" t="s">
        <v>50</v>
      </c>
      <c r="B28" s="39" t="s">
        <v>34</v>
      </c>
      <c r="C28" s="39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30" t="e">
        <f t="shared" si="8"/>
        <v>#DIV/0!</v>
      </c>
    </row>
    <row r="29" spans="1:15" ht="13.5" customHeight="1" x14ac:dyDescent="0.2">
      <c r="A29" s="55" t="s">
        <v>51</v>
      </c>
      <c r="B29" s="39" t="s">
        <v>34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30" t="e">
        <f t="shared" si="8"/>
        <v>#DIV/0!</v>
      </c>
    </row>
    <row r="30" spans="1:15" ht="13.5" customHeight="1" x14ac:dyDescent="0.2">
      <c r="A30" s="55" t="s">
        <v>52</v>
      </c>
      <c r="B30" s="39" t="s">
        <v>34</v>
      </c>
      <c r="C30" s="57">
        <v>570.75</v>
      </c>
      <c r="D30" s="57">
        <v>638.48</v>
      </c>
      <c r="E30" s="57">
        <v>566.67999999999995</v>
      </c>
      <c r="F30" s="57">
        <v>548.36</v>
      </c>
      <c r="G30" s="57">
        <v>533.1</v>
      </c>
      <c r="H30" s="57">
        <v>556.82000000000005</v>
      </c>
      <c r="I30" s="57">
        <v>531.98</v>
      </c>
      <c r="J30" s="57">
        <v>533.92999999999995</v>
      </c>
      <c r="K30" s="57">
        <v>550.17999999999995</v>
      </c>
      <c r="L30" s="57">
        <v>544.07000000000005</v>
      </c>
      <c r="M30" s="57">
        <v>565.53</v>
      </c>
      <c r="N30" s="57">
        <v>568.14</v>
      </c>
      <c r="O30" s="58">
        <f t="shared" si="8"/>
        <v>559.00166666666667</v>
      </c>
    </row>
    <row r="31" spans="1:15" ht="13.5" customHeight="1" thickBot="1" x14ac:dyDescent="0.3">
      <c r="A31" s="59" t="s">
        <v>158</v>
      </c>
      <c r="B31" s="60" t="s">
        <v>34</v>
      </c>
      <c r="C31" s="61">
        <f>C9-C30</f>
        <v>15112.25</v>
      </c>
      <c r="D31" s="61">
        <f t="shared" ref="D31:N31" si="11">D9-D30</f>
        <v>15109.52</v>
      </c>
      <c r="E31" s="61">
        <f t="shared" si="11"/>
        <v>15108.32</v>
      </c>
      <c r="F31" s="61">
        <f t="shared" si="11"/>
        <v>15147.64</v>
      </c>
      <c r="G31" s="61">
        <f t="shared" si="11"/>
        <v>15142.9</v>
      </c>
      <c r="H31" s="61">
        <f t="shared" si="11"/>
        <v>15128.18</v>
      </c>
      <c r="I31" s="61">
        <f t="shared" si="11"/>
        <v>15131.02</v>
      </c>
      <c r="J31" s="61">
        <f t="shared" si="11"/>
        <v>15132.07</v>
      </c>
      <c r="K31" s="61">
        <f t="shared" si="11"/>
        <v>15132.82</v>
      </c>
      <c r="L31" s="61">
        <f t="shared" si="11"/>
        <v>15098.93</v>
      </c>
      <c r="M31" s="61">
        <f t="shared" si="11"/>
        <v>15088.47</v>
      </c>
      <c r="N31" s="61">
        <f t="shared" si="11"/>
        <v>15061.86</v>
      </c>
      <c r="O31" s="62">
        <f t="shared" si="8"/>
        <v>15116.164999999999</v>
      </c>
    </row>
    <row r="32" spans="1:15" ht="13.5" customHeight="1" thickBot="1" x14ac:dyDescent="0.25">
      <c r="A32" s="63"/>
      <c r="B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6"/>
    </row>
    <row r="33" spans="1:15" ht="16.5" thickBot="1" x14ac:dyDescent="0.3">
      <c r="A33" s="67" t="s">
        <v>53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</row>
    <row r="34" spans="1:15" x14ac:dyDescent="0.2">
      <c r="A34" s="70" t="s">
        <v>54</v>
      </c>
      <c r="B34" s="71" t="s">
        <v>34</v>
      </c>
      <c r="C34" s="72">
        <f t="shared" ref="C34:N34" si="12">C35/31</f>
        <v>16.032258064516128</v>
      </c>
      <c r="D34" s="72">
        <f>D35/28</f>
        <v>16</v>
      </c>
      <c r="E34" s="72">
        <f t="shared" si="12"/>
        <v>16.032258064516128</v>
      </c>
      <c r="F34" s="72">
        <f t="shared" si="12"/>
        <v>14.903225806451612</v>
      </c>
      <c r="G34" s="72">
        <f t="shared" si="12"/>
        <v>15.096774193548388</v>
      </c>
      <c r="H34" s="72">
        <f t="shared" si="12"/>
        <v>14.580645161290322</v>
      </c>
      <c r="I34" s="72">
        <f t="shared" si="12"/>
        <v>15.064516129032258</v>
      </c>
      <c r="J34" s="72">
        <f t="shared" si="12"/>
        <v>14.806451612903226</v>
      </c>
      <c r="K34" s="72">
        <f t="shared" si="12"/>
        <v>14.225806451612904</v>
      </c>
      <c r="L34" s="72">
        <f t="shared" si="12"/>
        <v>14.225806451612904</v>
      </c>
      <c r="M34" s="72">
        <f t="shared" si="12"/>
        <v>13.741935483870968</v>
      </c>
      <c r="N34" s="72">
        <f t="shared" si="12"/>
        <v>13.387096774193548</v>
      </c>
      <c r="O34" s="73"/>
    </row>
    <row r="35" spans="1:15" x14ac:dyDescent="0.2">
      <c r="A35" s="74" t="s">
        <v>55</v>
      </c>
      <c r="B35" s="75" t="s">
        <v>34</v>
      </c>
      <c r="C35" s="76">
        <f t="shared" ref="C35:N35" si="13">C36+C43</f>
        <v>497</v>
      </c>
      <c r="D35" s="76">
        <f t="shared" si="13"/>
        <v>448</v>
      </c>
      <c r="E35" s="76">
        <f t="shared" si="13"/>
        <v>497</v>
      </c>
      <c r="F35" s="76">
        <f t="shared" si="13"/>
        <v>462</v>
      </c>
      <c r="G35" s="76">
        <f t="shared" si="13"/>
        <v>468</v>
      </c>
      <c r="H35" s="76">
        <f t="shared" si="13"/>
        <v>452</v>
      </c>
      <c r="I35" s="76">
        <f t="shared" si="13"/>
        <v>467</v>
      </c>
      <c r="J35" s="76">
        <f t="shared" si="13"/>
        <v>459</v>
      </c>
      <c r="K35" s="76">
        <f t="shared" si="13"/>
        <v>441</v>
      </c>
      <c r="L35" s="76">
        <f t="shared" si="13"/>
        <v>441</v>
      </c>
      <c r="M35" s="76">
        <f t="shared" si="13"/>
        <v>426</v>
      </c>
      <c r="N35" s="76">
        <f t="shared" si="13"/>
        <v>415</v>
      </c>
      <c r="O35" s="77">
        <f t="shared" ref="O35:O47" si="14">C35+D35+E35+F35+G35+H35+I35+J35+K35+L35+M35+N35</f>
        <v>5473</v>
      </c>
    </row>
    <row r="36" spans="1:15" x14ac:dyDescent="0.2">
      <c r="A36" s="78" t="s">
        <v>56</v>
      </c>
      <c r="B36" s="44" t="s">
        <v>34</v>
      </c>
      <c r="C36" s="45">
        <f t="shared" ref="C36:N36" si="15">C50+C63+C77</f>
        <v>339</v>
      </c>
      <c r="D36" s="45">
        <f t="shared" si="15"/>
        <v>304</v>
      </c>
      <c r="E36" s="45">
        <f t="shared" si="15"/>
        <v>339</v>
      </c>
      <c r="F36" s="45">
        <f t="shared" si="15"/>
        <v>308</v>
      </c>
      <c r="G36" s="45">
        <f t="shared" si="15"/>
        <v>310</v>
      </c>
      <c r="H36" s="45">
        <f t="shared" si="15"/>
        <v>298</v>
      </c>
      <c r="I36" s="45">
        <f t="shared" si="15"/>
        <v>309</v>
      </c>
      <c r="J36" s="45">
        <f t="shared" si="15"/>
        <v>301</v>
      </c>
      <c r="K36" s="45">
        <f t="shared" si="15"/>
        <v>295</v>
      </c>
      <c r="L36" s="45">
        <f t="shared" si="15"/>
        <v>283</v>
      </c>
      <c r="M36" s="45">
        <f t="shared" si="15"/>
        <v>273</v>
      </c>
      <c r="N36" s="45">
        <f t="shared" si="15"/>
        <v>257</v>
      </c>
      <c r="O36" s="46">
        <f t="shared" si="14"/>
        <v>3616</v>
      </c>
    </row>
    <row r="37" spans="1:15" x14ac:dyDescent="0.2">
      <c r="A37" s="79" t="s">
        <v>36</v>
      </c>
      <c r="B37" s="39" t="s">
        <v>34</v>
      </c>
      <c r="C37" s="56">
        <f>C51+C78</f>
        <v>242</v>
      </c>
      <c r="D37" s="56">
        <f t="shared" ref="D37:N37" si="16">D51+D78</f>
        <v>189</v>
      </c>
      <c r="E37" s="56">
        <f t="shared" si="16"/>
        <v>241</v>
      </c>
      <c r="F37" s="56">
        <f t="shared" si="16"/>
        <v>294</v>
      </c>
      <c r="G37" s="56">
        <f t="shared" si="16"/>
        <v>298</v>
      </c>
      <c r="H37" s="56">
        <f t="shared" si="16"/>
        <v>279</v>
      </c>
      <c r="I37" s="56">
        <f t="shared" si="16"/>
        <v>294</v>
      </c>
      <c r="J37" s="56">
        <f t="shared" si="16"/>
        <v>268</v>
      </c>
      <c r="K37" s="56">
        <f t="shared" si="16"/>
        <v>271</v>
      </c>
      <c r="L37" s="56">
        <f t="shared" si="16"/>
        <v>220</v>
      </c>
      <c r="M37" s="56">
        <f t="shared" si="16"/>
        <v>219</v>
      </c>
      <c r="N37" s="56">
        <f t="shared" si="16"/>
        <v>213</v>
      </c>
      <c r="O37" s="30">
        <f t="shared" si="14"/>
        <v>3028</v>
      </c>
    </row>
    <row r="38" spans="1:15" x14ac:dyDescent="0.2">
      <c r="A38" s="80" t="s">
        <v>49</v>
      </c>
      <c r="B38" s="81" t="s">
        <v>34</v>
      </c>
      <c r="C38" s="56">
        <f>C52+C79</f>
        <v>25</v>
      </c>
      <c r="D38" s="56">
        <f t="shared" ref="D38:N38" si="17">D52+D79</f>
        <v>0</v>
      </c>
      <c r="E38" s="56">
        <f t="shared" si="17"/>
        <v>0</v>
      </c>
      <c r="F38" s="56">
        <f t="shared" si="17"/>
        <v>0</v>
      </c>
      <c r="G38" s="56">
        <f t="shared" si="17"/>
        <v>0</v>
      </c>
      <c r="H38" s="56">
        <f t="shared" si="17"/>
        <v>0</v>
      </c>
      <c r="I38" s="56">
        <f t="shared" si="17"/>
        <v>0</v>
      </c>
      <c r="J38" s="56">
        <f t="shared" si="17"/>
        <v>0</v>
      </c>
      <c r="K38" s="56">
        <f t="shared" si="17"/>
        <v>0</v>
      </c>
      <c r="L38" s="56">
        <f t="shared" si="17"/>
        <v>0</v>
      </c>
      <c r="M38" s="56">
        <f t="shared" si="17"/>
        <v>0</v>
      </c>
      <c r="N38" s="56">
        <f t="shared" si="17"/>
        <v>10</v>
      </c>
      <c r="O38" s="30">
        <f t="shared" si="14"/>
        <v>35</v>
      </c>
    </row>
    <row r="39" spans="1:15" x14ac:dyDescent="0.2">
      <c r="A39" s="79" t="s">
        <v>38</v>
      </c>
      <c r="B39" s="39" t="s">
        <v>34</v>
      </c>
      <c r="C39" s="56">
        <f>C53+C80</f>
        <v>67</v>
      </c>
      <c r="D39" s="56">
        <f t="shared" ref="D39:N39" si="18">D53+D80</f>
        <v>103</v>
      </c>
      <c r="E39" s="56">
        <f t="shared" si="18"/>
        <v>87</v>
      </c>
      <c r="F39" s="56">
        <f t="shared" si="18"/>
        <v>3</v>
      </c>
      <c r="G39" s="56">
        <f t="shared" si="18"/>
        <v>0</v>
      </c>
      <c r="H39" s="56">
        <f t="shared" si="18"/>
        <v>9</v>
      </c>
      <c r="I39" s="56">
        <f t="shared" si="18"/>
        <v>0</v>
      </c>
      <c r="J39" s="56">
        <f t="shared" si="18"/>
        <v>1</v>
      </c>
      <c r="K39" s="56">
        <f t="shared" si="18"/>
        <v>0</v>
      </c>
      <c r="L39" s="56">
        <f t="shared" si="18"/>
        <v>0</v>
      </c>
      <c r="M39" s="56">
        <f t="shared" si="18"/>
        <v>0</v>
      </c>
      <c r="N39" s="56">
        <f t="shared" si="18"/>
        <v>0</v>
      </c>
      <c r="O39" s="30">
        <f t="shared" si="14"/>
        <v>270</v>
      </c>
    </row>
    <row r="40" spans="1:15" x14ac:dyDescent="0.2">
      <c r="A40" s="79" t="s">
        <v>57</v>
      </c>
      <c r="B40" s="39" t="s">
        <v>34</v>
      </c>
      <c r="C40" s="56">
        <f>C54+C81</f>
        <v>5</v>
      </c>
      <c r="D40" s="56">
        <f t="shared" ref="D40:N40" si="19">D54+D81</f>
        <v>12</v>
      </c>
      <c r="E40" s="56">
        <f t="shared" si="19"/>
        <v>11</v>
      </c>
      <c r="F40" s="56">
        <f t="shared" si="19"/>
        <v>6</v>
      </c>
      <c r="G40" s="56">
        <f t="shared" si="19"/>
        <v>12</v>
      </c>
      <c r="H40" s="56">
        <f t="shared" si="19"/>
        <v>10</v>
      </c>
      <c r="I40" s="56">
        <f t="shared" si="19"/>
        <v>8</v>
      </c>
      <c r="J40" s="56">
        <f t="shared" si="19"/>
        <v>22</v>
      </c>
      <c r="K40" s="56">
        <f t="shared" si="19"/>
        <v>15</v>
      </c>
      <c r="L40" s="56">
        <f t="shared" si="19"/>
        <v>22</v>
      </c>
      <c r="M40" s="56">
        <f t="shared" si="19"/>
        <v>18</v>
      </c>
      <c r="N40" s="56">
        <f t="shared" si="19"/>
        <v>14</v>
      </c>
      <c r="O40" s="30">
        <f t="shared" si="14"/>
        <v>155</v>
      </c>
    </row>
    <row r="41" spans="1:15" x14ac:dyDescent="0.2">
      <c r="A41" s="79" t="s">
        <v>58</v>
      </c>
      <c r="B41" s="39" t="s">
        <v>34</v>
      </c>
      <c r="C41" s="56">
        <f>C55</f>
        <v>0</v>
      </c>
      <c r="D41" s="56">
        <f t="shared" ref="D41:N41" si="20">D55</f>
        <v>0</v>
      </c>
      <c r="E41" s="56">
        <f t="shared" si="20"/>
        <v>0</v>
      </c>
      <c r="F41" s="56">
        <f t="shared" si="20"/>
        <v>0</v>
      </c>
      <c r="G41" s="56">
        <f t="shared" si="20"/>
        <v>0</v>
      </c>
      <c r="H41" s="56">
        <f t="shared" si="20"/>
        <v>0</v>
      </c>
      <c r="I41" s="56">
        <f t="shared" si="20"/>
        <v>7</v>
      </c>
      <c r="J41" s="56">
        <f t="shared" si="20"/>
        <v>10</v>
      </c>
      <c r="K41" s="56">
        <f t="shared" si="20"/>
        <v>9</v>
      </c>
      <c r="L41" s="56">
        <f t="shared" si="20"/>
        <v>41</v>
      </c>
      <c r="M41" s="56">
        <f t="shared" si="20"/>
        <v>36</v>
      </c>
      <c r="N41" s="56">
        <f t="shared" si="20"/>
        <v>20</v>
      </c>
      <c r="O41" s="30">
        <f t="shared" si="14"/>
        <v>123</v>
      </c>
    </row>
    <row r="42" spans="1:15" x14ac:dyDescent="0.2">
      <c r="A42" s="168" t="s">
        <v>121</v>
      </c>
      <c r="B42" s="169" t="s">
        <v>34</v>
      </c>
      <c r="C42" s="170">
        <f>C69</f>
        <v>0</v>
      </c>
      <c r="D42" s="170">
        <f t="shared" ref="D42:N42" si="21">D69</f>
        <v>0</v>
      </c>
      <c r="E42" s="170">
        <f t="shared" si="21"/>
        <v>0</v>
      </c>
      <c r="F42" s="170">
        <f t="shared" si="21"/>
        <v>5</v>
      </c>
      <c r="G42" s="170">
        <f t="shared" si="21"/>
        <v>0</v>
      </c>
      <c r="H42" s="170">
        <f t="shared" si="21"/>
        <v>0</v>
      </c>
      <c r="I42" s="170">
        <f t="shared" si="21"/>
        <v>0</v>
      </c>
      <c r="J42" s="170">
        <f t="shared" si="21"/>
        <v>0</v>
      </c>
      <c r="K42" s="170">
        <f t="shared" si="21"/>
        <v>0</v>
      </c>
      <c r="L42" s="170">
        <f t="shared" si="21"/>
        <v>0</v>
      </c>
      <c r="M42" s="170">
        <f t="shared" si="21"/>
        <v>0</v>
      </c>
      <c r="N42" s="170">
        <f t="shared" si="21"/>
        <v>0</v>
      </c>
      <c r="O42" s="172">
        <f t="shared" si="14"/>
        <v>5</v>
      </c>
    </row>
    <row r="43" spans="1:15" x14ac:dyDescent="0.2">
      <c r="A43" s="82" t="s">
        <v>59</v>
      </c>
      <c r="B43" s="44" t="s">
        <v>34</v>
      </c>
      <c r="C43" s="83">
        <f t="shared" ref="C43:N43" si="22">C56+C70+C82</f>
        <v>158</v>
      </c>
      <c r="D43" s="83">
        <f t="shared" si="22"/>
        <v>144</v>
      </c>
      <c r="E43" s="83">
        <f t="shared" si="22"/>
        <v>158</v>
      </c>
      <c r="F43" s="83">
        <f t="shared" si="22"/>
        <v>154</v>
      </c>
      <c r="G43" s="83">
        <f t="shared" si="22"/>
        <v>158</v>
      </c>
      <c r="H43" s="83">
        <f t="shared" si="22"/>
        <v>154</v>
      </c>
      <c r="I43" s="83">
        <f t="shared" si="22"/>
        <v>158</v>
      </c>
      <c r="J43" s="83">
        <f t="shared" si="22"/>
        <v>158</v>
      </c>
      <c r="K43" s="83">
        <f t="shared" si="22"/>
        <v>146</v>
      </c>
      <c r="L43" s="83">
        <f t="shared" si="22"/>
        <v>158</v>
      </c>
      <c r="M43" s="83">
        <f t="shared" si="22"/>
        <v>153</v>
      </c>
      <c r="N43" s="83">
        <f t="shared" si="22"/>
        <v>158</v>
      </c>
      <c r="O43" s="46">
        <f t="shared" si="14"/>
        <v>1857</v>
      </c>
    </row>
    <row r="44" spans="1:15" x14ac:dyDescent="0.2">
      <c r="A44" s="84" t="s">
        <v>36</v>
      </c>
      <c r="B44" s="39" t="s">
        <v>34</v>
      </c>
      <c r="C44" s="85">
        <f>C57+C82</f>
        <v>156</v>
      </c>
      <c r="D44" s="85">
        <f t="shared" ref="D44:N44" si="23">D57+D82</f>
        <v>139</v>
      </c>
      <c r="E44" s="85">
        <f t="shared" si="23"/>
        <v>131</v>
      </c>
      <c r="F44" s="85">
        <f t="shared" si="23"/>
        <v>145</v>
      </c>
      <c r="G44" s="85">
        <f t="shared" si="23"/>
        <v>154</v>
      </c>
      <c r="H44" s="85">
        <f t="shared" si="23"/>
        <v>153</v>
      </c>
      <c r="I44" s="85">
        <f t="shared" si="23"/>
        <v>158</v>
      </c>
      <c r="J44" s="85">
        <f t="shared" si="23"/>
        <v>158</v>
      </c>
      <c r="K44" s="85">
        <f t="shared" si="23"/>
        <v>141</v>
      </c>
      <c r="L44" s="85">
        <f t="shared" si="23"/>
        <v>96</v>
      </c>
      <c r="M44" s="85">
        <f t="shared" si="23"/>
        <v>121</v>
      </c>
      <c r="N44" s="85">
        <f t="shared" si="23"/>
        <v>157</v>
      </c>
      <c r="O44" s="30">
        <f t="shared" si="14"/>
        <v>1709</v>
      </c>
    </row>
    <row r="45" spans="1:15" x14ac:dyDescent="0.2">
      <c r="A45" s="84" t="s">
        <v>37</v>
      </c>
      <c r="B45" s="39" t="s">
        <v>34</v>
      </c>
      <c r="C45" s="85">
        <f>C58</f>
        <v>0</v>
      </c>
      <c r="D45" s="85">
        <f t="shared" ref="D45:N45" si="24">D58</f>
        <v>0</v>
      </c>
      <c r="E45" s="85">
        <f t="shared" si="24"/>
        <v>0</v>
      </c>
      <c r="F45" s="85">
        <f t="shared" si="24"/>
        <v>0</v>
      </c>
      <c r="G45" s="85">
        <f t="shared" si="24"/>
        <v>0</v>
      </c>
      <c r="H45" s="85">
        <f t="shared" si="24"/>
        <v>0</v>
      </c>
      <c r="I45" s="85">
        <f t="shared" si="24"/>
        <v>0</v>
      </c>
      <c r="J45" s="85">
        <f t="shared" si="24"/>
        <v>0</v>
      </c>
      <c r="K45" s="85">
        <f t="shared" si="24"/>
        <v>0</v>
      </c>
      <c r="L45" s="85">
        <f t="shared" si="24"/>
        <v>0</v>
      </c>
      <c r="M45" s="85">
        <f t="shared" si="24"/>
        <v>0</v>
      </c>
      <c r="N45" s="85">
        <f t="shared" si="24"/>
        <v>0</v>
      </c>
      <c r="O45" s="30">
        <f t="shared" si="14"/>
        <v>0</v>
      </c>
    </row>
    <row r="46" spans="1:15" x14ac:dyDescent="0.2">
      <c r="A46" s="84" t="s">
        <v>38</v>
      </c>
      <c r="B46" s="39" t="s">
        <v>34</v>
      </c>
      <c r="C46" s="85">
        <f>C59</f>
        <v>1</v>
      </c>
      <c r="D46" s="85">
        <f t="shared" ref="D46:N46" si="25">D59</f>
        <v>0</v>
      </c>
      <c r="E46" s="85">
        <f t="shared" si="25"/>
        <v>0</v>
      </c>
      <c r="F46" s="85">
        <f t="shared" si="25"/>
        <v>0</v>
      </c>
      <c r="G46" s="85">
        <f t="shared" si="25"/>
        <v>0</v>
      </c>
      <c r="H46" s="85">
        <f t="shared" si="25"/>
        <v>0</v>
      </c>
      <c r="I46" s="85">
        <f t="shared" si="25"/>
        <v>0</v>
      </c>
      <c r="J46" s="85">
        <f t="shared" si="25"/>
        <v>0</v>
      </c>
      <c r="K46" s="85">
        <f t="shared" si="25"/>
        <v>5</v>
      </c>
      <c r="L46" s="85">
        <f t="shared" si="25"/>
        <v>62</v>
      </c>
      <c r="M46" s="85">
        <f t="shared" si="25"/>
        <v>32</v>
      </c>
      <c r="N46" s="85">
        <f t="shared" si="25"/>
        <v>1</v>
      </c>
      <c r="O46" s="30">
        <f>C46+D46+E46+F46+G46+H46+I46+J46+K46+L46+M46+N46</f>
        <v>101</v>
      </c>
    </row>
    <row r="47" spans="1:15" x14ac:dyDescent="0.2">
      <c r="A47" s="84" t="s">
        <v>60</v>
      </c>
      <c r="B47" s="39" t="s">
        <v>34</v>
      </c>
      <c r="C47" s="85">
        <f>C60</f>
        <v>1</v>
      </c>
      <c r="D47" s="85">
        <f t="shared" ref="D47:N47" si="26">D60</f>
        <v>5</v>
      </c>
      <c r="E47" s="85">
        <f t="shared" si="26"/>
        <v>27</v>
      </c>
      <c r="F47" s="85">
        <f t="shared" si="26"/>
        <v>9</v>
      </c>
      <c r="G47" s="85">
        <f t="shared" si="26"/>
        <v>4</v>
      </c>
      <c r="H47" s="85">
        <f t="shared" si="26"/>
        <v>1</v>
      </c>
      <c r="I47" s="85">
        <f t="shared" si="26"/>
        <v>0</v>
      </c>
      <c r="J47" s="85">
        <f t="shared" si="26"/>
        <v>0</v>
      </c>
      <c r="K47" s="85">
        <f t="shared" si="26"/>
        <v>0</v>
      </c>
      <c r="L47" s="85">
        <f t="shared" si="26"/>
        <v>0</v>
      </c>
      <c r="M47" s="85">
        <f t="shared" si="26"/>
        <v>0</v>
      </c>
      <c r="N47" s="85">
        <f t="shared" si="26"/>
        <v>0</v>
      </c>
      <c r="O47" s="30">
        <f t="shared" si="14"/>
        <v>47</v>
      </c>
    </row>
    <row r="48" spans="1:15" x14ac:dyDescent="0.2">
      <c r="A48" s="86" t="s">
        <v>61</v>
      </c>
      <c r="B48" s="87"/>
      <c r="C48" s="88">
        <f>C49/31</f>
        <v>10</v>
      </c>
      <c r="D48" s="88">
        <f>D49/28</f>
        <v>10</v>
      </c>
      <c r="E48" s="88">
        <f>E49/31</f>
        <v>10</v>
      </c>
      <c r="F48" s="88">
        <f>F49/30</f>
        <v>9.2333333333333325</v>
      </c>
      <c r="G48" s="88">
        <f>G49/31</f>
        <v>9.064516129032258</v>
      </c>
      <c r="H48" s="88">
        <f>H49/30</f>
        <v>9.0666666666666664</v>
      </c>
      <c r="I48" s="88">
        <f>I49/31</f>
        <v>9.064516129032258</v>
      </c>
      <c r="J48" s="88">
        <f>J49/31</f>
        <v>8.806451612903226</v>
      </c>
      <c r="K48" s="88">
        <f>K49/30</f>
        <v>8.6999999999999993</v>
      </c>
      <c r="L48" s="88">
        <f>L49/31</f>
        <v>8.2258064516129039</v>
      </c>
      <c r="M48" s="88">
        <f>M49/30</f>
        <v>8.1999999999999993</v>
      </c>
      <c r="N48" s="88">
        <f>N49/31</f>
        <v>7.387096774193548</v>
      </c>
      <c r="O48" s="89">
        <f>O49/365</f>
        <v>8.9726027397260282</v>
      </c>
    </row>
    <row r="49" spans="1:246" x14ac:dyDescent="0.2">
      <c r="A49" s="78" t="s">
        <v>62</v>
      </c>
      <c r="B49" s="75" t="s">
        <v>34</v>
      </c>
      <c r="C49" s="90">
        <f t="shared" ref="C49:M49" si="27">C50+C56</f>
        <v>310</v>
      </c>
      <c r="D49" s="90">
        <f t="shared" si="27"/>
        <v>280</v>
      </c>
      <c r="E49" s="90">
        <f t="shared" si="27"/>
        <v>310</v>
      </c>
      <c r="F49" s="90">
        <f t="shared" si="27"/>
        <v>277</v>
      </c>
      <c r="G49" s="90">
        <f t="shared" si="27"/>
        <v>281</v>
      </c>
      <c r="H49" s="90">
        <f t="shared" si="27"/>
        <v>272</v>
      </c>
      <c r="I49" s="90">
        <f t="shared" si="27"/>
        <v>281</v>
      </c>
      <c r="J49" s="90">
        <f t="shared" si="27"/>
        <v>273</v>
      </c>
      <c r="K49" s="48">
        <f t="shared" si="27"/>
        <v>261</v>
      </c>
      <c r="L49" s="48">
        <f t="shared" si="27"/>
        <v>255</v>
      </c>
      <c r="M49" s="48">
        <f t="shared" si="27"/>
        <v>246</v>
      </c>
      <c r="N49" s="90">
        <f>N50+N56</f>
        <v>229</v>
      </c>
      <c r="O49" s="49">
        <f t="shared" ref="O49:O60" si="28">C49+D49+E49+F49+G49+H49+I49+J49+K49+L49+M49+N49</f>
        <v>3275</v>
      </c>
      <c r="P49" s="8">
        <f>1823+1452</f>
        <v>3275</v>
      </c>
      <c r="Q49" s="8">
        <f>O49-P49</f>
        <v>0</v>
      </c>
    </row>
    <row r="50" spans="1:246" x14ac:dyDescent="0.2">
      <c r="A50" s="79" t="s">
        <v>2</v>
      </c>
      <c r="B50" s="28" t="s">
        <v>34</v>
      </c>
      <c r="C50" s="83">
        <f t="shared" ref="C50:N50" si="29">C51+C52+C53+C54+C55</f>
        <v>186</v>
      </c>
      <c r="D50" s="83">
        <f t="shared" si="29"/>
        <v>168</v>
      </c>
      <c r="E50" s="83">
        <f t="shared" si="29"/>
        <v>186</v>
      </c>
      <c r="F50" s="83">
        <f t="shared" si="29"/>
        <v>157</v>
      </c>
      <c r="G50" s="83">
        <f t="shared" si="29"/>
        <v>157</v>
      </c>
      <c r="H50" s="83">
        <f t="shared" si="29"/>
        <v>152</v>
      </c>
      <c r="I50" s="83">
        <f t="shared" si="29"/>
        <v>157</v>
      </c>
      <c r="J50" s="83">
        <f t="shared" si="29"/>
        <v>149</v>
      </c>
      <c r="K50" s="83">
        <f t="shared" si="29"/>
        <v>149</v>
      </c>
      <c r="L50" s="83">
        <f t="shared" si="29"/>
        <v>131</v>
      </c>
      <c r="M50" s="83">
        <f t="shared" si="29"/>
        <v>126</v>
      </c>
      <c r="N50" s="83">
        <f t="shared" si="29"/>
        <v>105</v>
      </c>
      <c r="O50" s="46">
        <f t="shared" si="28"/>
        <v>1823</v>
      </c>
      <c r="P50" s="8">
        <f>1623+200</f>
        <v>1823</v>
      </c>
      <c r="Q50" s="8">
        <f>O50-P50</f>
        <v>0</v>
      </c>
    </row>
    <row r="51" spans="1:246" x14ac:dyDescent="0.2">
      <c r="A51" s="79" t="s">
        <v>36</v>
      </c>
      <c r="B51" s="28" t="s">
        <v>34</v>
      </c>
      <c r="C51" s="85">
        <v>119</v>
      </c>
      <c r="D51" s="85">
        <v>65</v>
      </c>
      <c r="E51" s="85">
        <v>99</v>
      </c>
      <c r="F51" s="85">
        <v>154</v>
      </c>
      <c r="G51" s="85">
        <v>157</v>
      </c>
      <c r="H51" s="85">
        <v>143</v>
      </c>
      <c r="I51" s="85">
        <v>150</v>
      </c>
      <c r="J51" s="85">
        <v>138</v>
      </c>
      <c r="K51" s="85">
        <v>140</v>
      </c>
      <c r="L51" s="85">
        <v>90</v>
      </c>
      <c r="M51" s="85">
        <v>90</v>
      </c>
      <c r="N51" s="85">
        <v>85</v>
      </c>
      <c r="O51" s="30">
        <f>C51+D51+E51+F51+G51+H51+I51+J51+K51+L51+M51+N51</f>
        <v>1430</v>
      </c>
    </row>
    <row r="52" spans="1:246" x14ac:dyDescent="0.2">
      <c r="A52" s="79" t="s">
        <v>49</v>
      </c>
      <c r="B52" s="28" t="s">
        <v>34</v>
      </c>
      <c r="C52" s="85"/>
      <c r="D52" s="31"/>
      <c r="E52" s="56"/>
      <c r="F52" s="91"/>
      <c r="G52" s="56"/>
      <c r="H52" s="56"/>
      <c r="I52" s="56"/>
      <c r="J52" s="56"/>
      <c r="K52" s="56"/>
      <c r="L52" s="56"/>
      <c r="M52" s="56"/>
      <c r="N52" s="56"/>
      <c r="O52" s="30">
        <f t="shared" si="28"/>
        <v>0</v>
      </c>
    </row>
    <row r="53" spans="1:246" x14ac:dyDescent="0.2">
      <c r="A53" s="79" t="s">
        <v>38</v>
      </c>
      <c r="B53" s="28" t="s">
        <v>34</v>
      </c>
      <c r="C53" s="85">
        <v>67</v>
      </c>
      <c r="D53" s="31">
        <v>103</v>
      </c>
      <c r="E53" s="56">
        <v>87</v>
      </c>
      <c r="F53" s="56">
        <v>3</v>
      </c>
      <c r="G53" s="56"/>
      <c r="H53" s="56">
        <v>9</v>
      </c>
      <c r="I53" s="56"/>
      <c r="J53" s="56">
        <v>1</v>
      </c>
      <c r="K53" s="56"/>
      <c r="L53" s="56"/>
      <c r="M53" s="56"/>
      <c r="N53" s="56"/>
      <c r="O53" s="30">
        <f t="shared" si="28"/>
        <v>270</v>
      </c>
    </row>
    <row r="54" spans="1:246" x14ac:dyDescent="0.2">
      <c r="A54" s="79" t="s">
        <v>57</v>
      </c>
      <c r="B54" s="28" t="s">
        <v>34</v>
      </c>
      <c r="C54" s="85"/>
      <c r="D54" s="31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30">
        <f t="shared" si="28"/>
        <v>0</v>
      </c>
    </row>
    <row r="55" spans="1:246" x14ac:dyDescent="0.2">
      <c r="A55" s="79" t="s">
        <v>58</v>
      </c>
      <c r="B55" s="28" t="s">
        <v>34</v>
      </c>
      <c r="C55" s="85"/>
      <c r="D55" s="31"/>
      <c r="E55" s="56"/>
      <c r="F55" s="56"/>
      <c r="G55" s="56"/>
      <c r="H55" s="56"/>
      <c r="I55" s="56">
        <v>7</v>
      </c>
      <c r="J55" s="56">
        <v>10</v>
      </c>
      <c r="K55" s="56">
        <v>9</v>
      </c>
      <c r="L55" s="56">
        <v>41</v>
      </c>
      <c r="M55" s="56">
        <v>36</v>
      </c>
      <c r="N55" s="85">
        <v>20</v>
      </c>
      <c r="O55" s="30">
        <f t="shared" si="28"/>
        <v>123</v>
      </c>
    </row>
    <row r="56" spans="1:246" x14ac:dyDescent="0.2">
      <c r="A56" s="79" t="s">
        <v>3</v>
      </c>
      <c r="B56" s="28" t="s">
        <v>34</v>
      </c>
      <c r="C56" s="83">
        <f>C57+C58+C59+C60</f>
        <v>124</v>
      </c>
      <c r="D56" s="83">
        <f t="shared" ref="D56:M56" si="30">D57+D58+D59+D60</f>
        <v>112</v>
      </c>
      <c r="E56" s="83">
        <f t="shared" si="30"/>
        <v>124</v>
      </c>
      <c r="F56" s="83">
        <f t="shared" si="30"/>
        <v>120</v>
      </c>
      <c r="G56" s="83">
        <f t="shared" si="30"/>
        <v>124</v>
      </c>
      <c r="H56" s="83">
        <f t="shared" si="30"/>
        <v>120</v>
      </c>
      <c r="I56" s="83">
        <f t="shared" si="30"/>
        <v>124</v>
      </c>
      <c r="J56" s="83">
        <f t="shared" si="30"/>
        <v>124</v>
      </c>
      <c r="K56" s="83">
        <f t="shared" si="30"/>
        <v>112</v>
      </c>
      <c r="L56" s="83">
        <f t="shared" si="30"/>
        <v>124</v>
      </c>
      <c r="M56" s="83">
        <f t="shared" si="30"/>
        <v>120</v>
      </c>
      <c r="N56" s="83">
        <f>N57+N58+N59+N60</f>
        <v>124</v>
      </c>
      <c r="O56" s="46">
        <f t="shared" si="28"/>
        <v>1452</v>
      </c>
      <c r="P56" s="8">
        <v>1452</v>
      </c>
    </row>
    <row r="57" spans="1:246" x14ac:dyDescent="0.2">
      <c r="A57" s="79" t="s">
        <v>36</v>
      </c>
      <c r="B57" s="28" t="s">
        <v>34</v>
      </c>
      <c r="C57" s="56">
        <v>122</v>
      </c>
      <c r="D57" s="56">
        <v>107</v>
      </c>
      <c r="E57" s="56">
        <v>97</v>
      </c>
      <c r="F57" s="56">
        <v>111</v>
      </c>
      <c r="G57" s="56">
        <v>120</v>
      </c>
      <c r="H57" s="56">
        <v>119</v>
      </c>
      <c r="I57" s="56">
        <v>124</v>
      </c>
      <c r="J57" s="56">
        <v>124</v>
      </c>
      <c r="K57" s="56">
        <v>107</v>
      </c>
      <c r="L57" s="56">
        <v>62</v>
      </c>
      <c r="M57" s="56">
        <v>88</v>
      </c>
      <c r="N57" s="56">
        <v>123</v>
      </c>
      <c r="O57" s="30">
        <f t="shared" si="28"/>
        <v>1304</v>
      </c>
    </row>
    <row r="58" spans="1:246" x14ac:dyDescent="0.2">
      <c r="A58" s="92" t="s">
        <v>49</v>
      </c>
      <c r="B58" s="93" t="s">
        <v>34</v>
      </c>
      <c r="C58" s="39"/>
      <c r="D58" s="29"/>
      <c r="E58" s="39"/>
      <c r="F58" s="39"/>
      <c r="G58" s="39"/>
      <c r="H58" s="39"/>
      <c r="I58" s="39"/>
      <c r="J58" s="39"/>
      <c r="K58" s="39"/>
      <c r="L58" s="39"/>
      <c r="M58" s="56"/>
      <c r="N58" s="56"/>
      <c r="O58" s="94">
        <f t="shared" si="28"/>
        <v>0</v>
      </c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</row>
    <row r="59" spans="1:246" x14ac:dyDescent="0.2">
      <c r="A59" s="92" t="s">
        <v>38</v>
      </c>
      <c r="B59" s="93" t="s">
        <v>34</v>
      </c>
      <c r="C59" s="39">
        <v>1</v>
      </c>
      <c r="D59" s="29"/>
      <c r="E59" s="39"/>
      <c r="F59" s="39"/>
      <c r="G59" s="39"/>
      <c r="H59" s="39"/>
      <c r="I59" s="39"/>
      <c r="J59" s="39"/>
      <c r="K59" s="39">
        <v>5</v>
      </c>
      <c r="L59" s="39">
        <v>62</v>
      </c>
      <c r="M59" s="56">
        <v>32</v>
      </c>
      <c r="N59" s="56">
        <v>1</v>
      </c>
      <c r="O59" s="94">
        <f t="shared" si="28"/>
        <v>101</v>
      </c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</row>
    <row r="60" spans="1:246" x14ac:dyDescent="0.2">
      <c r="A60" s="79" t="s">
        <v>60</v>
      </c>
      <c r="B60" s="39" t="s">
        <v>34</v>
      </c>
      <c r="C60" s="39">
        <v>1</v>
      </c>
      <c r="D60" s="29">
        <v>5</v>
      </c>
      <c r="E60" s="39">
        <v>27</v>
      </c>
      <c r="F60" s="39">
        <v>9</v>
      </c>
      <c r="G60" s="39">
        <v>4</v>
      </c>
      <c r="H60" s="39">
        <v>1</v>
      </c>
      <c r="I60" s="39"/>
      <c r="J60" s="39"/>
      <c r="K60" s="39"/>
      <c r="L60" s="39"/>
      <c r="M60" s="56"/>
      <c r="N60" s="56"/>
      <c r="O60" s="30">
        <f t="shared" si="28"/>
        <v>47</v>
      </c>
    </row>
    <row r="61" spans="1:246" x14ac:dyDescent="0.2">
      <c r="A61" s="86" t="s">
        <v>63</v>
      </c>
      <c r="B61" s="87"/>
      <c r="C61" s="236">
        <f>C56/C8</f>
        <v>4</v>
      </c>
      <c r="D61" s="236">
        <f t="shared" ref="D61:N61" si="31">D56/D8</f>
        <v>4</v>
      </c>
      <c r="E61" s="236">
        <f t="shared" si="31"/>
        <v>4</v>
      </c>
      <c r="F61" s="236">
        <f t="shared" si="31"/>
        <v>4</v>
      </c>
      <c r="G61" s="236">
        <f t="shared" si="31"/>
        <v>4</v>
      </c>
      <c r="H61" s="236">
        <f t="shared" si="31"/>
        <v>4</v>
      </c>
      <c r="I61" s="236">
        <f t="shared" si="31"/>
        <v>4</v>
      </c>
      <c r="J61" s="236">
        <f t="shared" si="31"/>
        <v>4</v>
      </c>
      <c r="K61" s="236">
        <f>K56/K8</f>
        <v>3.7333333333333334</v>
      </c>
      <c r="L61" s="236">
        <f t="shared" si="31"/>
        <v>4</v>
      </c>
      <c r="M61" s="236">
        <f t="shared" si="31"/>
        <v>4</v>
      </c>
      <c r="N61" s="236">
        <f t="shared" si="31"/>
        <v>4</v>
      </c>
      <c r="O61" s="49"/>
    </row>
    <row r="62" spans="1:246" x14ac:dyDescent="0.2">
      <c r="A62" s="78" t="s">
        <v>64</v>
      </c>
      <c r="B62" s="75" t="s">
        <v>34</v>
      </c>
      <c r="C62" s="90">
        <f t="shared" ref="C62:N62" si="32">C63+C70</f>
        <v>0</v>
      </c>
      <c r="D62" s="90">
        <f t="shared" si="32"/>
        <v>0</v>
      </c>
      <c r="E62" s="90">
        <f t="shared" si="32"/>
        <v>0</v>
      </c>
      <c r="F62" s="90">
        <f t="shared" si="32"/>
        <v>5</v>
      </c>
      <c r="G62" s="90">
        <f t="shared" si="32"/>
        <v>0</v>
      </c>
      <c r="H62" s="90">
        <f t="shared" si="32"/>
        <v>0</v>
      </c>
      <c r="I62" s="90">
        <f t="shared" si="32"/>
        <v>0</v>
      </c>
      <c r="J62" s="90">
        <f t="shared" si="32"/>
        <v>0</v>
      </c>
      <c r="K62" s="90">
        <f t="shared" si="32"/>
        <v>0</v>
      </c>
      <c r="L62" s="90">
        <f t="shared" si="32"/>
        <v>0</v>
      </c>
      <c r="M62" s="90">
        <f t="shared" si="32"/>
        <v>0</v>
      </c>
      <c r="N62" s="90">
        <f t="shared" si="32"/>
        <v>0</v>
      </c>
      <c r="O62" s="96">
        <f t="shared" ref="O62:O74" si="33">C62+D62+E62+F62+G62+H62+I62+J62+K62+L62+M62+N62</f>
        <v>5</v>
      </c>
    </row>
    <row r="63" spans="1:246" x14ac:dyDescent="0.2">
      <c r="A63" s="79" t="s">
        <v>2</v>
      </c>
      <c r="B63" s="28" t="s">
        <v>34</v>
      </c>
      <c r="C63" s="83">
        <f>C64+C65+C66+C67+C68+C69</f>
        <v>0</v>
      </c>
      <c r="D63" s="83">
        <f t="shared" ref="D63:N63" si="34">D64+D65+D66+D67+D68+D69</f>
        <v>0</v>
      </c>
      <c r="E63" s="83">
        <f t="shared" si="34"/>
        <v>0</v>
      </c>
      <c r="F63" s="83">
        <f t="shared" si="34"/>
        <v>5</v>
      </c>
      <c r="G63" s="83">
        <f t="shared" si="34"/>
        <v>0</v>
      </c>
      <c r="H63" s="83">
        <f t="shared" si="34"/>
        <v>0</v>
      </c>
      <c r="I63" s="83">
        <f t="shared" si="34"/>
        <v>0</v>
      </c>
      <c r="J63" s="83">
        <f t="shared" si="34"/>
        <v>0</v>
      </c>
      <c r="K63" s="83">
        <f t="shared" si="34"/>
        <v>0</v>
      </c>
      <c r="L63" s="83">
        <f t="shared" si="34"/>
        <v>0</v>
      </c>
      <c r="M63" s="83">
        <f t="shared" si="34"/>
        <v>0</v>
      </c>
      <c r="N63" s="83">
        <f t="shared" si="34"/>
        <v>0</v>
      </c>
      <c r="O63" s="46">
        <f t="shared" si="33"/>
        <v>5</v>
      </c>
    </row>
    <row r="64" spans="1:246" x14ac:dyDescent="0.2">
      <c r="A64" s="79" t="s">
        <v>65</v>
      </c>
      <c r="B64" s="28" t="s">
        <v>34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30">
        <f t="shared" si="33"/>
        <v>0</v>
      </c>
    </row>
    <row r="65" spans="1:18" x14ac:dyDescent="0.2">
      <c r="A65" s="79" t="s">
        <v>49</v>
      </c>
      <c r="B65" s="28" t="s">
        <v>34</v>
      </c>
      <c r="C65" s="85"/>
      <c r="D65" s="97"/>
      <c r="E65" s="56"/>
      <c r="F65" s="56"/>
      <c r="G65" s="56"/>
      <c r="H65" s="56"/>
      <c r="I65" s="56"/>
      <c r="J65" s="56"/>
      <c r="K65" s="91"/>
      <c r="L65" s="91"/>
      <c r="M65" s="56"/>
      <c r="N65" s="91"/>
      <c r="O65" s="30">
        <f t="shared" si="33"/>
        <v>0</v>
      </c>
      <c r="R65" s="8">
        <f>R68*O10</f>
        <v>14878.100600665486</v>
      </c>
    </row>
    <row r="66" spans="1:18" x14ac:dyDescent="0.2">
      <c r="A66" s="79" t="s">
        <v>38</v>
      </c>
      <c r="B66" s="28" t="s">
        <v>34</v>
      </c>
      <c r="C66" s="85"/>
      <c r="D66" s="97"/>
      <c r="E66" s="56"/>
      <c r="F66" s="56"/>
      <c r="G66" s="56"/>
      <c r="H66" s="56"/>
      <c r="I66" s="56"/>
      <c r="J66" s="56"/>
      <c r="K66" s="91"/>
      <c r="L66" s="91"/>
      <c r="M66" s="56"/>
      <c r="N66" s="91"/>
      <c r="O66" s="30">
        <f t="shared" si="33"/>
        <v>0</v>
      </c>
    </row>
    <row r="67" spans="1:18" x14ac:dyDescent="0.2">
      <c r="A67" s="79" t="s">
        <v>57</v>
      </c>
      <c r="B67" s="28" t="s">
        <v>34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30">
        <f t="shared" si="33"/>
        <v>0</v>
      </c>
    </row>
    <row r="68" spans="1:18" x14ac:dyDescent="0.2">
      <c r="A68" s="79" t="s">
        <v>58</v>
      </c>
      <c r="B68" s="28" t="s">
        <v>34</v>
      </c>
      <c r="C68" s="85"/>
      <c r="D68" s="97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30">
        <f t="shared" si="33"/>
        <v>0</v>
      </c>
      <c r="R68" s="8">
        <f>O96/(O10+O20)</f>
        <v>1.3019748498336285</v>
      </c>
    </row>
    <row r="69" spans="1:18" x14ac:dyDescent="0.2">
      <c r="A69" s="168" t="s">
        <v>121</v>
      </c>
      <c r="B69" s="169" t="s">
        <v>34</v>
      </c>
      <c r="C69" s="170"/>
      <c r="D69" s="171"/>
      <c r="E69" s="170"/>
      <c r="F69" s="170">
        <v>5</v>
      </c>
      <c r="G69" s="170"/>
      <c r="H69" s="170"/>
      <c r="I69" s="170"/>
      <c r="J69" s="170"/>
      <c r="K69" s="170"/>
      <c r="L69" s="170"/>
      <c r="M69" s="170"/>
      <c r="N69" s="170"/>
      <c r="O69" s="172">
        <f t="shared" si="33"/>
        <v>5</v>
      </c>
    </row>
    <row r="70" spans="1:18" x14ac:dyDescent="0.2">
      <c r="A70" s="78" t="s">
        <v>143</v>
      </c>
      <c r="B70" s="44" t="s">
        <v>34</v>
      </c>
      <c r="C70" s="45">
        <f t="shared" ref="C70:M70" si="35">C71+C72+C73+C74</f>
        <v>0</v>
      </c>
      <c r="D70" s="45">
        <f t="shared" si="35"/>
        <v>0</v>
      </c>
      <c r="E70" s="45">
        <f t="shared" si="35"/>
        <v>0</v>
      </c>
      <c r="F70" s="45">
        <f t="shared" si="35"/>
        <v>0</v>
      </c>
      <c r="G70" s="45">
        <f t="shared" si="35"/>
        <v>0</v>
      </c>
      <c r="H70" s="45">
        <f t="shared" si="35"/>
        <v>0</v>
      </c>
      <c r="I70" s="45">
        <f t="shared" si="35"/>
        <v>0</v>
      </c>
      <c r="J70" s="45">
        <f t="shared" si="35"/>
        <v>0</v>
      </c>
      <c r="K70" s="45">
        <f t="shared" si="35"/>
        <v>0</v>
      </c>
      <c r="L70" s="45">
        <f t="shared" si="35"/>
        <v>0</v>
      </c>
      <c r="M70" s="45">
        <f t="shared" si="35"/>
        <v>0</v>
      </c>
      <c r="N70" s="45">
        <f>N71+N72+N73+N74</f>
        <v>0</v>
      </c>
      <c r="O70" s="46">
        <f t="shared" si="33"/>
        <v>0</v>
      </c>
    </row>
    <row r="71" spans="1:18" x14ac:dyDescent="0.2">
      <c r="A71" s="79" t="s">
        <v>36</v>
      </c>
      <c r="B71" s="28" t="s">
        <v>34</v>
      </c>
      <c r="C71" s="85"/>
      <c r="D71" s="85"/>
      <c r="E71" s="85"/>
      <c r="F71" s="85"/>
      <c r="G71" s="85"/>
      <c r="H71" s="85"/>
      <c r="I71" s="85"/>
      <c r="J71" s="85"/>
      <c r="K71" s="91"/>
      <c r="L71" s="91"/>
      <c r="M71" s="85"/>
      <c r="N71" s="91"/>
      <c r="O71" s="30">
        <f t="shared" si="33"/>
        <v>0</v>
      </c>
      <c r="R71" s="8">
        <f>(O96/O9)*O10</f>
        <v>14642.869336849157</v>
      </c>
    </row>
    <row r="72" spans="1:18" x14ac:dyDescent="0.2">
      <c r="A72" s="79" t="s">
        <v>49</v>
      </c>
      <c r="B72" s="28" t="s">
        <v>34</v>
      </c>
      <c r="C72" s="85"/>
      <c r="D72" s="97"/>
      <c r="E72" s="56"/>
      <c r="F72" s="56"/>
      <c r="G72" s="56"/>
      <c r="H72" s="56"/>
      <c r="I72" s="56"/>
      <c r="J72" s="56"/>
      <c r="K72" s="91"/>
      <c r="L72" s="91"/>
      <c r="M72" s="56"/>
      <c r="N72" s="91"/>
      <c r="O72" s="30">
        <f t="shared" si="33"/>
        <v>0</v>
      </c>
    </row>
    <row r="73" spans="1:18" x14ac:dyDescent="0.2">
      <c r="A73" s="79" t="s">
        <v>38</v>
      </c>
      <c r="B73" s="28" t="s">
        <v>34</v>
      </c>
      <c r="C73" s="85"/>
      <c r="D73" s="97"/>
      <c r="E73" s="56"/>
      <c r="F73" s="56"/>
      <c r="G73" s="56"/>
      <c r="H73" s="56"/>
      <c r="I73" s="56"/>
      <c r="J73" s="56"/>
      <c r="K73" s="91"/>
      <c r="L73" s="91"/>
      <c r="M73" s="56"/>
      <c r="N73" s="91"/>
      <c r="O73" s="30">
        <f t="shared" si="33"/>
        <v>0</v>
      </c>
    </row>
    <row r="74" spans="1:18" x14ac:dyDescent="0.2">
      <c r="A74" s="79" t="s">
        <v>57</v>
      </c>
      <c r="B74" s="28" t="s">
        <v>34</v>
      </c>
      <c r="C74" s="85"/>
      <c r="D74" s="97"/>
      <c r="E74" s="56"/>
      <c r="F74" s="85"/>
      <c r="G74" s="56"/>
      <c r="H74" s="56"/>
      <c r="I74" s="56"/>
      <c r="J74" s="56"/>
      <c r="K74" s="56"/>
      <c r="L74" s="56"/>
      <c r="M74" s="56"/>
      <c r="N74" s="56"/>
      <c r="O74" s="30">
        <f t="shared" si="33"/>
        <v>0</v>
      </c>
    </row>
    <row r="75" spans="1:18" x14ac:dyDescent="0.2">
      <c r="A75" s="98" t="s">
        <v>66</v>
      </c>
      <c r="B75" s="51" t="s">
        <v>34</v>
      </c>
      <c r="C75" s="88">
        <f>C76/31</f>
        <v>6.032258064516129</v>
      </c>
      <c r="D75" s="88">
        <f>D76/28</f>
        <v>6</v>
      </c>
      <c r="E75" s="88">
        <f>E76/31</f>
        <v>6.032258064516129</v>
      </c>
      <c r="F75" s="88">
        <f>F76/30</f>
        <v>6</v>
      </c>
      <c r="G75" s="88">
        <f>G76/31</f>
        <v>6.032258064516129</v>
      </c>
      <c r="H75" s="88">
        <f>H76/30</f>
        <v>6</v>
      </c>
      <c r="I75" s="88">
        <f>I76/31</f>
        <v>6</v>
      </c>
      <c r="J75" s="88">
        <f>J76/31</f>
        <v>6</v>
      </c>
      <c r="K75" s="88">
        <f>K76/30</f>
        <v>6</v>
      </c>
      <c r="L75" s="88">
        <f>L76/31</f>
        <v>6</v>
      </c>
      <c r="M75" s="88">
        <f>M76/30</f>
        <v>6</v>
      </c>
      <c r="N75" s="88">
        <f>N76/31</f>
        <v>6</v>
      </c>
      <c r="O75" s="99"/>
    </row>
    <row r="76" spans="1:18" x14ac:dyDescent="0.2">
      <c r="A76" s="78" t="s">
        <v>64</v>
      </c>
      <c r="B76" s="93" t="s">
        <v>34</v>
      </c>
      <c r="C76" s="100">
        <f>C77+C82</f>
        <v>187</v>
      </c>
      <c r="D76" s="100">
        <f t="shared" ref="D76:N76" si="36">D77+D82</f>
        <v>168</v>
      </c>
      <c r="E76" s="100">
        <f t="shared" si="36"/>
        <v>187</v>
      </c>
      <c r="F76" s="100">
        <f t="shared" si="36"/>
        <v>180</v>
      </c>
      <c r="G76" s="100">
        <f t="shared" si="36"/>
        <v>187</v>
      </c>
      <c r="H76" s="100">
        <f t="shared" si="36"/>
        <v>180</v>
      </c>
      <c r="I76" s="100">
        <f t="shared" si="36"/>
        <v>186</v>
      </c>
      <c r="J76" s="100">
        <f t="shared" si="36"/>
        <v>186</v>
      </c>
      <c r="K76" s="100">
        <f t="shared" si="36"/>
        <v>180</v>
      </c>
      <c r="L76" s="100">
        <f t="shared" si="36"/>
        <v>186</v>
      </c>
      <c r="M76" s="100">
        <f t="shared" si="36"/>
        <v>180</v>
      </c>
      <c r="N76" s="100">
        <f t="shared" si="36"/>
        <v>186</v>
      </c>
      <c r="O76" s="96">
        <f t="shared" ref="O76:O105" si="37">C76+D76+E76+F76+G76+H76+I76+J76+K76+L76+M76+N76</f>
        <v>2193</v>
      </c>
      <c r="P76" s="8">
        <f>1944+209+40</f>
        <v>2193</v>
      </c>
      <c r="Q76" s="258">
        <f>O76-P76</f>
        <v>0</v>
      </c>
    </row>
    <row r="77" spans="1:18" x14ac:dyDescent="0.2">
      <c r="A77" s="101" t="s">
        <v>2</v>
      </c>
      <c r="B77" s="28" t="s">
        <v>34</v>
      </c>
      <c r="C77" s="102">
        <f>C78+C79+C80+C81</f>
        <v>153</v>
      </c>
      <c r="D77" s="102">
        <f>D78+D79+D80+D81</f>
        <v>136</v>
      </c>
      <c r="E77" s="102">
        <f>E78+E79+E80+E81</f>
        <v>153</v>
      </c>
      <c r="F77" s="102">
        <f>F78+F79+F80+F81</f>
        <v>146</v>
      </c>
      <c r="G77" s="102">
        <f t="shared" ref="G77:N77" si="38">G78+G79+G80+G81</f>
        <v>153</v>
      </c>
      <c r="H77" s="102">
        <f t="shared" si="38"/>
        <v>146</v>
      </c>
      <c r="I77" s="102">
        <f t="shared" si="38"/>
        <v>152</v>
      </c>
      <c r="J77" s="102">
        <f t="shared" si="38"/>
        <v>152</v>
      </c>
      <c r="K77" s="102">
        <f t="shared" si="38"/>
        <v>146</v>
      </c>
      <c r="L77" s="102">
        <f t="shared" si="38"/>
        <v>152</v>
      </c>
      <c r="M77" s="102">
        <f t="shared" si="38"/>
        <v>147</v>
      </c>
      <c r="N77" s="102">
        <f t="shared" si="38"/>
        <v>152</v>
      </c>
      <c r="O77" s="30">
        <f t="shared" si="37"/>
        <v>1788</v>
      </c>
      <c r="P77" s="8">
        <f>1579+209</f>
        <v>1788</v>
      </c>
      <c r="Q77" s="258">
        <f t="shared" ref="Q77:Q82" si="39">O77-P77</f>
        <v>0</v>
      </c>
    </row>
    <row r="78" spans="1:18" x14ac:dyDescent="0.2">
      <c r="A78" s="79" t="s">
        <v>36</v>
      </c>
      <c r="B78" s="28" t="s">
        <v>34</v>
      </c>
      <c r="C78" s="85">
        <f>104+19</f>
        <v>123</v>
      </c>
      <c r="D78" s="85">
        <f>109+15</f>
        <v>124</v>
      </c>
      <c r="E78" s="85">
        <f>123+19</f>
        <v>142</v>
      </c>
      <c r="F78" s="85">
        <f>124+16</f>
        <v>140</v>
      </c>
      <c r="G78" s="85">
        <f>122+19</f>
        <v>141</v>
      </c>
      <c r="H78" s="85">
        <f>120+16</f>
        <v>136</v>
      </c>
      <c r="I78" s="85">
        <f>126+18</f>
        <v>144</v>
      </c>
      <c r="J78" s="85">
        <f>112+18</f>
        <v>130</v>
      </c>
      <c r="K78" s="85">
        <f>115+16</f>
        <v>131</v>
      </c>
      <c r="L78" s="85">
        <f>112+18</f>
        <v>130</v>
      </c>
      <c r="M78" s="85">
        <f>112+17</f>
        <v>129</v>
      </c>
      <c r="N78" s="85">
        <f>110+18</f>
        <v>128</v>
      </c>
      <c r="O78" s="30">
        <f t="shared" si="37"/>
        <v>1598</v>
      </c>
      <c r="Q78" s="258"/>
    </row>
    <row r="79" spans="1:18" x14ac:dyDescent="0.2">
      <c r="A79" s="79" t="s">
        <v>49</v>
      </c>
      <c r="B79" s="28" t="s">
        <v>34</v>
      </c>
      <c r="C79" s="85">
        <v>25</v>
      </c>
      <c r="D79" s="31"/>
      <c r="E79" s="56"/>
      <c r="F79" s="91"/>
      <c r="G79" s="56"/>
      <c r="H79" s="56"/>
      <c r="I79" s="56"/>
      <c r="J79" s="56"/>
      <c r="K79" s="56"/>
      <c r="L79" s="56"/>
      <c r="M79" s="56"/>
      <c r="N79" s="56">
        <v>10</v>
      </c>
      <c r="O79" s="30">
        <f t="shared" si="37"/>
        <v>35</v>
      </c>
      <c r="Q79" s="258"/>
    </row>
    <row r="80" spans="1:18" x14ac:dyDescent="0.2">
      <c r="A80" s="79" t="s">
        <v>38</v>
      </c>
      <c r="B80" s="39" t="s">
        <v>34</v>
      </c>
      <c r="C80" s="85"/>
      <c r="D80" s="97"/>
      <c r="E80" s="85"/>
      <c r="F80" s="85"/>
      <c r="G80" s="85"/>
      <c r="H80" s="85"/>
      <c r="I80" s="85"/>
      <c r="J80" s="85"/>
      <c r="K80" s="56"/>
      <c r="L80" s="56"/>
      <c r="M80" s="56"/>
      <c r="N80" s="56"/>
      <c r="O80" s="30">
        <f t="shared" si="37"/>
        <v>0</v>
      </c>
      <c r="Q80" s="258"/>
    </row>
    <row r="81" spans="1:17" x14ac:dyDescent="0.2">
      <c r="A81" s="79" t="s">
        <v>57</v>
      </c>
      <c r="B81" s="28" t="s">
        <v>34</v>
      </c>
      <c r="C81" s="85">
        <v>5</v>
      </c>
      <c r="D81" s="31">
        <v>12</v>
      </c>
      <c r="E81" s="56">
        <v>11</v>
      </c>
      <c r="F81" s="56">
        <v>6</v>
      </c>
      <c r="G81" s="56">
        <v>12</v>
      </c>
      <c r="H81" s="56">
        <v>10</v>
      </c>
      <c r="I81" s="56">
        <v>8</v>
      </c>
      <c r="J81" s="56">
        <v>22</v>
      </c>
      <c r="K81" s="56">
        <v>15</v>
      </c>
      <c r="L81" s="56">
        <v>22</v>
      </c>
      <c r="M81" s="56">
        <v>18</v>
      </c>
      <c r="N81" s="56">
        <v>14</v>
      </c>
      <c r="O81" s="30">
        <f t="shared" si="37"/>
        <v>155</v>
      </c>
      <c r="Q81" s="258"/>
    </row>
    <row r="82" spans="1:17" x14ac:dyDescent="0.2">
      <c r="A82" s="103" t="s">
        <v>67</v>
      </c>
      <c r="B82" s="28" t="s">
        <v>34</v>
      </c>
      <c r="C82" s="85">
        <v>34</v>
      </c>
      <c r="D82" s="97">
        <v>32</v>
      </c>
      <c r="E82" s="85">
        <v>34</v>
      </c>
      <c r="F82" s="85">
        <v>34</v>
      </c>
      <c r="G82" s="85">
        <v>34</v>
      </c>
      <c r="H82" s="85">
        <v>34</v>
      </c>
      <c r="I82" s="85">
        <v>34</v>
      </c>
      <c r="J82" s="85">
        <v>34</v>
      </c>
      <c r="K82" s="56">
        <v>34</v>
      </c>
      <c r="L82" s="56">
        <v>34</v>
      </c>
      <c r="M82" s="56">
        <v>33</v>
      </c>
      <c r="N82" s="56">
        <v>34</v>
      </c>
      <c r="O82" s="30">
        <f t="shared" si="37"/>
        <v>405</v>
      </c>
      <c r="P82" s="8">
        <f>365+40</f>
        <v>405</v>
      </c>
      <c r="Q82" s="258">
        <f t="shared" si="39"/>
        <v>0</v>
      </c>
    </row>
    <row r="83" spans="1:17" x14ac:dyDescent="0.2">
      <c r="A83" s="104" t="s">
        <v>68</v>
      </c>
      <c r="B83" s="51" t="s">
        <v>34</v>
      </c>
      <c r="C83" s="105">
        <f t="shared" ref="C83:L83" si="40">SUM(C84:C90)</f>
        <v>1913.68</v>
      </c>
      <c r="D83" s="105">
        <f t="shared" si="40"/>
        <v>1751.68</v>
      </c>
      <c r="E83" s="105">
        <f t="shared" si="40"/>
        <v>1670.68</v>
      </c>
      <c r="F83" s="105">
        <f t="shared" si="40"/>
        <v>1690.68</v>
      </c>
      <c r="G83" s="105">
        <f t="shared" si="40"/>
        <v>1670.68</v>
      </c>
      <c r="H83" s="105">
        <f t="shared" si="40"/>
        <v>1693.68</v>
      </c>
      <c r="I83" s="105">
        <f t="shared" si="40"/>
        <v>1670.2</v>
      </c>
      <c r="J83" s="105">
        <f t="shared" si="40"/>
        <v>1678.08</v>
      </c>
      <c r="K83" s="105">
        <f t="shared" si="40"/>
        <v>1711.16</v>
      </c>
      <c r="L83" s="105">
        <f t="shared" si="40"/>
        <v>1665.76</v>
      </c>
      <c r="M83" s="105">
        <f>SUM(M84:M90)</f>
        <v>1718.92</v>
      </c>
      <c r="N83" s="105">
        <f>SUM(N84:N90)</f>
        <v>1662.36</v>
      </c>
      <c r="O83" s="106">
        <f t="shared" si="37"/>
        <v>20497.559999999998</v>
      </c>
    </row>
    <row r="84" spans="1:17" x14ac:dyDescent="0.2">
      <c r="A84" s="79" t="s">
        <v>69</v>
      </c>
      <c r="B84" s="39" t="s">
        <v>34</v>
      </c>
      <c r="C84" s="254">
        <v>1591</v>
      </c>
      <c r="D84" s="254">
        <v>1591</v>
      </c>
      <c r="E84" s="254">
        <v>1591</v>
      </c>
      <c r="F84" s="254">
        <v>1591</v>
      </c>
      <c r="G84" s="254">
        <v>1591</v>
      </c>
      <c r="H84" s="254">
        <v>1591</v>
      </c>
      <c r="I84" s="254">
        <v>1591</v>
      </c>
      <c r="J84" s="254">
        <v>1591</v>
      </c>
      <c r="K84" s="254">
        <v>1592</v>
      </c>
      <c r="L84" s="254">
        <v>1592</v>
      </c>
      <c r="M84" s="254">
        <v>1592</v>
      </c>
      <c r="N84" s="254">
        <v>1592</v>
      </c>
      <c r="O84" s="252">
        <f t="shared" si="37"/>
        <v>19096</v>
      </c>
    </row>
    <row r="85" spans="1:17" x14ac:dyDescent="0.2">
      <c r="A85" s="79" t="s">
        <v>146</v>
      </c>
      <c r="B85" s="39" t="s">
        <v>34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30">
        <f t="shared" si="37"/>
        <v>0</v>
      </c>
    </row>
    <row r="86" spans="1:17" x14ac:dyDescent="0.2">
      <c r="A86" s="79" t="s">
        <v>147</v>
      </c>
      <c r="B86" s="39" t="s">
        <v>34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30">
        <f t="shared" si="37"/>
        <v>0</v>
      </c>
    </row>
    <row r="87" spans="1:17" x14ac:dyDescent="0.2">
      <c r="A87" s="79" t="s">
        <v>70</v>
      </c>
      <c r="B87" s="39" t="s">
        <v>34</v>
      </c>
      <c r="C87" s="255">
        <v>322.68</v>
      </c>
      <c r="D87" s="255">
        <v>160.68</v>
      </c>
      <c r="E87" s="255">
        <v>79.680000000000007</v>
      </c>
      <c r="F87" s="255">
        <v>99.68</v>
      </c>
      <c r="G87" s="255">
        <v>79.680000000000007</v>
      </c>
      <c r="H87" s="255">
        <v>102.68</v>
      </c>
      <c r="I87" s="255">
        <v>79.2</v>
      </c>
      <c r="J87" s="255">
        <v>87.08</v>
      </c>
      <c r="K87" s="255">
        <v>119.16</v>
      </c>
      <c r="L87" s="255">
        <v>73.760000000000005</v>
      </c>
      <c r="M87" s="255">
        <v>126.92</v>
      </c>
      <c r="N87" s="255">
        <v>70.36</v>
      </c>
      <c r="O87" s="256">
        <f t="shared" si="37"/>
        <v>1401.5600000000002</v>
      </c>
    </row>
    <row r="88" spans="1:17" x14ac:dyDescent="0.2">
      <c r="A88" s="79" t="s">
        <v>71</v>
      </c>
      <c r="B88" s="39" t="s">
        <v>34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0">
        <f t="shared" si="37"/>
        <v>0</v>
      </c>
    </row>
    <row r="89" spans="1:17" x14ac:dyDescent="0.2">
      <c r="A89" s="79" t="s">
        <v>72</v>
      </c>
      <c r="B89" s="39" t="s">
        <v>34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0">
        <f>C89+D89+E89+F89+G89+H89+I89+J89+K89+L89+M89+N89</f>
        <v>0</v>
      </c>
    </row>
    <row r="90" spans="1:17" x14ac:dyDescent="0.2">
      <c r="A90" s="79" t="s">
        <v>73</v>
      </c>
      <c r="B90" s="39" t="s">
        <v>34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0">
        <f t="shared" si="37"/>
        <v>0</v>
      </c>
    </row>
    <row r="91" spans="1:17" x14ac:dyDescent="0.2">
      <c r="A91" s="107" t="s">
        <v>122</v>
      </c>
      <c r="B91" s="108" t="s">
        <v>34</v>
      </c>
      <c r="C91" s="254">
        <v>0</v>
      </c>
      <c r="D91" s="254">
        <v>81</v>
      </c>
      <c r="E91" s="254">
        <v>0</v>
      </c>
      <c r="F91" s="254">
        <v>20</v>
      </c>
      <c r="G91" s="254">
        <v>0</v>
      </c>
      <c r="H91" s="254">
        <v>23</v>
      </c>
      <c r="I91" s="254">
        <v>3</v>
      </c>
      <c r="J91" s="254">
        <v>16</v>
      </c>
      <c r="K91" s="254">
        <v>55</v>
      </c>
      <c r="L91" s="254">
        <v>15</v>
      </c>
      <c r="M91" s="254">
        <v>81</v>
      </c>
      <c r="N91" s="254">
        <v>360</v>
      </c>
      <c r="O91" s="252">
        <f t="shared" si="37"/>
        <v>654</v>
      </c>
    </row>
    <row r="92" spans="1:17" x14ac:dyDescent="0.2">
      <c r="A92" s="107" t="s">
        <v>74</v>
      </c>
      <c r="B92" s="108" t="s">
        <v>34</v>
      </c>
      <c r="C92" s="254">
        <v>443.42857142857144</v>
      </c>
      <c r="D92" s="254">
        <v>443.42857142857144</v>
      </c>
      <c r="E92" s="254">
        <v>443.42857142857144</v>
      </c>
      <c r="F92" s="254">
        <v>443.42857142857144</v>
      </c>
      <c r="G92" s="254">
        <v>443.42857142857144</v>
      </c>
      <c r="H92" s="254">
        <v>443.42857142857144</v>
      </c>
      <c r="I92" s="254">
        <v>443.42857142857144</v>
      </c>
      <c r="J92" s="254">
        <v>443.42857142857144</v>
      </c>
      <c r="K92" s="254">
        <v>443.42857142857144</v>
      </c>
      <c r="L92" s="254">
        <v>443.42857142857144</v>
      </c>
      <c r="M92" s="254">
        <v>443.42857142857144</v>
      </c>
      <c r="N92" s="254">
        <v>443.42857142857144</v>
      </c>
      <c r="O92" s="252">
        <f t="shared" si="37"/>
        <v>5321.1428571428578</v>
      </c>
    </row>
    <row r="93" spans="1:17" x14ac:dyDescent="0.2">
      <c r="A93" s="107" t="s">
        <v>123</v>
      </c>
      <c r="B93" s="108" t="s">
        <v>34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8">
        <f t="shared" si="37"/>
        <v>0</v>
      </c>
    </row>
    <row r="94" spans="1:17" x14ac:dyDescent="0.2">
      <c r="A94" s="107" t="s">
        <v>75</v>
      </c>
      <c r="B94" s="108" t="s">
        <v>34</v>
      </c>
      <c r="C94" s="108">
        <v>100</v>
      </c>
      <c r="D94" s="108">
        <v>100</v>
      </c>
      <c r="E94" s="108">
        <v>100</v>
      </c>
      <c r="F94" s="108">
        <v>100</v>
      </c>
      <c r="G94" s="108">
        <v>100</v>
      </c>
      <c r="H94" s="108">
        <v>100</v>
      </c>
      <c r="I94" s="108">
        <v>100</v>
      </c>
      <c r="J94" s="108">
        <v>100</v>
      </c>
      <c r="K94" s="108">
        <v>100</v>
      </c>
      <c r="L94" s="108">
        <v>100</v>
      </c>
      <c r="M94" s="108">
        <v>100</v>
      </c>
      <c r="N94" s="108">
        <v>100</v>
      </c>
      <c r="O94" s="58">
        <f t="shared" si="37"/>
        <v>1200</v>
      </c>
      <c r="Q94" s="259" t="s">
        <v>162</v>
      </c>
    </row>
    <row r="95" spans="1:17" x14ac:dyDescent="0.2">
      <c r="A95" s="107" t="s">
        <v>76</v>
      </c>
      <c r="B95" s="108" t="s">
        <v>34</v>
      </c>
      <c r="C95" s="57">
        <v>116</v>
      </c>
      <c r="D95" s="57">
        <v>116</v>
      </c>
      <c r="E95" s="57">
        <v>116</v>
      </c>
      <c r="F95" s="57">
        <v>116</v>
      </c>
      <c r="G95" s="57">
        <v>116</v>
      </c>
      <c r="H95" s="57">
        <v>116</v>
      </c>
      <c r="I95" s="57">
        <v>116</v>
      </c>
      <c r="J95" s="57">
        <v>116</v>
      </c>
      <c r="K95" s="57">
        <v>116</v>
      </c>
      <c r="L95" s="57">
        <v>116</v>
      </c>
      <c r="M95" s="57">
        <v>116</v>
      </c>
      <c r="N95" s="57">
        <v>116</v>
      </c>
      <c r="O95" s="58">
        <f>C95+D95+E95+F95+G95+H95+I95+J95+K95+L95+M95+N95</f>
        <v>1392</v>
      </c>
    </row>
    <row r="96" spans="1:17" ht="15" customHeight="1" x14ac:dyDescent="0.2">
      <c r="A96" s="109" t="s">
        <v>77</v>
      </c>
      <c r="B96" s="25" t="s">
        <v>34</v>
      </c>
      <c r="C96" s="110">
        <f t="shared" ref="C96:N96" si="41">SUM(C97:C100)</f>
        <v>1677</v>
      </c>
      <c r="D96" s="110">
        <f t="shared" si="41"/>
        <v>1677</v>
      </c>
      <c r="E96" s="110">
        <f t="shared" si="41"/>
        <v>1677</v>
      </c>
      <c r="F96" s="110">
        <f t="shared" si="41"/>
        <v>1677</v>
      </c>
      <c r="G96" s="110">
        <f t="shared" si="41"/>
        <v>1677</v>
      </c>
      <c r="H96" s="110">
        <f t="shared" si="41"/>
        <v>1676</v>
      </c>
      <c r="I96" s="110">
        <f t="shared" si="41"/>
        <v>1676</v>
      </c>
      <c r="J96" s="110">
        <f t="shared" si="41"/>
        <v>1675</v>
      </c>
      <c r="K96" s="110">
        <f t="shared" si="41"/>
        <v>1673</v>
      </c>
      <c r="L96" s="110">
        <f t="shared" si="41"/>
        <v>1669</v>
      </c>
      <c r="M96" s="110">
        <f t="shared" si="41"/>
        <v>1665</v>
      </c>
      <c r="N96" s="110">
        <f t="shared" si="41"/>
        <v>1667</v>
      </c>
      <c r="O96" s="26">
        <f t="shared" si="37"/>
        <v>20086</v>
      </c>
    </row>
    <row r="97" spans="1:15" x14ac:dyDescent="0.2">
      <c r="A97" s="79" t="s">
        <v>78</v>
      </c>
      <c r="B97" s="39" t="s">
        <v>34</v>
      </c>
      <c r="C97" s="56">
        <v>450</v>
      </c>
      <c r="D97" s="56">
        <f>C97</f>
        <v>450</v>
      </c>
      <c r="E97" s="56">
        <f t="shared" ref="E97:N98" si="42">D97</f>
        <v>450</v>
      </c>
      <c r="F97" s="56">
        <f t="shared" si="42"/>
        <v>450</v>
      </c>
      <c r="G97" s="56">
        <f t="shared" si="42"/>
        <v>450</v>
      </c>
      <c r="H97" s="56">
        <f t="shared" si="42"/>
        <v>450</v>
      </c>
      <c r="I97" s="56">
        <f t="shared" si="42"/>
        <v>450</v>
      </c>
      <c r="J97" s="56">
        <f t="shared" si="42"/>
        <v>450</v>
      </c>
      <c r="K97" s="56">
        <f t="shared" si="42"/>
        <v>450</v>
      </c>
      <c r="L97" s="56">
        <f t="shared" si="42"/>
        <v>450</v>
      </c>
      <c r="M97" s="56">
        <f t="shared" si="42"/>
        <v>450</v>
      </c>
      <c r="N97" s="56">
        <f t="shared" si="42"/>
        <v>450</v>
      </c>
      <c r="O97" s="30">
        <f t="shared" si="37"/>
        <v>5400</v>
      </c>
    </row>
    <row r="98" spans="1:15" x14ac:dyDescent="0.2">
      <c r="A98" s="79" t="s">
        <v>79</v>
      </c>
      <c r="B98" s="39" t="s">
        <v>34</v>
      </c>
      <c r="C98" s="56">
        <v>30</v>
      </c>
      <c r="D98" s="56">
        <f>C98</f>
        <v>30</v>
      </c>
      <c r="E98" s="56">
        <f t="shared" si="42"/>
        <v>30</v>
      </c>
      <c r="F98" s="56">
        <f t="shared" si="42"/>
        <v>30</v>
      </c>
      <c r="G98" s="56">
        <f t="shared" si="42"/>
        <v>30</v>
      </c>
      <c r="H98" s="56">
        <f t="shared" si="42"/>
        <v>30</v>
      </c>
      <c r="I98" s="56">
        <f t="shared" si="42"/>
        <v>30</v>
      </c>
      <c r="J98" s="56">
        <f t="shared" si="42"/>
        <v>30</v>
      </c>
      <c r="K98" s="56">
        <f t="shared" si="42"/>
        <v>30</v>
      </c>
      <c r="L98" s="56">
        <f t="shared" si="42"/>
        <v>30</v>
      </c>
      <c r="M98" s="56">
        <f t="shared" si="42"/>
        <v>30</v>
      </c>
      <c r="N98" s="56">
        <f t="shared" si="42"/>
        <v>30</v>
      </c>
      <c r="O98" s="30">
        <f t="shared" si="37"/>
        <v>360</v>
      </c>
    </row>
    <row r="99" spans="1:15" x14ac:dyDescent="0.2">
      <c r="A99" s="79" t="s">
        <v>80</v>
      </c>
      <c r="B99" s="39" t="s">
        <v>34</v>
      </c>
      <c r="C99" s="56">
        <v>1097</v>
      </c>
      <c r="D99" s="56">
        <v>1097</v>
      </c>
      <c r="E99" s="56">
        <v>1097</v>
      </c>
      <c r="F99" s="56">
        <v>1097</v>
      </c>
      <c r="G99" s="56">
        <v>1097</v>
      </c>
      <c r="H99" s="56">
        <v>1096</v>
      </c>
      <c r="I99" s="56">
        <v>1096</v>
      </c>
      <c r="J99" s="56">
        <v>1095</v>
      </c>
      <c r="K99" s="56">
        <v>1093</v>
      </c>
      <c r="L99" s="56">
        <v>1089</v>
      </c>
      <c r="M99" s="56">
        <v>1085</v>
      </c>
      <c r="N99" s="56">
        <v>1087</v>
      </c>
      <c r="O99" s="30">
        <f>C99+D99+E99+F99+G99+H99+I99+J99+K99+L99+M99+N99</f>
        <v>13126</v>
      </c>
    </row>
    <row r="100" spans="1:15" x14ac:dyDescent="0.2">
      <c r="A100" s="79" t="s">
        <v>81</v>
      </c>
      <c r="B100" s="39" t="s">
        <v>34</v>
      </c>
      <c r="C100" s="56">
        <v>100</v>
      </c>
      <c r="D100" s="56">
        <v>100</v>
      </c>
      <c r="E100" s="56">
        <v>100</v>
      </c>
      <c r="F100" s="56">
        <v>100</v>
      </c>
      <c r="G100" s="56">
        <v>100</v>
      </c>
      <c r="H100" s="56">
        <v>100</v>
      </c>
      <c r="I100" s="56">
        <v>100</v>
      </c>
      <c r="J100" s="56">
        <v>100</v>
      </c>
      <c r="K100" s="56">
        <v>100</v>
      </c>
      <c r="L100" s="56">
        <v>100</v>
      </c>
      <c r="M100" s="56">
        <v>100</v>
      </c>
      <c r="N100" s="56">
        <v>100</v>
      </c>
      <c r="O100" s="30">
        <f>C100+D100+E100+F100+G100+H100+I100+J100+K100+L100+M100+N100</f>
        <v>1200</v>
      </c>
    </row>
    <row r="101" spans="1:15" x14ac:dyDescent="0.2">
      <c r="A101" s="111" t="s">
        <v>82</v>
      </c>
      <c r="B101" s="112" t="s">
        <v>43</v>
      </c>
      <c r="C101" s="112"/>
      <c r="D101" s="112"/>
      <c r="E101" s="112"/>
      <c r="F101" s="112">
        <v>250</v>
      </c>
      <c r="G101" s="112">
        <v>250</v>
      </c>
      <c r="H101" s="112">
        <v>250</v>
      </c>
      <c r="I101" s="112">
        <v>250</v>
      </c>
      <c r="J101" s="112">
        <v>250</v>
      </c>
      <c r="K101" s="112">
        <v>202</v>
      </c>
      <c r="L101" s="112"/>
      <c r="M101" s="112"/>
      <c r="N101" s="112"/>
      <c r="O101" s="113">
        <f t="shared" si="37"/>
        <v>1452</v>
      </c>
    </row>
    <row r="102" spans="1:15" x14ac:dyDescent="0.2">
      <c r="A102" s="24" t="s">
        <v>83</v>
      </c>
      <c r="B102" s="25" t="s">
        <v>43</v>
      </c>
      <c r="C102" s="25">
        <f>SUM(C103:C105)</f>
        <v>105</v>
      </c>
      <c r="D102" s="25">
        <f t="shared" ref="D102:N102" si="43">SUM(D103:D105)</f>
        <v>105</v>
      </c>
      <c r="E102" s="25">
        <f t="shared" si="43"/>
        <v>105</v>
      </c>
      <c r="F102" s="25">
        <f t="shared" si="43"/>
        <v>105</v>
      </c>
      <c r="G102" s="25">
        <f t="shared" si="43"/>
        <v>105</v>
      </c>
      <c r="H102" s="25">
        <f t="shared" si="43"/>
        <v>105</v>
      </c>
      <c r="I102" s="25">
        <f t="shared" si="43"/>
        <v>105</v>
      </c>
      <c r="J102" s="25">
        <f t="shared" si="43"/>
        <v>105</v>
      </c>
      <c r="K102" s="25">
        <f t="shared" si="43"/>
        <v>105</v>
      </c>
      <c r="L102" s="25">
        <f t="shared" si="43"/>
        <v>105</v>
      </c>
      <c r="M102" s="25">
        <f t="shared" si="43"/>
        <v>105</v>
      </c>
      <c r="N102" s="25">
        <f t="shared" si="43"/>
        <v>105</v>
      </c>
      <c r="O102" s="114">
        <f>C102+D102+E102+F102+G102+H102+I102+J102+K102+L102+M102+N102</f>
        <v>1260</v>
      </c>
    </row>
    <row r="103" spans="1:15" x14ac:dyDescent="0.2">
      <c r="A103" s="115" t="s">
        <v>84</v>
      </c>
      <c r="B103" s="116" t="s">
        <v>43</v>
      </c>
      <c r="C103" s="116">
        <v>56</v>
      </c>
      <c r="D103" s="116">
        <f>C103</f>
        <v>56</v>
      </c>
      <c r="E103" s="116">
        <f t="shared" ref="E103:N105" si="44">D103</f>
        <v>56</v>
      </c>
      <c r="F103" s="116">
        <f t="shared" si="44"/>
        <v>56</v>
      </c>
      <c r="G103" s="116">
        <f t="shared" si="44"/>
        <v>56</v>
      </c>
      <c r="H103" s="116">
        <f t="shared" si="44"/>
        <v>56</v>
      </c>
      <c r="I103" s="116">
        <f t="shared" si="44"/>
        <v>56</v>
      </c>
      <c r="J103" s="116">
        <f t="shared" si="44"/>
        <v>56</v>
      </c>
      <c r="K103" s="116">
        <f t="shared" si="44"/>
        <v>56</v>
      </c>
      <c r="L103" s="116">
        <f t="shared" si="44"/>
        <v>56</v>
      </c>
      <c r="M103" s="116">
        <f t="shared" si="44"/>
        <v>56</v>
      </c>
      <c r="N103" s="116">
        <f t="shared" si="44"/>
        <v>56</v>
      </c>
      <c r="O103" s="117">
        <f t="shared" si="37"/>
        <v>672</v>
      </c>
    </row>
    <row r="104" spans="1:15" x14ac:dyDescent="0.2">
      <c r="A104" s="115" t="s">
        <v>85</v>
      </c>
      <c r="B104" s="116" t="s">
        <v>43</v>
      </c>
      <c r="C104" s="116">
        <v>24</v>
      </c>
      <c r="D104" s="116">
        <f>C104</f>
        <v>24</v>
      </c>
      <c r="E104" s="116">
        <f t="shared" si="44"/>
        <v>24</v>
      </c>
      <c r="F104" s="116">
        <f t="shared" si="44"/>
        <v>24</v>
      </c>
      <c r="G104" s="116">
        <f t="shared" si="44"/>
        <v>24</v>
      </c>
      <c r="H104" s="116">
        <f t="shared" si="44"/>
        <v>24</v>
      </c>
      <c r="I104" s="116">
        <f t="shared" si="44"/>
        <v>24</v>
      </c>
      <c r="J104" s="116">
        <f t="shared" si="44"/>
        <v>24</v>
      </c>
      <c r="K104" s="116">
        <f t="shared" si="44"/>
        <v>24</v>
      </c>
      <c r="L104" s="116">
        <f t="shared" si="44"/>
        <v>24</v>
      </c>
      <c r="M104" s="116">
        <f t="shared" si="44"/>
        <v>24</v>
      </c>
      <c r="N104" s="116">
        <f t="shared" si="44"/>
        <v>24</v>
      </c>
      <c r="O104" s="117">
        <f t="shared" si="37"/>
        <v>288</v>
      </c>
    </row>
    <row r="105" spans="1:15" ht="12" thickBot="1" x14ac:dyDescent="0.25">
      <c r="A105" s="118" t="s">
        <v>86</v>
      </c>
      <c r="B105" s="119" t="s">
        <v>43</v>
      </c>
      <c r="C105" s="119">
        <v>25</v>
      </c>
      <c r="D105" s="119">
        <f>C105</f>
        <v>25</v>
      </c>
      <c r="E105" s="119">
        <f t="shared" si="44"/>
        <v>25</v>
      </c>
      <c r="F105" s="119">
        <f t="shared" si="44"/>
        <v>25</v>
      </c>
      <c r="G105" s="119">
        <f t="shared" si="44"/>
        <v>25</v>
      </c>
      <c r="H105" s="119">
        <f t="shared" si="44"/>
        <v>25</v>
      </c>
      <c r="I105" s="119">
        <f t="shared" si="44"/>
        <v>25</v>
      </c>
      <c r="J105" s="119">
        <f t="shared" si="44"/>
        <v>25</v>
      </c>
      <c r="K105" s="119">
        <f t="shared" si="44"/>
        <v>25</v>
      </c>
      <c r="L105" s="119">
        <f t="shared" si="44"/>
        <v>25</v>
      </c>
      <c r="M105" s="119">
        <f t="shared" si="44"/>
        <v>25</v>
      </c>
      <c r="N105" s="119">
        <f t="shared" si="44"/>
        <v>25</v>
      </c>
      <c r="O105" s="120">
        <f t="shared" si="37"/>
        <v>300</v>
      </c>
    </row>
    <row r="106" spans="1:15" ht="16.5" thickBot="1" x14ac:dyDescent="0.3">
      <c r="A106" s="121" t="s">
        <v>87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3"/>
    </row>
    <row r="107" spans="1:15" x14ac:dyDescent="0.2">
      <c r="A107" s="124" t="s">
        <v>88</v>
      </c>
      <c r="B107" s="125" t="s">
        <v>43</v>
      </c>
      <c r="C107" s="126">
        <f t="shared" ref="C107:N107" si="45">C108+C112</f>
        <v>730</v>
      </c>
      <c r="D107" s="127">
        <f>D108+D112</f>
        <v>730</v>
      </c>
      <c r="E107" s="126">
        <f t="shared" si="45"/>
        <v>730</v>
      </c>
      <c r="F107" s="126">
        <f t="shared" si="45"/>
        <v>730</v>
      </c>
      <c r="G107" s="126">
        <f t="shared" si="45"/>
        <v>730</v>
      </c>
      <c r="H107" s="126">
        <f t="shared" si="45"/>
        <v>730</v>
      </c>
      <c r="I107" s="126">
        <f t="shared" si="45"/>
        <v>730</v>
      </c>
      <c r="J107" s="126">
        <f t="shared" si="45"/>
        <v>730</v>
      </c>
      <c r="K107" s="126">
        <f t="shared" si="45"/>
        <v>730</v>
      </c>
      <c r="L107" s="126">
        <f t="shared" si="45"/>
        <v>730</v>
      </c>
      <c r="M107" s="126">
        <f t="shared" si="45"/>
        <v>730</v>
      </c>
      <c r="N107" s="126">
        <f t="shared" si="45"/>
        <v>731</v>
      </c>
      <c r="O107" s="23">
        <f t="shared" ref="O107:O120" si="46">C107+D107+E107+F107+G107+H107+I107+J107+K107+L107+M107+N107</f>
        <v>8761</v>
      </c>
    </row>
    <row r="108" spans="1:15" x14ac:dyDescent="0.2">
      <c r="A108" s="47" t="s">
        <v>89</v>
      </c>
      <c r="B108" s="51" t="s">
        <v>43</v>
      </c>
      <c r="C108" s="51">
        <f t="shared" ref="C108:N108" si="47">SUM(C109:C111)</f>
        <v>156</v>
      </c>
      <c r="D108" s="51">
        <f t="shared" si="47"/>
        <v>156</v>
      </c>
      <c r="E108" s="51">
        <f t="shared" si="47"/>
        <v>156</v>
      </c>
      <c r="F108" s="51">
        <f t="shared" si="47"/>
        <v>156</v>
      </c>
      <c r="G108" s="51">
        <f t="shared" si="47"/>
        <v>156</v>
      </c>
      <c r="H108" s="51">
        <f t="shared" si="47"/>
        <v>156</v>
      </c>
      <c r="I108" s="51">
        <f t="shared" si="47"/>
        <v>156</v>
      </c>
      <c r="J108" s="51">
        <f t="shared" si="47"/>
        <v>156</v>
      </c>
      <c r="K108" s="51">
        <f t="shared" si="47"/>
        <v>156</v>
      </c>
      <c r="L108" s="51">
        <f t="shared" si="47"/>
        <v>156</v>
      </c>
      <c r="M108" s="51">
        <f t="shared" si="47"/>
        <v>156</v>
      </c>
      <c r="N108" s="51">
        <f t="shared" si="47"/>
        <v>156</v>
      </c>
      <c r="O108" s="106">
        <f t="shared" si="46"/>
        <v>1872</v>
      </c>
    </row>
    <row r="109" spans="1:15" x14ac:dyDescent="0.2">
      <c r="A109" s="128" t="s">
        <v>61</v>
      </c>
      <c r="B109" s="93" t="s">
        <v>43</v>
      </c>
      <c r="C109" s="93">
        <v>60</v>
      </c>
      <c r="D109" s="93">
        <f>C109</f>
        <v>60</v>
      </c>
      <c r="E109" s="93">
        <f t="shared" ref="E109:N111" si="48">D109</f>
        <v>60</v>
      </c>
      <c r="F109" s="93">
        <f t="shared" si="48"/>
        <v>60</v>
      </c>
      <c r="G109" s="93">
        <f t="shared" si="48"/>
        <v>60</v>
      </c>
      <c r="H109" s="93">
        <f t="shared" si="48"/>
        <v>60</v>
      </c>
      <c r="I109" s="93">
        <f t="shared" si="48"/>
        <v>60</v>
      </c>
      <c r="J109" s="93">
        <f t="shared" si="48"/>
        <v>60</v>
      </c>
      <c r="K109" s="93">
        <f t="shared" si="48"/>
        <v>60</v>
      </c>
      <c r="L109" s="93">
        <f t="shared" si="48"/>
        <v>60</v>
      </c>
      <c r="M109" s="93">
        <f t="shared" si="48"/>
        <v>60</v>
      </c>
      <c r="N109" s="93">
        <f t="shared" si="48"/>
        <v>60</v>
      </c>
      <c r="O109" s="30">
        <f t="shared" si="46"/>
        <v>720</v>
      </c>
    </row>
    <row r="110" spans="1:15" x14ac:dyDescent="0.2">
      <c r="A110" s="128" t="s">
        <v>66</v>
      </c>
      <c r="B110" s="93" t="s">
        <v>43</v>
      </c>
      <c r="C110" s="93">
        <v>75</v>
      </c>
      <c r="D110" s="93">
        <f>C110</f>
        <v>75</v>
      </c>
      <c r="E110" s="93">
        <f t="shared" si="48"/>
        <v>75</v>
      </c>
      <c r="F110" s="93">
        <f t="shared" si="48"/>
        <v>75</v>
      </c>
      <c r="G110" s="93">
        <f t="shared" si="48"/>
        <v>75</v>
      </c>
      <c r="H110" s="93">
        <f t="shared" si="48"/>
        <v>75</v>
      </c>
      <c r="I110" s="93">
        <f t="shared" si="48"/>
        <v>75</v>
      </c>
      <c r="J110" s="93">
        <f t="shared" si="48"/>
        <v>75</v>
      </c>
      <c r="K110" s="93">
        <f t="shared" si="48"/>
        <v>75</v>
      </c>
      <c r="L110" s="93">
        <f t="shared" si="48"/>
        <v>75</v>
      </c>
      <c r="M110" s="93">
        <f t="shared" si="48"/>
        <v>75</v>
      </c>
      <c r="N110" s="93">
        <f t="shared" si="48"/>
        <v>75</v>
      </c>
      <c r="O110" s="30">
        <f t="shared" si="46"/>
        <v>900</v>
      </c>
    </row>
    <row r="111" spans="1:15" x14ac:dyDescent="0.2">
      <c r="A111" s="128" t="s">
        <v>63</v>
      </c>
      <c r="B111" s="93" t="s">
        <v>43</v>
      </c>
      <c r="C111" s="91">
        <v>21</v>
      </c>
      <c r="D111" s="91">
        <f>C111</f>
        <v>21</v>
      </c>
      <c r="E111" s="91">
        <f t="shared" si="48"/>
        <v>21</v>
      </c>
      <c r="F111" s="91">
        <f t="shared" si="48"/>
        <v>21</v>
      </c>
      <c r="G111" s="91">
        <f t="shared" si="48"/>
        <v>21</v>
      </c>
      <c r="H111" s="91">
        <f t="shared" si="48"/>
        <v>21</v>
      </c>
      <c r="I111" s="91">
        <f t="shared" si="48"/>
        <v>21</v>
      </c>
      <c r="J111" s="91">
        <f t="shared" si="48"/>
        <v>21</v>
      </c>
      <c r="K111" s="91">
        <f t="shared" si="48"/>
        <v>21</v>
      </c>
      <c r="L111" s="91">
        <f t="shared" si="48"/>
        <v>21</v>
      </c>
      <c r="M111" s="91">
        <f t="shared" si="48"/>
        <v>21</v>
      </c>
      <c r="N111" s="91">
        <f t="shared" si="48"/>
        <v>21</v>
      </c>
      <c r="O111" s="30">
        <f t="shared" si="46"/>
        <v>252</v>
      </c>
    </row>
    <row r="112" spans="1:15" ht="15" customHeight="1" x14ac:dyDescent="0.2">
      <c r="A112" s="98" t="s">
        <v>90</v>
      </c>
      <c r="B112" s="51" t="s">
        <v>43</v>
      </c>
      <c r="C112" s="105">
        <f>C113+C114+C115+C116+C117+C118+C119+C120</f>
        <v>574</v>
      </c>
      <c r="D112" s="105">
        <f t="shared" ref="D112:N112" si="49">D113+D114+D115+D116+D117+D118+D119+D120</f>
        <v>574</v>
      </c>
      <c r="E112" s="105">
        <f t="shared" si="49"/>
        <v>574</v>
      </c>
      <c r="F112" s="105">
        <f t="shared" si="49"/>
        <v>574</v>
      </c>
      <c r="G112" s="105">
        <f t="shared" si="49"/>
        <v>574</v>
      </c>
      <c r="H112" s="105">
        <f t="shared" si="49"/>
        <v>574</v>
      </c>
      <c r="I112" s="105">
        <f t="shared" si="49"/>
        <v>574</v>
      </c>
      <c r="J112" s="105">
        <f t="shared" si="49"/>
        <v>574</v>
      </c>
      <c r="K112" s="105">
        <f t="shared" si="49"/>
        <v>574</v>
      </c>
      <c r="L112" s="105">
        <f t="shared" si="49"/>
        <v>574</v>
      </c>
      <c r="M112" s="105">
        <f t="shared" si="49"/>
        <v>574</v>
      </c>
      <c r="N112" s="105">
        <f t="shared" si="49"/>
        <v>575</v>
      </c>
      <c r="O112" s="106">
        <f>C112+D112+E112+F112+G112+H112+I112+J112+K112+L112+M112+N112</f>
        <v>6889</v>
      </c>
    </row>
    <row r="113" spans="1:15" x14ac:dyDescent="0.2">
      <c r="A113" s="79" t="s">
        <v>119</v>
      </c>
      <c r="B113" s="129" t="s">
        <v>43</v>
      </c>
      <c r="C113" s="56">
        <v>574</v>
      </c>
      <c r="D113" s="56">
        <v>574</v>
      </c>
      <c r="E113" s="56">
        <v>574</v>
      </c>
      <c r="F113" s="56">
        <v>574</v>
      </c>
      <c r="G113" s="56">
        <v>574</v>
      </c>
      <c r="H113" s="56">
        <v>574</v>
      </c>
      <c r="I113" s="56">
        <v>574</v>
      </c>
      <c r="J113" s="56">
        <v>574</v>
      </c>
      <c r="K113" s="56">
        <v>574</v>
      </c>
      <c r="L113" s="56">
        <v>574</v>
      </c>
      <c r="M113" s="56">
        <v>574</v>
      </c>
      <c r="N113" s="56">
        <v>575</v>
      </c>
      <c r="O113" s="30">
        <f>C113+D113+E113+F113+G113+H113+I113+J113+K113+L113+M113+N113</f>
        <v>6889</v>
      </c>
    </row>
    <row r="114" spans="1:15" x14ac:dyDescent="0.2">
      <c r="A114" s="79" t="s">
        <v>91</v>
      </c>
      <c r="B114" s="129" t="s">
        <v>43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30">
        <f t="shared" si="46"/>
        <v>0</v>
      </c>
    </row>
    <row r="115" spans="1:15" ht="12.75" x14ac:dyDescent="0.2">
      <c r="A115" s="130" t="s">
        <v>92</v>
      </c>
      <c r="B115" s="129" t="s">
        <v>43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30">
        <f t="shared" si="46"/>
        <v>0</v>
      </c>
    </row>
    <row r="116" spans="1:15" x14ac:dyDescent="0.2">
      <c r="A116" s="164" t="s">
        <v>120</v>
      </c>
      <c r="B116" s="165" t="s">
        <v>43</v>
      </c>
      <c r="C116" s="166"/>
      <c r="D116" s="166"/>
      <c r="E116" s="166"/>
      <c r="F116" s="166"/>
      <c r="G116" s="167"/>
      <c r="H116" s="167"/>
      <c r="I116" s="167"/>
      <c r="J116" s="167"/>
      <c r="K116" s="167"/>
      <c r="L116" s="167"/>
      <c r="M116" s="167"/>
      <c r="N116" s="167"/>
      <c r="O116" s="30">
        <f t="shared" si="46"/>
        <v>0</v>
      </c>
    </row>
    <row r="117" spans="1:15" x14ac:dyDescent="0.2">
      <c r="A117" s="79" t="s">
        <v>93</v>
      </c>
      <c r="B117" s="129" t="s">
        <v>43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30">
        <f t="shared" si="46"/>
        <v>0</v>
      </c>
    </row>
    <row r="118" spans="1:15" ht="12.75" x14ac:dyDescent="0.2">
      <c r="A118" s="130" t="s">
        <v>94</v>
      </c>
      <c r="B118" s="129" t="s">
        <v>43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30">
        <f t="shared" si="46"/>
        <v>0</v>
      </c>
    </row>
    <row r="119" spans="1:15" x14ac:dyDescent="0.2">
      <c r="A119" s="79" t="s">
        <v>95</v>
      </c>
      <c r="B119" s="129" t="s">
        <v>43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30">
        <f>C119+D119+E119+F119+G119+H119+I119+J119+K119+L119+M119+N119</f>
        <v>0</v>
      </c>
    </row>
    <row r="120" spans="1:15" ht="12" thickBot="1" x14ac:dyDescent="0.25">
      <c r="A120" s="131" t="s">
        <v>96</v>
      </c>
      <c r="B120" s="132" t="s">
        <v>43</v>
      </c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4">
        <f t="shared" si="46"/>
        <v>0</v>
      </c>
    </row>
    <row r="121" spans="1:15" ht="16.5" thickBot="1" x14ac:dyDescent="0.3">
      <c r="A121" s="135" t="s">
        <v>97</v>
      </c>
      <c r="B121" s="136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4"/>
    </row>
    <row r="122" spans="1:15" ht="16.5" thickBot="1" x14ac:dyDescent="0.3">
      <c r="A122" s="67" t="s">
        <v>98</v>
      </c>
      <c r="B122" s="137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9"/>
    </row>
    <row r="123" spans="1:15" x14ac:dyDescent="0.2">
      <c r="A123" s="140" t="s">
        <v>99</v>
      </c>
      <c r="B123" s="12" t="s">
        <v>34</v>
      </c>
      <c r="C123" s="22">
        <f>C126+C125+C124+C127+C128</f>
        <v>0</v>
      </c>
      <c r="D123" s="22">
        <f t="shared" ref="D123:N123" si="50">D126+D125+D124+D127+D128</f>
        <v>0</v>
      </c>
      <c r="E123" s="22">
        <f t="shared" si="50"/>
        <v>0</v>
      </c>
      <c r="F123" s="22">
        <f t="shared" si="50"/>
        <v>2</v>
      </c>
      <c r="G123" s="22">
        <f t="shared" si="50"/>
        <v>0</v>
      </c>
      <c r="H123" s="22">
        <f t="shared" si="50"/>
        <v>11</v>
      </c>
      <c r="I123" s="22">
        <f t="shared" si="50"/>
        <v>4</v>
      </c>
      <c r="J123" s="22">
        <f t="shared" si="50"/>
        <v>7</v>
      </c>
      <c r="K123" s="22">
        <f t="shared" si="50"/>
        <v>21</v>
      </c>
      <c r="L123" s="22">
        <f t="shared" si="50"/>
        <v>33</v>
      </c>
      <c r="M123" s="22">
        <f t="shared" si="50"/>
        <v>44</v>
      </c>
      <c r="N123" s="22">
        <f t="shared" si="50"/>
        <v>57</v>
      </c>
      <c r="O123" s="141">
        <f t="shared" ref="O123:O127" si="51">C123+D123+E123+F123+G123+H123+I123+J123+K123+L123+M123+N123</f>
        <v>179</v>
      </c>
    </row>
    <row r="124" spans="1:15" ht="12" customHeight="1" x14ac:dyDescent="0.2">
      <c r="A124" s="79" t="s">
        <v>100</v>
      </c>
      <c r="B124" s="39" t="s">
        <v>34</v>
      </c>
      <c r="C124" s="39"/>
      <c r="D124" s="29"/>
      <c r="E124" s="39"/>
      <c r="F124" s="39">
        <v>2</v>
      </c>
      <c r="G124" s="39"/>
      <c r="H124" s="39">
        <v>11</v>
      </c>
      <c r="I124" s="39">
        <v>1</v>
      </c>
      <c r="J124" s="39"/>
      <c r="K124" s="39">
        <v>9</v>
      </c>
      <c r="L124" s="39">
        <v>18</v>
      </c>
      <c r="M124" s="39">
        <v>20</v>
      </c>
      <c r="N124" s="39">
        <v>16</v>
      </c>
      <c r="O124" s="30">
        <f t="shared" si="51"/>
        <v>77</v>
      </c>
    </row>
    <row r="125" spans="1:15" x14ac:dyDescent="0.2">
      <c r="A125" s="79" t="s">
        <v>101</v>
      </c>
      <c r="B125" s="39" t="s">
        <v>34</v>
      </c>
      <c r="C125" s="39"/>
      <c r="D125" s="2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0">
        <f t="shared" si="51"/>
        <v>0</v>
      </c>
    </row>
    <row r="126" spans="1:15" x14ac:dyDescent="0.2">
      <c r="A126" s="55" t="s">
        <v>102</v>
      </c>
      <c r="B126" s="39" t="s">
        <v>34</v>
      </c>
      <c r="C126" s="39"/>
      <c r="D126" s="29"/>
      <c r="E126" s="39"/>
      <c r="F126" s="39"/>
      <c r="G126" s="39"/>
      <c r="H126" s="39"/>
      <c r="I126" s="39">
        <v>3</v>
      </c>
      <c r="J126" s="39">
        <v>7</v>
      </c>
      <c r="K126" s="39">
        <v>12</v>
      </c>
      <c r="L126" s="39">
        <v>15</v>
      </c>
      <c r="M126" s="39">
        <v>24</v>
      </c>
      <c r="N126" s="39">
        <v>41</v>
      </c>
      <c r="O126" s="30">
        <f t="shared" si="51"/>
        <v>102</v>
      </c>
    </row>
    <row r="127" spans="1:15" x14ac:dyDescent="0.2">
      <c r="A127" s="79" t="s">
        <v>38</v>
      </c>
      <c r="B127" s="39" t="s">
        <v>34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0">
        <f t="shared" si="51"/>
        <v>0</v>
      </c>
    </row>
    <row r="128" spans="1:15" x14ac:dyDescent="0.2">
      <c r="A128" s="8" t="s">
        <v>40</v>
      </c>
      <c r="B128" s="39" t="s">
        <v>34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0">
        <f>C128+D128+E128+F128+G128+H128+I128+J128+K128+L128+M128+N128</f>
        <v>0</v>
      </c>
    </row>
    <row r="129" spans="1:15" ht="12" thickBot="1" x14ac:dyDescent="0.25">
      <c r="A129" s="131" t="s">
        <v>57</v>
      </c>
      <c r="B129" s="39" t="s">
        <v>34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>
        <v>2</v>
      </c>
      <c r="M129" s="39"/>
      <c r="N129" s="39"/>
      <c r="O129" s="30">
        <f>C129+D129+E129+F129+G129+H129+I129+J129+K129+L129+M129+N129</f>
        <v>2</v>
      </c>
    </row>
    <row r="130" spans="1:15" ht="16.5" thickBot="1" x14ac:dyDescent="0.3">
      <c r="A130" s="142" t="s">
        <v>103</v>
      </c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3"/>
    </row>
    <row r="131" spans="1:15" x14ac:dyDescent="0.2">
      <c r="A131" s="143" t="s">
        <v>99</v>
      </c>
      <c r="B131" s="144" t="s">
        <v>43</v>
      </c>
      <c r="C131" s="145">
        <f>C132+C133+C134+C135+C136</f>
        <v>0</v>
      </c>
      <c r="D131" s="145">
        <f t="shared" ref="D131:N131" si="52">D132+D133+D134+D135+D136</f>
        <v>0</v>
      </c>
      <c r="E131" s="145">
        <f t="shared" si="52"/>
        <v>0</v>
      </c>
      <c r="F131" s="145">
        <f t="shared" si="52"/>
        <v>0</v>
      </c>
      <c r="G131" s="145">
        <f t="shared" si="52"/>
        <v>0</v>
      </c>
      <c r="H131" s="145">
        <f t="shared" si="52"/>
        <v>0</v>
      </c>
      <c r="I131" s="145">
        <f t="shared" si="52"/>
        <v>0</v>
      </c>
      <c r="J131" s="145">
        <f t="shared" si="52"/>
        <v>0</v>
      </c>
      <c r="K131" s="145">
        <f t="shared" si="52"/>
        <v>0</v>
      </c>
      <c r="L131" s="145">
        <f t="shared" si="52"/>
        <v>0</v>
      </c>
      <c r="M131" s="145">
        <f t="shared" si="52"/>
        <v>0</v>
      </c>
      <c r="N131" s="145">
        <f t="shared" si="52"/>
        <v>0</v>
      </c>
      <c r="O131" s="146">
        <f t="shared" ref="O131:O142" si="53">C131+D131+E131+F131+G131+H131+I131+J131+K131+L131+M131+N131</f>
        <v>0</v>
      </c>
    </row>
    <row r="132" spans="1:15" x14ac:dyDescent="0.2">
      <c r="A132" s="55" t="s">
        <v>36</v>
      </c>
      <c r="B132" s="39" t="s">
        <v>43</v>
      </c>
      <c r="C132" s="39"/>
      <c r="D132" s="2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0">
        <f t="shared" si="53"/>
        <v>0</v>
      </c>
    </row>
    <row r="133" spans="1:15" x14ac:dyDescent="0.2">
      <c r="A133" s="55" t="s">
        <v>37</v>
      </c>
      <c r="B133" s="39" t="s">
        <v>43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30">
        <f t="shared" si="53"/>
        <v>0</v>
      </c>
    </row>
    <row r="134" spans="1:15" x14ac:dyDescent="0.2">
      <c r="A134" s="55" t="s">
        <v>38</v>
      </c>
      <c r="B134" s="39" t="s">
        <v>43</v>
      </c>
      <c r="C134" s="39"/>
      <c r="D134" s="2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0">
        <f t="shared" si="53"/>
        <v>0</v>
      </c>
    </row>
    <row r="135" spans="1:15" x14ac:dyDescent="0.2">
      <c r="A135" s="55" t="s">
        <v>104</v>
      </c>
      <c r="B135" s="39" t="s">
        <v>43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30">
        <f t="shared" si="53"/>
        <v>0</v>
      </c>
    </row>
    <row r="136" spans="1:15" ht="10.9" customHeight="1" x14ac:dyDescent="0.25">
      <c r="A136" s="55" t="s">
        <v>40</v>
      </c>
      <c r="B136" s="39" t="s">
        <v>43</v>
      </c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30">
        <f t="shared" si="53"/>
        <v>0</v>
      </c>
    </row>
    <row r="137" spans="1:15" x14ac:dyDescent="0.2">
      <c r="A137" s="43" t="s">
        <v>105</v>
      </c>
      <c r="B137" s="39" t="s">
        <v>43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0">
        <f t="shared" si="53"/>
        <v>0</v>
      </c>
    </row>
    <row r="138" spans="1:15" x14ac:dyDescent="0.2">
      <c r="A138" s="43" t="s">
        <v>106</v>
      </c>
      <c r="B138" s="39" t="s">
        <v>43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30">
        <f t="shared" si="53"/>
        <v>0</v>
      </c>
    </row>
    <row r="139" spans="1:15" x14ac:dyDescent="0.2">
      <c r="A139" s="43" t="s">
        <v>107</v>
      </c>
      <c r="B139" s="39" t="s">
        <v>43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30">
        <f t="shared" si="53"/>
        <v>0</v>
      </c>
    </row>
    <row r="140" spans="1:15" x14ac:dyDescent="0.2">
      <c r="A140" s="43" t="s">
        <v>108</v>
      </c>
      <c r="B140" s="129" t="s">
        <v>43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30">
        <f t="shared" si="53"/>
        <v>0</v>
      </c>
    </row>
    <row r="141" spans="1:15" x14ac:dyDescent="0.2">
      <c r="A141" s="148" t="s">
        <v>109</v>
      </c>
      <c r="B141" s="129" t="s">
        <v>43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30">
        <f t="shared" si="53"/>
        <v>0</v>
      </c>
    </row>
    <row r="142" spans="1:15" ht="12" thickBot="1" x14ac:dyDescent="0.25">
      <c r="A142" s="148" t="s">
        <v>110</v>
      </c>
      <c r="B142" s="129" t="s">
        <v>43</v>
      </c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49">
        <f t="shared" si="53"/>
        <v>0</v>
      </c>
    </row>
    <row r="143" spans="1:15" ht="16.5" thickBot="1" x14ac:dyDescent="0.3">
      <c r="A143" s="17" t="s">
        <v>111</v>
      </c>
      <c r="B143" s="18"/>
      <c r="C143" s="18"/>
      <c r="D143" s="18"/>
      <c r="E143" s="18"/>
      <c r="F143" s="18"/>
      <c r="G143" s="18"/>
      <c r="H143" s="150"/>
      <c r="I143" s="150"/>
      <c r="J143" s="150"/>
      <c r="K143" s="151"/>
      <c r="L143" s="151"/>
      <c r="M143" s="151"/>
      <c r="N143" s="151"/>
      <c r="O143" s="152"/>
    </row>
    <row r="144" spans="1:15" ht="16.5" thickBot="1" x14ac:dyDescent="0.3">
      <c r="A144" s="67" t="s">
        <v>124</v>
      </c>
      <c r="B144" s="137"/>
      <c r="C144" s="137"/>
      <c r="D144" s="137"/>
      <c r="E144" s="137"/>
      <c r="F144" s="137"/>
      <c r="G144" s="173"/>
      <c r="H144" s="174"/>
      <c r="I144" s="174"/>
      <c r="J144" s="174"/>
      <c r="K144" s="137"/>
      <c r="L144" s="137"/>
      <c r="M144" s="137"/>
      <c r="N144" s="137"/>
      <c r="O144" s="175"/>
    </row>
    <row r="145" spans="1:15" x14ac:dyDescent="0.2">
      <c r="A145" s="176" t="s">
        <v>88</v>
      </c>
      <c r="B145" s="12" t="s">
        <v>114</v>
      </c>
      <c r="C145" s="177">
        <f t="shared" ref="C145:N145" si="54">C146+C151+C156+C161</f>
        <v>843.78863999999999</v>
      </c>
      <c r="D145" s="177">
        <f t="shared" si="54"/>
        <v>794.18313999999998</v>
      </c>
      <c r="E145" s="177">
        <f t="shared" si="54"/>
        <v>843.78863999999999</v>
      </c>
      <c r="F145" s="177">
        <f t="shared" si="54"/>
        <v>845.59943999999996</v>
      </c>
      <c r="G145" s="177">
        <f t="shared" si="54"/>
        <v>830.05133999999998</v>
      </c>
      <c r="H145" s="177">
        <f t="shared" si="54"/>
        <v>970.58093999999994</v>
      </c>
      <c r="I145" s="177">
        <f t="shared" si="54"/>
        <v>886.17764</v>
      </c>
      <c r="J145" s="177">
        <f t="shared" si="54"/>
        <v>924.83803999999998</v>
      </c>
      <c r="K145" s="177">
        <f t="shared" si="54"/>
        <v>1091.78784</v>
      </c>
      <c r="L145" s="177">
        <f t="shared" si="54"/>
        <v>1284.21144</v>
      </c>
      <c r="M145" s="177">
        <f t="shared" si="54"/>
        <v>1423.32944</v>
      </c>
      <c r="N145" s="177">
        <f t="shared" si="54"/>
        <v>1612.0361499999999</v>
      </c>
      <c r="O145" s="178">
        <f>C145+D145+E145+F145+G145+H145+I145+J145+K145+L145+M145+N145</f>
        <v>12350.372689999998</v>
      </c>
    </row>
    <row r="146" spans="1:15" x14ac:dyDescent="0.2">
      <c r="A146" s="98" t="s">
        <v>125</v>
      </c>
      <c r="B146" s="51" t="s">
        <v>114</v>
      </c>
      <c r="C146" s="179">
        <f t="shared" ref="C146:N146" si="55">C147+C149+C148</f>
        <v>533.30629999999996</v>
      </c>
      <c r="D146" s="179">
        <f t="shared" si="55"/>
        <v>483.70079999999996</v>
      </c>
      <c r="E146" s="179">
        <f t="shared" si="55"/>
        <v>533.30629999999996</v>
      </c>
      <c r="F146" s="179">
        <f t="shared" si="55"/>
        <v>506.81709999999998</v>
      </c>
      <c r="G146" s="179">
        <f t="shared" si="55"/>
        <v>519.56899999999996</v>
      </c>
      <c r="H146" s="179">
        <f t="shared" si="55"/>
        <v>504.4486</v>
      </c>
      <c r="I146" s="179">
        <f t="shared" si="55"/>
        <v>519.09529999999995</v>
      </c>
      <c r="J146" s="179">
        <f t="shared" si="55"/>
        <v>515.3057</v>
      </c>
      <c r="K146" s="179">
        <f t="shared" si="55"/>
        <v>484.15549999999996</v>
      </c>
      <c r="L146" s="179">
        <f t="shared" si="55"/>
        <v>506.77910000000003</v>
      </c>
      <c r="M146" s="179">
        <f t="shared" si="55"/>
        <v>490.24709999999993</v>
      </c>
      <c r="N146" s="179">
        <f t="shared" si="55"/>
        <v>494.46289999999999</v>
      </c>
      <c r="O146" s="180">
        <f>C146+D146+E146+F146+G146+H146+I146+J146+K146+L146+M146+N146</f>
        <v>6091.1936999999998</v>
      </c>
    </row>
    <row r="147" spans="1:15" x14ac:dyDescent="0.2">
      <c r="A147" s="181" t="s">
        <v>61</v>
      </c>
      <c r="B147" s="28" t="s">
        <v>114</v>
      </c>
      <c r="C147" s="182">
        <f>C50*0.4737+C56*2.359</f>
        <v>380.62420000000003</v>
      </c>
      <c r="D147" s="182">
        <f t="shared" ref="D147:N147" si="56">D50*0.4737+D56*2.359</f>
        <v>343.78959999999995</v>
      </c>
      <c r="E147" s="182">
        <f t="shared" si="56"/>
        <v>380.62420000000003</v>
      </c>
      <c r="F147" s="182">
        <f>F50*0.4737+F56*2.359</f>
        <v>357.45089999999999</v>
      </c>
      <c r="G147" s="182">
        <f t="shared" si="56"/>
        <v>366.88690000000003</v>
      </c>
      <c r="H147" s="182">
        <f t="shared" si="56"/>
        <v>355.08240000000001</v>
      </c>
      <c r="I147" s="182">
        <f t="shared" si="56"/>
        <v>366.88690000000003</v>
      </c>
      <c r="J147" s="182">
        <f t="shared" si="56"/>
        <v>363.09730000000002</v>
      </c>
      <c r="K147" s="182">
        <f t="shared" si="56"/>
        <v>334.78929999999997</v>
      </c>
      <c r="L147" s="182">
        <f t="shared" si="56"/>
        <v>354.57070000000004</v>
      </c>
      <c r="M147" s="182">
        <f t="shared" si="56"/>
        <v>342.76619999999997</v>
      </c>
      <c r="N147" s="182">
        <f t="shared" si="56"/>
        <v>342.25450000000001</v>
      </c>
      <c r="O147" s="183">
        <f>C147+D147+E147+F147+G147+H147+I147+J147+K147+L147+M147+N147</f>
        <v>4288.8230999999996</v>
      </c>
    </row>
    <row r="148" spans="1:15" x14ac:dyDescent="0.2">
      <c r="A148" s="181" t="s">
        <v>66</v>
      </c>
      <c r="B148" s="28" t="s">
        <v>114</v>
      </c>
      <c r="C148" s="185">
        <f>C77*0.4737+C82*2.359</f>
        <v>152.68209999999999</v>
      </c>
      <c r="D148" s="185">
        <f t="shared" ref="D148:N148" si="57">D77*0.4737+D82*2.359</f>
        <v>139.91120000000001</v>
      </c>
      <c r="E148" s="185">
        <f t="shared" si="57"/>
        <v>152.68209999999999</v>
      </c>
      <c r="F148" s="185">
        <f t="shared" si="57"/>
        <v>149.36619999999999</v>
      </c>
      <c r="G148" s="185">
        <f t="shared" si="57"/>
        <v>152.68209999999999</v>
      </c>
      <c r="H148" s="185">
        <f t="shared" si="57"/>
        <v>149.36619999999999</v>
      </c>
      <c r="I148" s="185">
        <f t="shared" si="57"/>
        <v>152.20839999999998</v>
      </c>
      <c r="J148" s="185">
        <f t="shared" si="57"/>
        <v>152.20839999999998</v>
      </c>
      <c r="K148" s="185">
        <f t="shared" si="57"/>
        <v>149.36619999999999</v>
      </c>
      <c r="L148" s="185">
        <f t="shared" si="57"/>
        <v>152.20839999999998</v>
      </c>
      <c r="M148" s="185">
        <f t="shared" si="57"/>
        <v>147.48089999999999</v>
      </c>
      <c r="N148" s="185">
        <f t="shared" si="57"/>
        <v>152.20839999999998</v>
      </c>
      <c r="O148" s="183">
        <f>C148+D148+E148+F148+G148+H148+I148+J148+K148+L148+M148+N148</f>
        <v>1802.3705999999997</v>
      </c>
    </row>
    <row r="149" spans="1:15" x14ac:dyDescent="0.2">
      <c r="A149" s="181" t="s">
        <v>63</v>
      </c>
      <c r="B149" s="28" t="s">
        <v>114</v>
      </c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3">
        <f>C149+D149+E149+F149+G149+H149+I149+J149+K149+L149+M149+N149</f>
        <v>0</v>
      </c>
    </row>
    <row r="150" spans="1:15" x14ac:dyDescent="0.2">
      <c r="A150" s="315" t="s">
        <v>126</v>
      </c>
      <c r="B150" s="48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</row>
    <row r="151" spans="1:15" x14ac:dyDescent="0.2">
      <c r="A151" s="316"/>
      <c r="B151" s="44" t="s">
        <v>114</v>
      </c>
      <c r="C151" s="187">
        <f t="shared" ref="C151:N151" si="58">SUM(C153:C155)</f>
        <v>310.48234000000002</v>
      </c>
      <c r="D151" s="187">
        <f t="shared" si="58"/>
        <v>310.48234000000002</v>
      </c>
      <c r="E151" s="187">
        <f t="shared" si="58"/>
        <v>310.48234000000002</v>
      </c>
      <c r="F151" s="187">
        <f t="shared" si="58"/>
        <v>310.48234000000002</v>
      </c>
      <c r="G151" s="187">
        <f t="shared" si="58"/>
        <v>310.48234000000002</v>
      </c>
      <c r="H151" s="187">
        <f t="shared" si="58"/>
        <v>310.48234000000002</v>
      </c>
      <c r="I151" s="188">
        <f t="shared" si="58"/>
        <v>310.48234000000002</v>
      </c>
      <c r="J151" s="188">
        <f t="shared" si="58"/>
        <v>310.48234000000002</v>
      </c>
      <c r="K151" s="188">
        <f t="shared" si="58"/>
        <v>310.48234000000002</v>
      </c>
      <c r="L151" s="188">
        <f t="shared" si="58"/>
        <v>310.48234000000002</v>
      </c>
      <c r="M151" s="188">
        <f t="shared" si="58"/>
        <v>310.48234000000002</v>
      </c>
      <c r="N151" s="189">
        <f t="shared" si="58"/>
        <v>311.02325000000002</v>
      </c>
      <c r="O151" s="190">
        <f t="shared" ref="O151:O161" si="59">C151+D151+E151+F151+G151+H151+I151+J151+K151+L151+M151+N151</f>
        <v>3726.3289900000004</v>
      </c>
    </row>
    <row r="152" spans="1:15" x14ac:dyDescent="0.2">
      <c r="A152" s="317" t="s">
        <v>127</v>
      </c>
      <c r="B152" s="39" t="s">
        <v>43</v>
      </c>
      <c r="C152" s="85">
        <f>C112*0.051</f>
        <v>29.273999999999997</v>
      </c>
      <c r="D152" s="85">
        <f t="shared" ref="D152:N152" si="60">D112*0.051</f>
        <v>29.273999999999997</v>
      </c>
      <c r="E152" s="85">
        <f t="shared" si="60"/>
        <v>29.273999999999997</v>
      </c>
      <c r="F152" s="85">
        <f t="shared" si="60"/>
        <v>29.273999999999997</v>
      </c>
      <c r="G152" s="85">
        <f t="shared" si="60"/>
        <v>29.273999999999997</v>
      </c>
      <c r="H152" s="85">
        <f t="shared" si="60"/>
        <v>29.273999999999997</v>
      </c>
      <c r="I152" s="85">
        <f t="shared" si="60"/>
        <v>29.273999999999997</v>
      </c>
      <c r="J152" s="85">
        <f t="shared" si="60"/>
        <v>29.273999999999997</v>
      </c>
      <c r="K152" s="85">
        <f t="shared" si="60"/>
        <v>29.273999999999997</v>
      </c>
      <c r="L152" s="85">
        <f t="shared" si="60"/>
        <v>29.273999999999997</v>
      </c>
      <c r="M152" s="85">
        <f t="shared" si="60"/>
        <v>29.273999999999997</v>
      </c>
      <c r="N152" s="85">
        <f t="shared" si="60"/>
        <v>29.324999999999999</v>
      </c>
      <c r="O152" s="30">
        <f t="shared" si="59"/>
        <v>351.33899999999994</v>
      </c>
    </row>
    <row r="153" spans="1:15" x14ac:dyDescent="0.2">
      <c r="A153" s="318"/>
      <c r="B153" s="39" t="s">
        <v>114</v>
      </c>
      <c r="C153" s="192">
        <f t="shared" ref="C153:N153" si="61">C152*0.41</f>
        <v>12.002339999999998</v>
      </c>
      <c r="D153" s="192">
        <f t="shared" si="61"/>
        <v>12.002339999999998</v>
      </c>
      <c r="E153" s="192">
        <f t="shared" si="61"/>
        <v>12.002339999999998</v>
      </c>
      <c r="F153" s="192">
        <f t="shared" si="61"/>
        <v>12.002339999999998</v>
      </c>
      <c r="G153" s="192">
        <f t="shared" si="61"/>
        <v>12.002339999999998</v>
      </c>
      <c r="H153" s="192">
        <f t="shared" si="61"/>
        <v>12.002339999999998</v>
      </c>
      <c r="I153" s="192">
        <f t="shared" si="61"/>
        <v>12.002339999999998</v>
      </c>
      <c r="J153" s="192">
        <f t="shared" si="61"/>
        <v>12.002339999999998</v>
      </c>
      <c r="K153" s="192">
        <f t="shared" si="61"/>
        <v>12.002339999999998</v>
      </c>
      <c r="L153" s="192">
        <f t="shared" si="61"/>
        <v>12.002339999999998</v>
      </c>
      <c r="M153" s="192">
        <f t="shared" si="61"/>
        <v>12.002339999999998</v>
      </c>
      <c r="N153" s="192">
        <f t="shared" si="61"/>
        <v>12.023249999999999</v>
      </c>
      <c r="O153" s="183">
        <f t="shared" si="59"/>
        <v>144.04899</v>
      </c>
    </row>
    <row r="154" spans="1:15" x14ac:dyDescent="0.2">
      <c r="A154" s="181" t="s">
        <v>128</v>
      </c>
      <c r="B154" s="39" t="s">
        <v>114</v>
      </c>
      <c r="C154" s="192">
        <f>C112*0.52</f>
        <v>298.48</v>
      </c>
      <c r="D154" s="192">
        <f t="shared" ref="D154:N154" si="62">D112*0.52</f>
        <v>298.48</v>
      </c>
      <c r="E154" s="192">
        <f t="shared" si="62"/>
        <v>298.48</v>
      </c>
      <c r="F154" s="192">
        <f t="shared" si="62"/>
        <v>298.48</v>
      </c>
      <c r="G154" s="192">
        <f t="shared" si="62"/>
        <v>298.48</v>
      </c>
      <c r="H154" s="192">
        <f t="shared" si="62"/>
        <v>298.48</v>
      </c>
      <c r="I154" s="192">
        <f t="shared" si="62"/>
        <v>298.48</v>
      </c>
      <c r="J154" s="192">
        <f t="shared" si="62"/>
        <v>298.48</v>
      </c>
      <c r="K154" s="192">
        <f t="shared" si="62"/>
        <v>298.48</v>
      </c>
      <c r="L154" s="192">
        <f t="shared" si="62"/>
        <v>298.48</v>
      </c>
      <c r="M154" s="192">
        <f t="shared" si="62"/>
        <v>298.48</v>
      </c>
      <c r="N154" s="192">
        <f t="shared" si="62"/>
        <v>299</v>
      </c>
      <c r="O154" s="183">
        <f t="shared" si="59"/>
        <v>3582.28</v>
      </c>
    </row>
    <row r="155" spans="1:15" x14ac:dyDescent="0.2">
      <c r="A155" s="181" t="s">
        <v>129</v>
      </c>
      <c r="B155" s="39" t="s">
        <v>114</v>
      </c>
      <c r="C155" s="192">
        <v>0</v>
      </c>
      <c r="D155" s="192">
        <v>0</v>
      </c>
      <c r="E155" s="192">
        <v>0</v>
      </c>
      <c r="F155" s="192">
        <v>0</v>
      </c>
      <c r="G155" s="192">
        <v>0</v>
      </c>
      <c r="H155" s="192">
        <v>0</v>
      </c>
      <c r="I155" s="192">
        <v>0</v>
      </c>
      <c r="J155" s="192">
        <v>0</v>
      </c>
      <c r="K155" s="192">
        <v>0</v>
      </c>
      <c r="L155" s="192">
        <v>0</v>
      </c>
      <c r="M155" s="192">
        <v>0</v>
      </c>
      <c r="N155" s="192">
        <v>0</v>
      </c>
      <c r="O155" s="183">
        <f t="shared" si="59"/>
        <v>0</v>
      </c>
    </row>
    <row r="156" spans="1:15" x14ac:dyDescent="0.2">
      <c r="A156" s="319" t="s">
        <v>130</v>
      </c>
      <c r="B156" s="193" t="s">
        <v>114</v>
      </c>
      <c r="C156" s="194">
        <f>C157*1.14924</f>
        <v>0</v>
      </c>
      <c r="D156" s="194">
        <f>D157*1.14924</f>
        <v>0</v>
      </c>
      <c r="E156" s="194">
        <f>E157*1.14924</f>
        <v>0</v>
      </c>
      <c r="F156" s="194">
        <f>F157*1.14924</f>
        <v>0</v>
      </c>
      <c r="G156" s="194">
        <f>G157*1.14924</f>
        <v>0</v>
      </c>
      <c r="H156" s="194">
        <f t="shared" ref="H156:N156" si="63">H157*1.14924</f>
        <v>0</v>
      </c>
      <c r="I156" s="194">
        <f t="shared" si="63"/>
        <v>0</v>
      </c>
      <c r="J156" s="194">
        <f t="shared" si="63"/>
        <v>0</v>
      </c>
      <c r="K156" s="194">
        <f t="shared" si="63"/>
        <v>0</v>
      </c>
      <c r="L156" s="194">
        <f t="shared" si="63"/>
        <v>0</v>
      </c>
      <c r="M156" s="194">
        <f t="shared" si="63"/>
        <v>0</v>
      </c>
      <c r="N156" s="194">
        <f t="shared" si="63"/>
        <v>0</v>
      </c>
      <c r="O156" s="195">
        <f t="shared" si="59"/>
        <v>0</v>
      </c>
    </row>
    <row r="157" spans="1:15" x14ac:dyDescent="0.2">
      <c r="A157" s="320"/>
      <c r="B157" s="193" t="s">
        <v>43</v>
      </c>
      <c r="C157" s="196"/>
      <c r="D157" s="197"/>
      <c r="E157" s="196"/>
      <c r="F157" s="196"/>
      <c r="G157" s="196"/>
      <c r="H157" s="198"/>
      <c r="I157" s="198"/>
      <c r="J157" s="198"/>
      <c r="K157" s="198"/>
      <c r="L157" s="198"/>
      <c r="M157" s="198"/>
      <c r="N157" s="198"/>
      <c r="O157" s="195">
        <f t="shared" si="59"/>
        <v>0</v>
      </c>
    </row>
    <row r="158" spans="1:15" x14ac:dyDescent="0.2">
      <c r="A158" s="153" t="s">
        <v>112</v>
      </c>
      <c r="B158" s="53" t="s">
        <v>43</v>
      </c>
      <c r="C158" s="51">
        <f>C159+C160</f>
        <v>0</v>
      </c>
      <c r="D158" s="51">
        <f t="shared" ref="D158:N158" si="64">D159+D160</f>
        <v>0</v>
      </c>
      <c r="E158" s="51">
        <f t="shared" si="64"/>
        <v>0</v>
      </c>
      <c r="F158" s="51">
        <f t="shared" si="64"/>
        <v>2</v>
      </c>
      <c r="G158" s="51">
        <f t="shared" si="64"/>
        <v>0</v>
      </c>
      <c r="H158" s="51">
        <f t="shared" si="64"/>
        <v>11</v>
      </c>
      <c r="I158" s="51">
        <f t="shared" si="64"/>
        <v>4</v>
      </c>
      <c r="J158" s="51">
        <f t="shared" si="64"/>
        <v>7</v>
      </c>
      <c r="K158" s="51">
        <f t="shared" si="64"/>
        <v>21</v>
      </c>
      <c r="L158" s="51">
        <f t="shared" si="64"/>
        <v>33</v>
      </c>
      <c r="M158" s="51">
        <f t="shared" si="64"/>
        <v>44</v>
      </c>
      <c r="N158" s="51">
        <f t="shared" si="64"/>
        <v>57</v>
      </c>
      <c r="O158" s="154">
        <f t="shared" si="59"/>
        <v>179</v>
      </c>
    </row>
    <row r="159" spans="1:15" x14ac:dyDescent="0.2">
      <c r="A159" s="155" t="s">
        <v>78</v>
      </c>
      <c r="B159" s="29" t="s">
        <v>113</v>
      </c>
      <c r="C159" s="39"/>
      <c r="D159" s="39"/>
      <c r="E159" s="39"/>
      <c r="F159" s="39">
        <v>1</v>
      </c>
      <c r="G159" s="39"/>
      <c r="H159" s="39">
        <v>5</v>
      </c>
      <c r="I159" s="39">
        <v>1</v>
      </c>
      <c r="J159" s="39"/>
      <c r="K159" s="39">
        <v>5</v>
      </c>
      <c r="L159" s="39">
        <v>9</v>
      </c>
      <c r="M159" s="39">
        <v>10</v>
      </c>
      <c r="N159" s="39">
        <v>8</v>
      </c>
      <c r="O159" s="199">
        <f t="shared" si="59"/>
        <v>39</v>
      </c>
    </row>
    <row r="160" spans="1:15" x14ac:dyDescent="0.2">
      <c r="A160" s="155" t="s">
        <v>79</v>
      </c>
      <c r="B160" s="29" t="s">
        <v>113</v>
      </c>
      <c r="C160" s="157"/>
      <c r="D160" s="156"/>
      <c r="E160" s="156"/>
      <c r="F160" s="156">
        <v>1</v>
      </c>
      <c r="G160" s="156"/>
      <c r="H160" s="39">
        <v>6</v>
      </c>
      <c r="I160" s="39">
        <v>3</v>
      </c>
      <c r="J160" s="39">
        <v>7</v>
      </c>
      <c r="K160" s="39">
        <v>16</v>
      </c>
      <c r="L160" s="39">
        <v>24</v>
      </c>
      <c r="M160" s="39">
        <v>34</v>
      </c>
      <c r="N160" s="39">
        <v>49</v>
      </c>
      <c r="O160" s="199">
        <f t="shared" si="59"/>
        <v>140</v>
      </c>
    </row>
    <row r="161" spans="1:18" ht="12" thickBot="1" x14ac:dyDescent="0.25">
      <c r="A161" s="158"/>
      <c r="B161" s="159" t="s">
        <v>114</v>
      </c>
      <c r="C161" s="224">
        <f>C158*14.15</f>
        <v>0</v>
      </c>
      <c r="D161" s="224">
        <f t="shared" ref="D161:M161" si="65">D158*14.15</f>
        <v>0</v>
      </c>
      <c r="E161" s="224">
        <f t="shared" si="65"/>
        <v>0</v>
      </c>
      <c r="F161" s="224">
        <f t="shared" si="65"/>
        <v>28.3</v>
      </c>
      <c r="G161" s="224">
        <f t="shared" si="65"/>
        <v>0</v>
      </c>
      <c r="H161" s="224">
        <f t="shared" si="65"/>
        <v>155.65</v>
      </c>
      <c r="I161" s="224">
        <f t="shared" si="65"/>
        <v>56.6</v>
      </c>
      <c r="J161" s="224">
        <f t="shared" si="65"/>
        <v>99.05</v>
      </c>
      <c r="K161" s="224">
        <f t="shared" si="65"/>
        <v>297.15000000000003</v>
      </c>
      <c r="L161" s="224">
        <f t="shared" si="65"/>
        <v>466.95</v>
      </c>
      <c r="M161" s="224">
        <f t="shared" si="65"/>
        <v>622.6</v>
      </c>
      <c r="N161" s="224">
        <f>N158*14.15</f>
        <v>806.55000000000007</v>
      </c>
      <c r="O161" s="160">
        <f t="shared" si="59"/>
        <v>2532.8500000000004</v>
      </c>
      <c r="P161" s="8">
        <f>O161/O158</f>
        <v>14.150000000000002</v>
      </c>
    </row>
    <row r="162" spans="1:18" ht="16.5" thickBot="1" x14ac:dyDescent="0.3">
      <c r="A162" s="67" t="s">
        <v>131</v>
      </c>
      <c r="B162" s="137"/>
      <c r="C162" s="137"/>
      <c r="D162" s="137"/>
      <c r="E162" s="173"/>
      <c r="F162" s="173"/>
      <c r="G162" s="173"/>
      <c r="H162" s="173"/>
      <c r="I162" s="173"/>
      <c r="J162" s="173"/>
      <c r="K162" s="137"/>
      <c r="L162" s="137"/>
      <c r="M162" s="137"/>
      <c r="N162" s="137"/>
      <c r="O162" s="200"/>
    </row>
    <row r="163" spans="1:18" x14ac:dyDescent="0.2">
      <c r="A163" s="201" t="s">
        <v>132</v>
      </c>
      <c r="B163" s="12" t="s">
        <v>114</v>
      </c>
      <c r="C163" s="177">
        <f>C189</f>
        <v>662.41163999999992</v>
      </c>
      <c r="D163" s="177">
        <f>C163+D145-D168</f>
        <v>621.5947799999999</v>
      </c>
      <c r="E163" s="177">
        <f t="shared" ref="E163:N163" si="66">D163+E145-E168</f>
        <v>630.38341999999989</v>
      </c>
      <c r="F163" s="177">
        <f t="shared" si="66"/>
        <v>530.98285999999985</v>
      </c>
      <c r="G163" s="177">
        <f t="shared" si="66"/>
        <v>416.03419999999983</v>
      </c>
      <c r="H163" s="177">
        <f t="shared" si="66"/>
        <v>386.61513999999988</v>
      </c>
      <c r="I163" s="177">
        <f t="shared" si="66"/>
        <v>372.79277999999977</v>
      </c>
      <c r="J163" s="177">
        <f t="shared" si="66"/>
        <v>452.63081999999986</v>
      </c>
      <c r="K163" s="177">
        <f t="shared" si="66"/>
        <v>649.41865999999982</v>
      </c>
      <c r="L163" s="177">
        <f t="shared" si="66"/>
        <v>988.63009999999986</v>
      </c>
      <c r="M163" s="177">
        <f t="shared" si="66"/>
        <v>1466.9595399999998</v>
      </c>
      <c r="N163" s="177">
        <f t="shared" si="66"/>
        <v>1988.2256899999998</v>
      </c>
      <c r="O163" s="178">
        <f>N163</f>
        <v>1988.2256899999998</v>
      </c>
    </row>
    <row r="164" spans="1:18" x14ac:dyDescent="0.2">
      <c r="A164" s="181" t="s">
        <v>133</v>
      </c>
      <c r="B164" s="39" t="s">
        <v>114</v>
      </c>
      <c r="C164" s="191"/>
      <c r="D164" s="202"/>
      <c r="E164" s="191"/>
      <c r="F164" s="191"/>
      <c r="G164" s="184"/>
      <c r="H164" s="192"/>
      <c r="I164" s="203"/>
      <c r="J164" s="203"/>
      <c r="K164" s="203"/>
      <c r="L164" s="203"/>
      <c r="M164" s="203"/>
      <c r="N164" s="203"/>
      <c r="O164" s="183">
        <f>N164</f>
        <v>0</v>
      </c>
    </row>
    <row r="165" spans="1:18" x14ac:dyDescent="0.2">
      <c r="A165" s="204" t="s">
        <v>66</v>
      </c>
      <c r="B165" s="129" t="s">
        <v>114</v>
      </c>
      <c r="C165" s="191"/>
      <c r="D165" s="205"/>
      <c r="E165" s="206"/>
      <c r="F165" s="206"/>
      <c r="G165" s="207"/>
      <c r="H165" s="208"/>
      <c r="I165" s="208"/>
      <c r="J165" s="209"/>
      <c r="K165" s="209"/>
      <c r="L165" s="209"/>
      <c r="M165" s="209"/>
      <c r="N165" s="209"/>
      <c r="O165" s="183">
        <f>N165</f>
        <v>0</v>
      </c>
    </row>
    <row r="166" spans="1:18" ht="12" thickBot="1" x14ac:dyDescent="0.25">
      <c r="A166" s="181" t="s">
        <v>63</v>
      </c>
      <c r="B166" s="39" t="s">
        <v>114</v>
      </c>
      <c r="C166" s="191"/>
      <c r="D166" s="191"/>
      <c r="E166" s="191"/>
      <c r="F166" s="191"/>
      <c r="G166" s="191"/>
      <c r="H166" s="192"/>
      <c r="I166" s="192"/>
      <c r="J166" s="192"/>
      <c r="K166" s="192"/>
      <c r="L166" s="192"/>
      <c r="M166" s="192"/>
      <c r="N166" s="192"/>
      <c r="O166" s="183">
        <f>N166</f>
        <v>0</v>
      </c>
    </row>
    <row r="167" spans="1:18" ht="16.5" thickBot="1" x14ac:dyDescent="0.3">
      <c r="A167" s="67" t="s">
        <v>134</v>
      </c>
      <c r="B167" s="137"/>
      <c r="C167" s="137"/>
      <c r="D167" s="137"/>
      <c r="E167" s="137"/>
      <c r="F167" s="137"/>
      <c r="G167" s="210"/>
      <c r="H167" s="137"/>
      <c r="I167" s="137"/>
      <c r="J167" s="137"/>
      <c r="K167" s="137"/>
      <c r="L167" s="137"/>
      <c r="M167" s="137"/>
      <c r="N167" s="137"/>
      <c r="O167" s="200"/>
    </row>
    <row r="168" spans="1:18" x14ac:dyDescent="0.2">
      <c r="A168" s="211" t="s">
        <v>132</v>
      </c>
      <c r="B168" s="12" t="s">
        <v>114</v>
      </c>
      <c r="C168" s="177">
        <f>C200</f>
        <v>835</v>
      </c>
      <c r="D168" s="177">
        <f t="shared" ref="D168:N168" si="67">D200</f>
        <v>835</v>
      </c>
      <c r="E168" s="177">
        <f t="shared" si="67"/>
        <v>835</v>
      </c>
      <c r="F168" s="177">
        <f t="shared" si="67"/>
        <v>945</v>
      </c>
      <c r="G168" s="177">
        <f t="shared" si="67"/>
        <v>945</v>
      </c>
      <c r="H168" s="177">
        <f t="shared" si="67"/>
        <v>1000</v>
      </c>
      <c r="I168" s="177">
        <f t="shared" si="67"/>
        <v>900</v>
      </c>
      <c r="J168" s="177">
        <f t="shared" si="67"/>
        <v>845</v>
      </c>
      <c r="K168" s="177">
        <f t="shared" si="67"/>
        <v>895</v>
      </c>
      <c r="L168" s="177">
        <f t="shared" si="67"/>
        <v>945</v>
      </c>
      <c r="M168" s="177">
        <f t="shared" si="67"/>
        <v>945</v>
      </c>
      <c r="N168" s="177">
        <f t="shared" si="67"/>
        <v>1090.77</v>
      </c>
      <c r="O168" s="178">
        <f>C168+D168+E168+F168+G168+H168+I168+J168+K168+L168+M168+N168</f>
        <v>11015.77</v>
      </c>
    </row>
    <row r="169" spans="1:18" x14ac:dyDescent="0.2">
      <c r="A169" s="181" t="s">
        <v>135</v>
      </c>
      <c r="B169" s="39" t="s">
        <v>114</v>
      </c>
      <c r="C169" s="191"/>
      <c r="D169" s="191"/>
      <c r="E169" s="191"/>
      <c r="F169" s="191"/>
      <c r="G169" s="191"/>
      <c r="H169" s="192"/>
      <c r="I169" s="192"/>
      <c r="J169" s="192"/>
      <c r="K169" s="192"/>
      <c r="L169" s="192"/>
      <c r="M169" s="192"/>
      <c r="N169" s="192"/>
      <c r="O169" s="183">
        <f>C169+D169+E169+F169+G169+H169+I169+J169+K169+L169+M169+N169</f>
        <v>0</v>
      </c>
    </row>
    <row r="170" spans="1:18" x14ac:dyDescent="0.2">
      <c r="A170" s="212" t="s">
        <v>136</v>
      </c>
      <c r="B170" s="39" t="s">
        <v>114</v>
      </c>
      <c r="C170" s="213"/>
      <c r="D170" s="214"/>
      <c r="E170" s="214"/>
      <c r="F170" s="214"/>
      <c r="G170" s="214"/>
      <c r="H170" s="213"/>
      <c r="I170" s="213"/>
      <c r="J170" s="213"/>
      <c r="K170" s="213"/>
      <c r="L170" s="213"/>
      <c r="M170" s="213"/>
      <c r="N170" s="213"/>
      <c r="O170" s="183">
        <f>C170+D170+E170+F170+G170+H170+I170+J170+K170+L170+M170+N170</f>
        <v>0</v>
      </c>
    </row>
    <row r="171" spans="1:18" x14ac:dyDescent="0.2">
      <c r="A171" s="215" t="s">
        <v>137</v>
      </c>
      <c r="B171" s="129" t="s">
        <v>43</v>
      </c>
      <c r="C171" s="31"/>
      <c r="D171" s="31"/>
      <c r="E171" s="31"/>
      <c r="F171" s="31"/>
      <c r="G171" s="216"/>
      <c r="H171" s="31"/>
      <c r="I171" s="31"/>
      <c r="J171" s="31"/>
      <c r="K171" s="31"/>
      <c r="L171" s="31"/>
      <c r="M171" s="31"/>
      <c r="N171" s="31"/>
      <c r="O171" s="30">
        <f>C171+D171+E171+F171+G171+H171+I171+J171+K171+L171+M171+N171</f>
        <v>0</v>
      </c>
    </row>
    <row r="172" spans="1:18" ht="12" thickBot="1" x14ac:dyDescent="0.25">
      <c r="A172" s="217" t="s">
        <v>138</v>
      </c>
      <c r="B172" s="129" t="s">
        <v>43</v>
      </c>
      <c r="C172" s="218"/>
      <c r="D172" s="219"/>
      <c r="E172" s="218"/>
      <c r="F172" s="218"/>
      <c r="G172" s="220"/>
      <c r="H172" s="218"/>
      <c r="I172" s="221"/>
      <c r="J172" s="218"/>
      <c r="K172" s="218"/>
      <c r="L172" s="218"/>
      <c r="M172" s="218">
        <v>2</v>
      </c>
      <c r="N172" s="220"/>
      <c r="O172" s="222">
        <f>C172+D172+E172+F172+G172+H172+I172+J172+K172+L172+M172+N172</f>
        <v>2</v>
      </c>
    </row>
    <row r="173" spans="1:18" ht="16.5" thickBot="1" x14ac:dyDescent="0.3">
      <c r="A173" s="226" t="s">
        <v>139</v>
      </c>
      <c r="B173" s="227"/>
      <c r="C173" s="227"/>
      <c r="D173" s="228"/>
      <c r="E173" s="228"/>
      <c r="F173" s="228"/>
      <c r="G173" s="229"/>
      <c r="H173" s="228"/>
      <c r="I173" s="228"/>
      <c r="J173" s="228"/>
      <c r="K173" s="228"/>
      <c r="L173" s="228"/>
      <c r="M173" s="228"/>
      <c r="N173" s="229"/>
      <c r="O173" s="230"/>
    </row>
    <row r="174" spans="1:18" x14ac:dyDescent="0.2">
      <c r="A174" s="225" t="s">
        <v>159</v>
      </c>
      <c r="B174" s="144" t="s">
        <v>140</v>
      </c>
      <c r="C174" s="251">
        <v>29390.342400000005</v>
      </c>
      <c r="D174" s="251">
        <v>30759.6096</v>
      </c>
      <c r="E174" s="251">
        <v>29243.635200000004</v>
      </c>
      <c r="F174" s="251">
        <v>21370.348800000003</v>
      </c>
      <c r="G174" s="251">
        <v>21810.470400000002</v>
      </c>
      <c r="H174" s="251">
        <v>21125.836800000001</v>
      </c>
      <c r="I174" s="251">
        <v>20881.324800000002</v>
      </c>
      <c r="J174" s="251">
        <v>20441.203200000004</v>
      </c>
      <c r="K174" s="251">
        <v>18338.400000000001</v>
      </c>
      <c r="L174" s="251">
        <v>18778.5216</v>
      </c>
      <c r="M174" s="251">
        <v>17409.254400000002</v>
      </c>
      <c r="N174" s="251">
        <v>17849.376</v>
      </c>
      <c r="O174" s="233">
        <f>SUM(C174:N174)</f>
        <v>267398.32320000004</v>
      </c>
    </row>
    <row r="175" spans="1:18" x14ac:dyDescent="0.2">
      <c r="A175" s="84" t="s">
        <v>141</v>
      </c>
      <c r="B175" s="28" t="s">
        <v>140</v>
      </c>
      <c r="C175" s="192">
        <v>7619.0868000000009</v>
      </c>
      <c r="D175" s="192">
        <v>7619.0868000000009</v>
      </c>
      <c r="E175" s="192">
        <v>7619.0868000000009</v>
      </c>
      <c r="F175" s="192">
        <v>7619.0868000000009</v>
      </c>
      <c r="G175" s="192">
        <v>7619.0868000000009</v>
      </c>
      <c r="H175" s="192">
        <v>7619.0868000000009</v>
      </c>
      <c r="I175" s="192">
        <v>7619.0868000000009</v>
      </c>
      <c r="J175" s="192">
        <v>7619.0868000000009</v>
      </c>
      <c r="K175" s="192">
        <v>7619.0868000000009</v>
      </c>
      <c r="L175" s="192">
        <v>7619.0868000000009</v>
      </c>
      <c r="M175" s="192">
        <v>7619.0868000000009</v>
      </c>
      <c r="N175" s="192">
        <v>7619.0868000000009</v>
      </c>
      <c r="O175" s="233">
        <f>SUM(C175:N175)</f>
        <v>91429.04160000004</v>
      </c>
      <c r="R175" s="8" t="s">
        <v>160</v>
      </c>
    </row>
    <row r="176" spans="1:18" x14ac:dyDescent="0.2">
      <c r="A176" s="84" t="s">
        <v>142</v>
      </c>
      <c r="B176" s="28" t="s">
        <v>140</v>
      </c>
      <c r="C176" s="192">
        <v>1611.3600000000001</v>
      </c>
      <c r="D176" s="192">
        <v>1611.3600000000001</v>
      </c>
      <c r="E176" s="192">
        <v>1611.3600000000001</v>
      </c>
      <c r="F176" s="192">
        <v>1611.3600000000001</v>
      </c>
      <c r="G176" s="192">
        <v>1611.3600000000001</v>
      </c>
      <c r="H176" s="192">
        <v>1611.3600000000001</v>
      </c>
      <c r="I176" s="192">
        <v>1611.3600000000001</v>
      </c>
      <c r="J176" s="192">
        <v>1611.3600000000001</v>
      </c>
      <c r="K176" s="192">
        <v>1611.3600000000001</v>
      </c>
      <c r="L176" s="192">
        <v>1611.3600000000001</v>
      </c>
      <c r="M176" s="192">
        <v>1611.3600000000001</v>
      </c>
      <c r="N176" s="192">
        <v>1611.3600000000001</v>
      </c>
      <c r="O176" s="233">
        <f>SUM(C176:N176)</f>
        <v>19336.320000000003</v>
      </c>
      <c r="R176" s="8" t="s">
        <v>161</v>
      </c>
    </row>
    <row r="177" spans="1:28" ht="12" thickBot="1" x14ac:dyDescent="0.25">
      <c r="A177" s="223" t="s">
        <v>118</v>
      </c>
      <c r="B177" s="60" t="s">
        <v>140</v>
      </c>
      <c r="C177" s="231">
        <v>2715.0250126829274</v>
      </c>
      <c r="D177" s="231">
        <v>2530.87084097561</v>
      </c>
      <c r="E177" s="231">
        <v>2715.0250126829274</v>
      </c>
      <c r="F177" s="231">
        <v>2581.4063326829273</v>
      </c>
      <c r="G177" s="231">
        <v>2622.372049756098</v>
      </c>
      <c r="H177" s="231">
        <v>2565.4316839024391</v>
      </c>
      <c r="I177" s="231">
        <v>2561.6683843902442</v>
      </c>
      <c r="J177" s="231">
        <v>2532.914016585366</v>
      </c>
      <c r="K177" s="231">
        <v>2555.8468946341468</v>
      </c>
      <c r="L177" s="231">
        <v>2830.9604048780488</v>
      </c>
      <c r="M177" s="231">
        <v>2729.2910224390248</v>
      </c>
      <c r="N177" s="231">
        <v>2770.2567395121955</v>
      </c>
      <c r="O177" s="232">
        <f>SUM(C177:N177)</f>
        <v>31711.068395121954</v>
      </c>
    </row>
    <row r="178" spans="1:28" x14ac:dyDescent="0.2">
      <c r="R178" s="321" t="s">
        <v>163</v>
      </c>
      <c r="S178" s="321"/>
      <c r="T178" s="321"/>
      <c r="U178" s="321"/>
      <c r="V178" s="321"/>
      <c r="W178" s="321"/>
      <c r="X178" s="321"/>
      <c r="Y178" s="321"/>
      <c r="Z178" s="321"/>
      <c r="AA178" s="321"/>
      <c r="AB178" s="321"/>
    </row>
    <row r="179" spans="1:28" x14ac:dyDescent="0.2">
      <c r="C179" s="237">
        <f>C174+C177</f>
        <v>32105.367412682932</v>
      </c>
      <c r="D179" s="237">
        <f t="shared" ref="D179:O179" si="68">D174+D177</f>
        <v>33290.480440975611</v>
      </c>
      <c r="E179" s="237">
        <f t="shared" si="68"/>
        <v>31958.660212682931</v>
      </c>
      <c r="F179" s="237">
        <f t="shared" si="68"/>
        <v>23951.755132682931</v>
      </c>
      <c r="G179" s="237">
        <f t="shared" si="68"/>
        <v>24432.842449756099</v>
      </c>
      <c r="H179" s="237">
        <f t="shared" si="68"/>
        <v>23691.26848390244</v>
      </c>
      <c r="I179" s="237">
        <f t="shared" si="68"/>
        <v>23442.993184390245</v>
      </c>
      <c r="J179" s="237">
        <f t="shared" si="68"/>
        <v>22974.117216585371</v>
      </c>
      <c r="K179" s="237">
        <f t="shared" si="68"/>
        <v>20894.246894634147</v>
      </c>
      <c r="L179" s="237">
        <f t="shared" si="68"/>
        <v>21609.482004878049</v>
      </c>
      <c r="M179" s="237">
        <f t="shared" si="68"/>
        <v>20138.545422439027</v>
      </c>
      <c r="N179" s="237">
        <f t="shared" si="68"/>
        <v>20619.632739512195</v>
      </c>
      <c r="O179" s="237">
        <f t="shared" si="68"/>
        <v>299109.391595122</v>
      </c>
    </row>
    <row r="182" spans="1:28" x14ac:dyDescent="0.2">
      <c r="A182" s="238" t="s">
        <v>148</v>
      </c>
      <c r="B182" s="162" t="s">
        <v>6</v>
      </c>
      <c r="C182" s="239">
        <f t="shared" ref="C182:N183" si="69">C159*(23.7-8.027)</f>
        <v>0</v>
      </c>
      <c r="D182" s="239">
        <f t="shared" si="69"/>
        <v>0</v>
      </c>
      <c r="E182" s="239">
        <f t="shared" si="69"/>
        <v>0</v>
      </c>
      <c r="F182" s="239">
        <f t="shared" si="69"/>
        <v>15.673</v>
      </c>
      <c r="G182" s="239">
        <f t="shared" si="69"/>
        <v>0</v>
      </c>
      <c r="H182" s="239">
        <f t="shared" si="69"/>
        <v>78.364999999999995</v>
      </c>
      <c r="I182" s="239">
        <f t="shared" si="69"/>
        <v>15.673</v>
      </c>
      <c r="J182" s="239">
        <f t="shared" si="69"/>
        <v>0</v>
      </c>
      <c r="K182" s="239">
        <f t="shared" si="69"/>
        <v>78.364999999999995</v>
      </c>
      <c r="L182" s="239">
        <f t="shared" si="69"/>
        <v>141.05699999999999</v>
      </c>
      <c r="M182" s="239">
        <f t="shared" si="69"/>
        <v>156.72999999999999</v>
      </c>
      <c r="N182" s="239">
        <f t="shared" si="69"/>
        <v>125.384</v>
      </c>
      <c r="O182" s="240">
        <f>O159*23.7</f>
        <v>924.3</v>
      </c>
    </row>
    <row r="183" spans="1:28" x14ac:dyDescent="0.2">
      <c r="A183" s="238"/>
      <c r="B183" s="162" t="s">
        <v>7</v>
      </c>
      <c r="C183" s="239">
        <f t="shared" si="69"/>
        <v>0</v>
      </c>
      <c r="D183" s="239">
        <f t="shared" si="69"/>
        <v>0</v>
      </c>
      <c r="E183" s="239">
        <f t="shared" si="69"/>
        <v>0</v>
      </c>
      <c r="F183" s="239">
        <f t="shared" si="69"/>
        <v>15.673</v>
      </c>
      <c r="G183" s="239">
        <f t="shared" si="69"/>
        <v>0</v>
      </c>
      <c r="H183" s="239">
        <f t="shared" si="69"/>
        <v>94.037999999999997</v>
      </c>
      <c r="I183" s="239">
        <f t="shared" si="69"/>
        <v>47.018999999999998</v>
      </c>
      <c r="J183" s="239">
        <f t="shared" si="69"/>
        <v>109.711</v>
      </c>
      <c r="K183" s="239">
        <f t="shared" si="69"/>
        <v>250.768</v>
      </c>
      <c r="L183" s="239">
        <f t="shared" si="69"/>
        <v>376.15199999999999</v>
      </c>
      <c r="M183" s="239">
        <f t="shared" si="69"/>
        <v>532.88199999999995</v>
      </c>
      <c r="N183" s="239">
        <f t="shared" si="69"/>
        <v>767.97699999999998</v>
      </c>
      <c r="O183" s="240">
        <f>O160*23.7</f>
        <v>3318</v>
      </c>
    </row>
    <row r="184" spans="1:28" x14ac:dyDescent="0.2">
      <c r="A184" s="238"/>
    </row>
    <row r="185" spans="1:28" x14ac:dyDescent="0.2">
      <c r="A185" s="238" t="s">
        <v>149</v>
      </c>
      <c r="B185" s="162" t="s">
        <v>6</v>
      </c>
      <c r="C185" s="241">
        <f>C147+(C159*14.15)</f>
        <v>380.62420000000003</v>
      </c>
      <c r="D185" s="241">
        <f t="shared" ref="D185:N185" si="70">D147+(D159*14.15)</f>
        <v>343.78959999999995</v>
      </c>
      <c r="E185" s="241">
        <f t="shared" si="70"/>
        <v>380.62420000000003</v>
      </c>
      <c r="F185" s="241">
        <f t="shared" si="70"/>
        <v>371.60089999999997</v>
      </c>
      <c r="G185" s="241">
        <f t="shared" si="70"/>
        <v>366.88690000000003</v>
      </c>
      <c r="H185" s="241">
        <f t="shared" si="70"/>
        <v>425.83240000000001</v>
      </c>
      <c r="I185" s="241">
        <f t="shared" si="70"/>
        <v>381.0369</v>
      </c>
      <c r="J185" s="241">
        <f t="shared" si="70"/>
        <v>363.09730000000002</v>
      </c>
      <c r="K185" s="241">
        <f t="shared" si="70"/>
        <v>405.53929999999997</v>
      </c>
      <c r="L185" s="241">
        <f t="shared" si="70"/>
        <v>481.92070000000007</v>
      </c>
      <c r="M185" s="241">
        <f t="shared" si="70"/>
        <v>484.26619999999997</v>
      </c>
      <c r="N185" s="241">
        <f t="shared" si="70"/>
        <v>455.4545</v>
      </c>
      <c r="O185" s="242">
        <f>SUM(C185:N185)</f>
        <v>4840.6730999999991</v>
      </c>
    </row>
    <row r="186" spans="1:28" x14ac:dyDescent="0.2">
      <c r="A186" s="238"/>
      <c r="B186" s="162" t="s">
        <v>7</v>
      </c>
      <c r="C186" s="241">
        <f>C148+C156+(C160*14.15)</f>
        <v>152.68209999999999</v>
      </c>
      <c r="D186" s="241">
        <f t="shared" ref="D186:N186" si="71">D148+D156+(D160*14.15)</f>
        <v>139.91120000000001</v>
      </c>
      <c r="E186" s="241">
        <f t="shared" si="71"/>
        <v>152.68209999999999</v>
      </c>
      <c r="F186" s="241">
        <f t="shared" si="71"/>
        <v>163.5162</v>
      </c>
      <c r="G186" s="241">
        <f t="shared" si="71"/>
        <v>152.68209999999999</v>
      </c>
      <c r="H186" s="241">
        <f t="shared" si="71"/>
        <v>234.2662</v>
      </c>
      <c r="I186" s="241">
        <f t="shared" si="71"/>
        <v>194.65839999999997</v>
      </c>
      <c r="J186" s="241">
        <f t="shared" si="71"/>
        <v>251.25839999999999</v>
      </c>
      <c r="K186" s="241">
        <f t="shared" si="71"/>
        <v>375.76620000000003</v>
      </c>
      <c r="L186" s="241">
        <f t="shared" si="71"/>
        <v>491.80840000000001</v>
      </c>
      <c r="M186" s="241">
        <f t="shared" si="71"/>
        <v>628.58090000000004</v>
      </c>
      <c r="N186" s="241">
        <f t="shared" si="71"/>
        <v>845.55840000000001</v>
      </c>
      <c r="O186" s="242">
        <f t="shared" ref="O186:O187" si="72">SUM(C186:N186)</f>
        <v>3783.3705999999997</v>
      </c>
      <c r="Q186" s="8" t="s">
        <v>155</v>
      </c>
    </row>
    <row r="187" spans="1:28" x14ac:dyDescent="0.2">
      <c r="A187" s="238"/>
      <c r="B187" s="162" t="s">
        <v>1</v>
      </c>
      <c r="C187" s="241">
        <f>C151</f>
        <v>310.48234000000002</v>
      </c>
      <c r="D187" s="241">
        <f t="shared" ref="D187:N187" si="73">D151</f>
        <v>310.48234000000002</v>
      </c>
      <c r="E187" s="241">
        <f t="shared" si="73"/>
        <v>310.48234000000002</v>
      </c>
      <c r="F187" s="241">
        <f t="shared" si="73"/>
        <v>310.48234000000002</v>
      </c>
      <c r="G187" s="241">
        <f t="shared" si="73"/>
        <v>310.48234000000002</v>
      </c>
      <c r="H187" s="241">
        <f t="shared" si="73"/>
        <v>310.48234000000002</v>
      </c>
      <c r="I187" s="241">
        <f t="shared" si="73"/>
        <v>310.48234000000002</v>
      </c>
      <c r="J187" s="241">
        <f t="shared" si="73"/>
        <v>310.48234000000002</v>
      </c>
      <c r="K187" s="241">
        <f t="shared" si="73"/>
        <v>310.48234000000002</v>
      </c>
      <c r="L187" s="241">
        <f t="shared" si="73"/>
        <v>310.48234000000002</v>
      </c>
      <c r="M187" s="241">
        <f t="shared" si="73"/>
        <v>310.48234000000002</v>
      </c>
      <c r="N187" s="241">
        <f t="shared" si="73"/>
        <v>311.02325000000002</v>
      </c>
      <c r="O187" s="242">
        <f t="shared" si="72"/>
        <v>3726.3289900000004</v>
      </c>
    </row>
    <row r="188" spans="1:28" x14ac:dyDescent="0.2">
      <c r="A188" s="238"/>
      <c r="B188" s="162" t="s">
        <v>150</v>
      </c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2"/>
      <c r="Q188" s="8" t="s">
        <v>156</v>
      </c>
    </row>
    <row r="189" spans="1:28" x14ac:dyDescent="0.2">
      <c r="A189" s="238"/>
      <c r="C189" s="249">
        <f>SUM(C190:C192)</f>
        <v>662.41163999999992</v>
      </c>
      <c r="D189" s="249">
        <f t="shared" ref="D189:N189" si="74">SUM(D190:D192)</f>
        <v>621.5947799999999</v>
      </c>
      <c r="E189" s="249">
        <f t="shared" si="74"/>
        <v>630.38342</v>
      </c>
      <c r="F189" s="249">
        <f t="shared" si="74"/>
        <v>530.98285999999996</v>
      </c>
      <c r="G189" s="249">
        <f t="shared" si="74"/>
        <v>416.0342</v>
      </c>
      <c r="H189" s="249">
        <f t="shared" si="74"/>
        <v>386.61514000000005</v>
      </c>
      <c r="I189" s="249">
        <f t="shared" si="74"/>
        <v>372.79278000000005</v>
      </c>
      <c r="J189" s="249">
        <f t="shared" si="74"/>
        <v>452.63082000000009</v>
      </c>
      <c r="K189" s="249">
        <f t="shared" si="74"/>
        <v>649.41866000000005</v>
      </c>
      <c r="L189" s="249">
        <f t="shared" si="74"/>
        <v>988.6301000000002</v>
      </c>
      <c r="M189" s="249">
        <f t="shared" si="74"/>
        <v>1466.9595400000001</v>
      </c>
      <c r="N189" s="249">
        <f t="shared" si="74"/>
        <v>1988.22569</v>
      </c>
    </row>
    <row r="190" spans="1:28" x14ac:dyDescent="0.2">
      <c r="A190" s="238" t="s">
        <v>0</v>
      </c>
      <c r="B190" s="162" t="s">
        <v>6</v>
      </c>
      <c r="C190" s="241">
        <f>B203+C185-C196</f>
        <v>366.26019999999994</v>
      </c>
      <c r="D190" s="241">
        <f>C190+D185-D196</f>
        <v>260.04979999999989</v>
      </c>
      <c r="E190" s="241">
        <f t="shared" ref="E190:N190" si="75">D190+E185-E196</f>
        <v>190.67399999999998</v>
      </c>
      <c r="F190" s="241">
        <f t="shared" si="75"/>
        <v>112.27489999999989</v>
      </c>
      <c r="G190" s="241">
        <f t="shared" si="75"/>
        <v>29.161799999999914</v>
      </c>
      <c r="H190" s="241">
        <f t="shared" si="75"/>
        <v>4.9941999999999211</v>
      </c>
      <c r="I190" s="241">
        <f t="shared" si="75"/>
        <v>36.031099999999924</v>
      </c>
      <c r="J190" s="241">
        <f t="shared" si="75"/>
        <v>49.128399999999942</v>
      </c>
      <c r="K190" s="241">
        <f t="shared" si="75"/>
        <v>54.667699999999911</v>
      </c>
      <c r="L190" s="241">
        <f t="shared" si="75"/>
        <v>86.588399999999979</v>
      </c>
      <c r="M190" s="241">
        <f t="shared" si="75"/>
        <v>120.85459999999989</v>
      </c>
      <c r="N190" s="241">
        <f t="shared" si="75"/>
        <v>126.30909999999994</v>
      </c>
    </row>
    <row r="191" spans="1:28" x14ac:dyDescent="0.2">
      <c r="A191" s="162"/>
      <c r="B191" s="162" t="s">
        <v>7</v>
      </c>
      <c r="C191" s="241">
        <f t="shared" ref="C191" si="76">B204+C186-C197</f>
        <v>205.66909999999996</v>
      </c>
      <c r="D191" s="241">
        <f t="shared" ref="D191:N192" si="77">C191+D186-D197</f>
        <v>180.58029999999997</v>
      </c>
      <c r="E191" s="241">
        <f t="shared" si="77"/>
        <v>168.26239999999996</v>
      </c>
      <c r="F191" s="241">
        <f t="shared" si="77"/>
        <v>166.77859999999998</v>
      </c>
      <c r="G191" s="241">
        <f t="shared" si="77"/>
        <v>154.46069999999997</v>
      </c>
      <c r="H191" s="241">
        <f t="shared" si="77"/>
        <v>168.7269</v>
      </c>
      <c r="I191" s="241">
        <f t="shared" si="77"/>
        <v>143.38529999999997</v>
      </c>
      <c r="J191" s="241">
        <f t="shared" si="77"/>
        <v>174.64369999999997</v>
      </c>
      <c r="K191" s="241">
        <f t="shared" si="77"/>
        <v>330.40989999999999</v>
      </c>
      <c r="L191" s="241">
        <f t="shared" si="77"/>
        <v>602.2183</v>
      </c>
      <c r="M191" s="241">
        <f t="shared" si="77"/>
        <v>1010.7991999999999</v>
      </c>
      <c r="N191" s="241">
        <f t="shared" si="77"/>
        <v>1636.3575999999998</v>
      </c>
    </row>
    <row r="192" spans="1:28" x14ac:dyDescent="0.2">
      <c r="A192" s="162"/>
      <c r="B192" s="162" t="s">
        <v>1</v>
      </c>
      <c r="C192" s="241">
        <f>B205+C187-C198</f>
        <v>90.482340000000022</v>
      </c>
      <c r="D192" s="241">
        <f t="shared" si="77"/>
        <v>180.96468000000004</v>
      </c>
      <c r="E192" s="241">
        <f t="shared" si="77"/>
        <v>271.44702000000007</v>
      </c>
      <c r="F192" s="241">
        <f t="shared" si="77"/>
        <v>251.92936000000009</v>
      </c>
      <c r="G192" s="241">
        <f t="shared" si="77"/>
        <v>232.41170000000011</v>
      </c>
      <c r="H192" s="241">
        <f t="shared" si="77"/>
        <v>212.89404000000013</v>
      </c>
      <c r="I192" s="241">
        <f t="shared" si="77"/>
        <v>193.37638000000015</v>
      </c>
      <c r="J192" s="241">
        <f t="shared" si="77"/>
        <v>228.85872000000018</v>
      </c>
      <c r="K192" s="241">
        <f t="shared" si="77"/>
        <v>264.3410600000002</v>
      </c>
      <c r="L192" s="241">
        <f t="shared" si="77"/>
        <v>299.82340000000022</v>
      </c>
      <c r="M192" s="241">
        <f t="shared" si="77"/>
        <v>335.30574000000024</v>
      </c>
      <c r="N192" s="241">
        <f t="shared" si="77"/>
        <v>225.55899000000022</v>
      </c>
      <c r="R192" s="8" t="s">
        <v>164</v>
      </c>
    </row>
    <row r="193" spans="1:15" x14ac:dyDescent="0.2">
      <c r="A193" s="162"/>
      <c r="B193" s="162" t="s">
        <v>151</v>
      </c>
      <c r="C193" s="241"/>
      <c r="D193" s="241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</row>
    <row r="194" spans="1:15" x14ac:dyDescent="0.2">
      <c r="B194" s="162" t="s">
        <v>152</v>
      </c>
    </row>
    <row r="195" spans="1:15" x14ac:dyDescent="0.2">
      <c r="C195" s="162" t="s">
        <v>21</v>
      </c>
      <c r="D195" s="162" t="s">
        <v>115</v>
      </c>
      <c r="E195" s="162" t="s">
        <v>116</v>
      </c>
      <c r="F195" s="162" t="s">
        <v>24</v>
      </c>
      <c r="G195" s="162" t="s">
        <v>25</v>
      </c>
      <c r="H195" s="162" t="s">
        <v>13</v>
      </c>
      <c r="I195" s="162" t="s">
        <v>14</v>
      </c>
      <c r="J195" s="162" t="s">
        <v>15</v>
      </c>
      <c r="K195" s="162" t="s">
        <v>16</v>
      </c>
      <c r="L195" s="162" t="s">
        <v>17</v>
      </c>
      <c r="M195" s="162" t="s">
        <v>18</v>
      </c>
      <c r="N195" s="162" t="s">
        <v>19</v>
      </c>
      <c r="O195" s="163" t="s">
        <v>153</v>
      </c>
    </row>
    <row r="196" spans="1:15" x14ac:dyDescent="0.2">
      <c r="B196" s="28" t="s">
        <v>6</v>
      </c>
      <c r="C196" s="28">
        <v>450</v>
      </c>
      <c r="D196" s="28">
        <v>450</v>
      </c>
      <c r="E196" s="28">
        <v>450</v>
      </c>
      <c r="F196" s="28">
        <v>450</v>
      </c>
      <c r="G196" s="28">
        <v>450</v>
      </c>
      <c r="H196" s="85">
        <v>450</v>
      </c>
      <c r="I196" s="85">
        <v>350</v>
      </c>
      <c r="J196" s="85">
        <v>350</v>
      </c>
      <c r="K196" s="85">
        <v>400</v>
      </c>
      <c r="L196" s="85">
        <v>450</v>
      </c>
      <c r="M196" s="85">
        <v>450</v>
      </c>
      <c r="N196" s="85">
        <v>450</v>
      </c>
      <c r="O196" s="243">
        <f>SUM(C196:N196)</f>
        <v>5150</v>
      </c>
    </row>
    <row r="197" spans="1:15" x14ac:dyDescent="0.2">
      <c r="B197" s="28" t="s">
        <v>7</v>
      </c>
      <c r="C197" s="28">
        <f>3*55</f>
        <v>165</v>
      </c>
      <c r="D197" s="28">
        <f t="shared" ref="D197:G197" si="78">3*55</f>
        <v>165</v>
      </c>
      <c r="E197" s="28">
        <f t="shared" si="78"/>
        <v>165</v>
      </c>
      <c r="F197" s="28">
        <f t="shared" si="78"/>
        <v>165</v>
      </c>
      <c r="G197" s="28">
        <f t="shared" si="78"/>
        <v>165</v>
      </c>
      <c r="H197" s="28">
        <f t="shared" ref="H197:N197" si="79">4*55</f>
        <v>220</v>
      </c>
      <c r="I197" s="28">
        <f t="shared" si="79"/>
        <v>220</v>
      </c>
      <c r="J197" s="28">
        <f t="shared" si="79"/>
        <v>220</v>
      </c>
      <c r="K197" s="28">
        <f t="shared" si="79"/>
        <v>220</v>
      </c>
      <c r="L197" s="28">
        <f t="shared" si="79"/>
        <v>220</v>
      </c>
      <c r="M197" s="28">
        <f t="shared" si="79"/>
        <v>220</v>
      </c>
      <c r="N197" s="28">
        <f t="shared" si="79"/>
        <v>220</v>
      </c>
      <c r="O197" s="243">
        <f>SUM(C197:N197)</f>
        <v>2365</v>
      </c>
    </row>
    <row r="198" spans="1:15" x14ac:dyDescent="0.2">
      <c r="B198" s="28" t="s">
        <v>1</v>
      </c>
      <c r="C198" s="192">
        <f>4*55</f>
        <v>220</v>
      </c>
      <c r="D198" s="192">
        <f t="shared" ref="D198:E198" si="80">4*55</f>
        <v>220</v>
      </c>
      <c r="E198" s="192">
        <f t="shared" si="80"/>
        <v>220</v>
      </c>
      <c r="F198" s="192">
        <f>6*55</f>
        <v>330</v>
      </c>
      <c r="G198" s="192">
        <f t="shared" ref="G198:I198" si="81">6*55</f>
        <v>330</v>
      </c>
      <c r="H198" s="192">
        <f t="shared" si="81"/>
        <v>330</v>
      </c>
      <c r="I198" s="192">
        <f t="shared" si="81"/>
        <v>330</v>
      </c>
      <c r="J198" s="192">
        <f>5*55</f>
        <v>275</v>
      </c>
      <c r="K198" s="192">
        <f t="shared" ref="K198:M198" si="82">5*55</f>
        <v>275</v>
      </c>
      <c r="L198" s="192">
        <f t="shared" si="82"/>
        <v>275</v>
      </c>
      <c r="M198" s="192">
        <f t="shared" si="82"/>
        <v>275</v>
      </c>
      <c r="N198" s="192">
        <f>5*55+145.77</f>
        <v>420.77</v>
      </c>
      <c r="O198" s="243">
        <f>SUM(C198:N198)</f>
        <v>3500.77</v>
      </c>
    </row>
    <row r="199" spans="1:15" x14ac:dyDescent="0.2">
      <c r="B199" s="28" t="s">
        <v>151</v>
      </c>
      <c r="C199" s="192"/>
      <c r="D199" s="192"/>
      <c r="E199" s="203"/>
      <c r="F199" s="28"/>
      <c r="G199" s="192"/>
      <c r="H199" s="192"/>
      <c r="I199" s="192"/>
      <c r="J199" s="192"/>
      <c r="K199" s="192"/>
      <c r="L199" s="192"/>
      <c r="M199" s="192"/>
      <c r="N199" s="192"/>
      <c r="O199" s="243">
        <f>SUM(C199:N199)</f>
        <v>0</v>
      </c>
    </row>
    <row r="200" spans="1:15" x14ac:dyDescent="0.2">
      <c r="B200" s="75" t="s">
        <v>99</v>
      </c>
      <c r="C200" s="188">
        <f>SUM(C196:C199)</f>
        <v>835</v>
      </c>
      <c r="D200" s="188">
        <f t="shared" ref="D200:N200" si="83">SUM(D196:D199)</f>
        <v>835</v>
      </c>
      <c r="E200" s="188">
        <f t="shared" si="83"/>
        <v>835</v>
      </c>
      <c r="F200" s="188">
        <f t="shared" si="83"/>
        <v>945</v>
      </c>
      <c r="G200" s="188">
        <f t="shared" si="83"/>
        <v>945</v>
      </c>
      <c r="H200" s="188">
        <f t="shared" si="83"/>
        <v>1000</v>
      </c>
      <c r="I200" s="188">
        <f t="shared" si="83"/>
        <v>900</v>
      </c>
      <c r="J200" s="188">
        <f t="shared" si="83"/>
        <v>845</v>
      </c>
      <c r="K200" s="188">
        <f t="shared" si="83"/>
        <v>895</v>
      </c>
      <c r="L200" s="188">
        <f t="shared" si="83"/>
        <v>945</v>
      </c>
      <c r="M200" s="188">
        <f t="shared" si="83"/>
        <v>945</v>
      </c>
      <c r="N200" s="188">
        <f t="shared" si="83"/>
        <v>1090.77</v>
      </c>
      <c r="O200" s="188">
        <f>SUM(O196:O199)</f>
        <v>11015.77</v>
      </c>
    </row>
    <row r="202" spans="1:15" x14ac:dyDescent="0.2">
      <c r="A202" s="244" t="s">
        <v>157</v>
      </c>
      <c r="B202" s="245" t="s">
        <v>154</v>
      </c>
      <c r="H202" s="246"/>
      <c r="I202" s="246"/>
      <c r="J202" s="246"/>
      <c r="K202" s="246"/>
      <c r="L202" s="246"/>
      <c r="M202" s="246"/>
      <c r="N202" s="246"/>
      <c r="O202" s="246"/>
    </row>
    <row r="203" spans="1:15" x14ac:dyDescent="0.2">
      <c r="A203" s="238" t="s">
        <v>6</v>
      </c>
      <c r="B203" s="248">
        <v>435.63599999999997</v>
      </c>
    </row>
    <row r="204" spans="1:15" x14ac:dyDescent="0.2">
      <c r="A204" s="238" t="s">
        <v>7</v>
      </c>
      <c r="B204" s="248">
        <v>217.98699999999997</v>
      </c>
      <c r="C204" s="163"/>
      <c r="D204" s="163"/>
      <c r="E204" s="163"/>
      <c r="F204" s="163"/>
      <c r="G204" s="163"/>
      <c r="H204" s="163"/>
      <c r="I204" s="163"/>
    </row>
    <row r="205" spans="1:15" ht="12.75" x14ac:dyDescent="0.2">
      <c r="A205" s="238" t="s">
        <v>1</v>
      </c>
      <c r="B205" s="248"/>
      <c r="E205" s="2"/>
      <c r="F205" s="2"/>
      <c r="G205" s="2"/>
      <c r="H205" s="260"/>
      <c r="I205" s="260"/>
      <c r="J205" s="260"/>
      <c r="K205" s="260"/>
      <c r="L205" s="260"/>
      <c r="M205" s="260"/>
    </row>
    <row r="206" spans="1:15" ht="12.75" x14ac:dyDescent="0.2">
      <c r="A206" s="238" t="s">
        <v>150</v>
      </c>
      <c r="B206" s="245"/>
      <c r="E206" s="2"/>
      <c r="F206" s="2"/>
      <c r="G206" s="2"/>
      <c r="H206" s="247"/>
      <c r="I206" s="247"/>
      <c r="J206" s="247"/>
      <c r="K206" s="247"/>
      <c r="L206" s="247"/>
      <c r="M206" s="247"/>
    </row>
    <row r="208" spans="1:15" x14ac:dyDescent="0.2">
      <c r="B208" s="241">
        <f>SUM(B203:B207)</f>
        <v>653.62299999999993</v>
      </c>
    </row>
  </sheetData>
  <mergeCells count="5">
    <mergeCell ref="C7:O7"/>
    <mergeCell ref="A150:A151"/>
    <mergeCell ref="A152:A153"/>
    <mergeCell ref="A156:A157"/>
    <mergeCell ref="R178:AB178"/>
  </mergeCells>
  <pageMargins left="0.25" right="0.25" top="0.75" bottom="0.75" header="0.3" footer="0.3"/>
  <pageSetup paperSize="8" scale="1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workbookViewId="0">
      <selection activeCell="B36" sqref="B36"/>
    </sheetView>
  </sheetViews>
  <sheetFormatPr defaultRowHeight="12" x14ac:dyDescent="0.2"/>
  <cols>
    <col min="1" max="1" width="12.28515625" style="261" customWidth="1"/>
    <col min="2" max="9" width="9.28515625" style="262" customWidth="1"/>
    <col min="10" max="10" width="8.140625" style="262" customWidth="1"/>
    <col min="11" max="11" width="9.28515625" style="262" customWidth="1"/>
    <col min="12" max="13" width="10.5703125" style="262" customWidth="1"/>
    <col min="14" max="15" width="11.7109375" style="262" customWidth="1"/>
    <col min="16" max="16" width="8.42578125" style="262" customWidth="1"/>
    <col min="17" max="17" width="10" style="262" customWidth="1"/>
    <col min="18" max="18" width="6.5703125" style="262" customWidth="1"/>
    <col min="19" max="19" width="6.140625" style="262" customWidth="1"/>
    <col min="20" max="23" width="9.140625" style="262" customWidth="1"/>
    <col min="24" max="192" width="9.140625" style="1"/>
    <col min="193" max="193" width="12.28515625" style="1" customWidth="1"/>
    <col min="194" max="201" width="9.28515625" style="1" customWidth="1"/>
    <col min="202" max="202" width="8.140625" style="1" customWidth="1"/>
    <col min="203" max="203" width="9.28515625" style="1" customWidth="1"/>
    <col min="204" max="205" width="10.5703125" style="1" customWidth="1"/>
    <col min="206" max="207" width="11.7109375" style="1" customWidth="1"/>
    <col min="208" max="208" width="8.42578125" style="1" customWidth="1"/>
    <col min="209" max="209" width="10" style="1" customWidth="1"/>
    <col min="210" max="210" width="6.5703125" style="1" customWidth="1"/>
    <col min="211" max="211" width="6.140625" style="1" customWidth="1"/>
    <col min="212" max="215" width="9.140625" style="1" customWidth="1"/>
    <col min="216" max="448" width="9.140625" style="1"/>
    <col min="449" max="449" width="12.28515625" style="1" customWidth="1"/>
    <col min="450" max="457" width="9.28515625" style="1" customWidth="1"/>
    <col min="458" max="458" width="8.140625" style="1" customWidth="1"/>
    <col min="459" max="459" width="9.28515625" style="1" customWidth="1"/>
    <col min="460" max="461" width="10.5703125" style="1" customWidth="1"/>
    <col min="462" max="463" width="11.7109375" style="1" customWidth="1"/>
    <col min="464" max="464" width="8.42578125" style="1" customWidth="1"/>
    <col min="465" max="465" width="10" style="1" customWidth="1"/>
    <col min="466" max="466" width="6.5703125" style="1" customWidth="1"/>
    <col min="467" max="467" width="6.140625" style="1" customWidth="1"/>
    <col min="468" max="471" width="9.140625" style="1" customWidth="1"/>
    <col min="472" max="704" width="9.140625" style="1"/>
    <col min="705" max="705" width="12.28515625" style="1" customWidth="1"/>
    <col min="706" max="713" width="9.28515625" style="1" customWidth="1"/>
    <col min="714" max="714" width="8.140625" style="1" customWidth="1"/>
    <col min="715" max="715" width="9.28515625" style="1" customWidth="1"/>
    <col min="716" max="717" width="10.5703125" style="1" customWidth="1"/>
    <col min="718" max="719" width="11.7109375" style="1" customWidth="1"/>
    <col min="720" max="720" width="8.42578125" style="1" customWidth="1"/>
    <col min="721" max="721" width="10" style="1" customWidth="1"/>
    <col min="722" max="722" width="6.5703125" style="1" customWidth="1"/>
    <col min="723" max="723" width="6.140625" style="1" customWidth="1"/>
    <col min="724" max="727" width="9.140625" style="1" customWidth="1"/>
    <col min="728" max="960" width="9.140625" style="1"/>
    <col min="961" max="961" width="12.28515625" style="1" customWidth="1"/>
    <col min="962" max="969" width="9.28515625" style="1" customWidth="1"/>
    <col min="970" max="970" width="8.140625" style="1" customWidth="1"/>
    <col min="971" max="971" width="9.28515625" style="1" customWidth="1"/>
    <col min="972" max="973" width="10.5703125" style="1" customWidth="1"/>
    <col min="974" max="975" width="11.7109375" style="1" customWidth="1"/>
    <col min="976" max="976" width="8.42578125" style="1" customWidth="1"/>
    <col min="977" max="977" width="10" style="1" customWidth="1"/>
    <col min="978" max="978" width="6.5703125" style="1" customWidth="1"/>
    <col min="979" max="979" width="6.140625" style="1" customWidth="1"/>
    <col min="980" max="983" width="9.140625" style="1" customWidth="1"/>
    <col min="984" max="1216" width="9.140625" style="1"/>
    <col min="1217" max="1217" width="12.28515625" style="1" customWidth="1"/>
    <col min="1218" max="1225" width="9.28515625" style="1" customWidth="1"/>
    <col min="1226" max="1226" width="8.140625" style="1" customWidth="1"/>
    <col min="1227" max="1227" width="9.28515625" style="1" customWidth="1"/>
    <col min="1228" max="1229" width="10.5703125" style="1" customWidth="1"/>
    <col min="1230" max="1231" width="11.7109375" style="1" customWidth="1"/>
    <col min="1232" max="1232" width="8.42578125" style="1" customWidth="1"/>
    <col min="1233" max="1233" width="10" style="1" customWidth="1"/>
    <col min="1234" max="1234" width="6.5703125" style="1" customWidth="1"/>
    <col min="1235" max="1235" width="6.140625" style="1" customWidth="1"/>
    <col min="1236" max="1239" width="9.140625" style="1" customWidth="1"/>
    <col min="1240" max="1472" width="9.140625" style="1"/>
    <col min="1473" max="1473" width="12.28515625" style="1" customWidth="1"/>
    <col min="1474" max="1481" width="9.28515625" style="1" customWidth="1"/>
    <col min="1482" max="1482" width="8.140625" style="1" customWidth="1"/>
    <col min="1483" max="1483" width="9.28515625" style="1" customWidth="1"/>
    <col min="1484" max="1485" width="10.5703125" style="1" customWidth="1"/>
    <col min="1486" max="1487" width="11.7109375" style="1" customWidth="1"/>
    <col min="1488" max="1488" width="8.42578125" style="1" customWidth="1"/>
    <col min="1489" max="1489" width="10" style="1" customWidth="1"/>
    <col min="1490" max="1490" width="6.5703125" style="1" customWidth="1"/>
    <col min="1491" max="1491" width="6.140625" style="1" customWidth="1"/>
    <col min="1492" max="1495" width="9.140625" style="1" customWidth="1"/>
    <col min="1496" max="1728" width="9.140625" style="1"/>
    <col min="1729" max="1729" width="12.28515625" style="1" customWidth="1"/>
    <col min="1730" max="1737" width="9.28515625" style="1" customWidth="1"/>
    <col min="1738" max="1738" width="8.140625" style="1" customWidth="1"/>
    <col min="1739" max="1739" width="9.28515625" style="1" customWidth="1"/>
    <col min="1740" max="1741" width="10.5703125" style="1" customWidth="1"/>
    <col min="1742" max="1743" width="11.7109375" style="1" customWidth="1"/>
    <col min="1744" max="1744" width="8.42578125" style="1" customWidth="1"/>
    <col min="1745" max="1745" width="10" style="1" customWidth="1"/>
    <col min="1746" max="1746" width="6.5703125" style="1" customWidth="1"/>
    <col min="1747" max="1747" width="6.140625" style="1" customWidth="1"/>
    <col min="1748" max="1751" width="9.140625" style="1" customWidth="1"/>
    <col min="1752" max="1984" width="9.140625" style="1"/>
    <col min="1985" max="1985" width="12.28515625" style="1" customWidth="1"/>
    <col min="1986" max="1993" width="9.28515625" style="1" customWidth="1"/>
    <col min="1994" max="1994" width="8.140625" style="1" customWidth="1"/>
    <col min="1995" max="1995" width="9.28515625" style="1" customWidth="1"/>
    <col min="1996" max="1997" width="10.5703125" style="1" customWidth="1"/>
    <col min="1998" max="1999" width="11.7109375" style="1" customWidth="1"/>
    <col min="2000" max="2000" width="8.42578125" style="1" customWidth="1"/>
    <col min="2001" max="2001" width="10" style="1" customWidth="1"/>
    <col min="2002" max="2002" width="6.5703125" style="1" customWidth="1"/>
    <col min="2003" max="2003" width="6.140625" style="1" customWidth="1"/>
    <col min="2004" max="2007" width="9.140625" style="1" customWidth="1"/>
    <col min="2008" max="2240" width="9.140625" style="1"/>
    <col min="2241" max="2241" width="12.28515625" style="1" customWidth="1"/>
    <col min="2242" max="2249" width="9.28515625" style="1" customWidth="1"/>
    <col min="2250" max="2250" width="8.140625" style="1" customWidth="1"/>
    <col min="2251" max="2251" width="9.28515625" style="1" customWidth="1"/>
    <col min="2252" max="2253" width="10.5703125" style="1" customWidth="1"/>
    <col min="2254" max="2255" width="11.7109375" style="1" customWidth="1"/>
    <col min="2256" max="2256" width="8.42578125" style="1" customWidth="1"/>
    <col min="2257" max="2257" width="10" style="1" customWidth="1"/>
    <col min="2258" max="2258" width="6.5703125" style="1" customWidth="1"/>
    <col min="2259" max="2259" width="6.140625" style="1" customWidth="1"/>
    <col min="2260" max="2263" width="9.140625" style="1" customWidth="1"/>
    <col min="2264" max="2496" width="9.140625" style="1"/>
    <col min="2497" max="2497" width="12.28515625" style="1" customWidth="1"/>
    <col min="2498" max="2505" width="9.28515625" style="1" customWidth="1"/>
    <col min="2506" max="2506" width="8.140625" style="1" customWidth="1"/>
    <col min="2507" max="2507" width="9.28515625" style="1" customWidth="1"/>
    <col min="2508" max="2509" width="10.5703125" style="1" customWidth="1"/>
    <col min="2510" max="2511" width="11.7109375" style="1" customWidth="1"/>
    <col min="2512" max="2512" width="8.42578125" style="1" customWidth="1"/>
    <col min="2513" max="2513" width="10" style="1" customWidth="1"/>
    <col min="2514" max="2514" width="6.5703125" style="1" customWidth="1"/>
    <col min="2515" max="2515" width="6.140625" style="1" customWidth="1"/>
    <col min="2516" max="2519" width="9.140625" style="1" customWidth="1"/>
    <col min="2520" max="2752" width="9.140625" style="1"/>
    <col min="2753" max="2753" width="12.28515625" style="1" customWidth="1"/>
    <col min="2754" max="2761" width="9.28515625" style="1" customWidth="1"/>
    <col min="2762" max="2762" width="8.140625" style="1" customWidth="1"/>
    <col min="2763" max="2763" width="9.28515625" style="1" customWidth="1"/>
    <col min="2764" max="2765" width="10.5703125" style="1" customWidth="1"/>
    <col min="2766" max="2767" width="11.7109375" style="1" customWidth="1"/>
    <col min="2768" max="2768" width="8.42578125" style="1" customWidth="1"/>
    <col min="2769" max="2769" width="10" style="1" customWidth="1"/>
    <col min="2770" max="2770" width="6.5703125" style="1" customWidth="1"/>
    <col min="2771" max="2771" width="6.140625" style="1" customWidth="1"/>
    <col min="2772" max="2775" width="9.140625" style="1" customWidth="1"/>
    <col min="2776" max="3008" width="9.140625" style="1"/>
    <col min="3009" max="3009" width="12.28515625" style="1" customWidth="1"/>
    <col min="3010" max="3017" width="9.28515625" style="1" customWidth="1"/>
    <col min="3018" max="3018" width="8.140625" style="1" customWidth="1"/>
    <col min="3019" max="3019" width="9.28515625" style="1" customWidth="1"/>
    <col min="3020" max="3021" width="10.5703125" style="1" customWidth="1"/>
    <col min="3022" max="3023" width="11.7109375" style="1" customWidth="1"/>
    <col min="3024" max="3024" width="8.42578125" style="1" customWidth="1"/>
    <col min="3025" max="3025" width="10" style="1" customWidth="1"/>
    <col min="3026" max="3026" width="6.5703125" style="1" customWidth="1"/>
    <col min="3027" max="3027" width="6.140625" style="1" customWidth="1"/>
    <col min="3028" max="3031" width="9.140625" style="1" customWidth="1"/>
    <col min="3032" max="3264" width="9.140625" style="1"/>
    <col min="3265" max="3265" width="12.28515625" style="1" customWidth="1"/>
    <col min="3266" max="3273" width="9.28515625" style="1" customWidth="1"/>
    <col min="3274" max="3274" width="8.140625" style="1" customWidth="1"/>
    <col min="3275" max="3275" width="9.28515625" style="1" customWidth="1"/>
    <col min="3276" max="3277" width="10.5703125" style="1" customWidth="1"/>
    <col min="3278" max="3279" width="11.7109375" style="1" customWidth="1"/>
    <col min="3280" max="3280" width="8.42578125" style="1" customWidth="1"/>
    <col min="3281" max="3281" width="10" style="1" customWidth="1"/>
    <col min="3282" max="3282" width="6.5703125" style="1" customWidth="1"/>
    <col min="3283" max="3283" width="6.140625" style="1" customWidth="1"/>
    <col min="3284" max="3287" width="9.140625" style="1" customWidth="1"/>
    <col min="3288" max="3520" width="9.140625" style="1"/>
    <col min="3521" max="3521" width="12.28515625" style="1" customWidth="1"/>
    <col min="3522" max="3529" width="9.28515625" style="1" customWidth="1"/>
    <col min="3530" max="3530" width="8.140625" style="1" customWidth="1"/>
    <col min="3531" max="3531" width="9.28515625" style="1" customWidth="1"/>
    <col min="3532" max="3533" width="10.5703125" style="1" customWidth="1"/>
    <col min="3534" max="3535" width="11.7109375" style="1" customWidth="1"/>
    <col min="3536" max="3536" width="8.42578125" style="1" customWidth="1"/>
    <col min="3537" max="3537" width="10" style="1" customWidth="1"/>
    <col min="3538" max="3538" width="6.5703125" style="1" customWidth="1"/>
    <col min="3539" max="3539" width="6.140625" style="1" customWidth="1"/>
    <col min="3540" max="3543" width="9.140625" style="1" customWidth="1"/>
    <col min="3544" max="3776" width="9.140625" style="1"/>
    <col min="3777" max="3777" width="12.28515625" style="1" customWidth="1"/>
    <col min="3778" max="3785" width="9.28515625" style="1" customWidth="1"/>
    <col min="3786" max="3786" width="8.140625" style="1" customWidth="1"/>
    <col min="3787" max="3787" width="9.28515625" style="1" customWidth="1"/>
    <col min="3788" max="3789" width="10.5703125" style="1" customWidth="1"/>
    <col min="3790" max="3791" width="11.7109375" style="1" customWidth="1"/>
    <col min="3792" max="3792" width="8.42578125" style="1" customWidth="1"/>
    <col min="3793" max="3793" width="10" style="1" customWidth="1"/>
    <col min="3794" max="3794" width="6.5703125" style="1" customWidth="1"/>
    <col min="3795" max="3795" width="6.140625" style="1" customWidth="1"/>
    <col min="3796" max="3799" width="9.140625" style="1" customWidth="1"/>
    <col min="3800" max="4032" width="9.140625" style="1"/>
    <col min="4033" max="4033" width="12.28515625" style="1" customWidth="1"/>
    <col min="4034" max="4041" width="9.28515625" style="1" customWidth="1"/>
    <col min="4042" max="4042" width="8.140625" style="1" customWidth="1"/>
    <col min="4043" max="4043" width="9.28515625" style="1" customWidth="1"/>
    <col min="4044" max="4045" width="10.5703125" style="1" customWidth="1"/>
    <col min="4046" max="4047" width="11.7109375" style="1" customWidth="1"/>
    <col min="4048" max="4048" width="8.42578125" style="1" customWidth="1"/>
    <col min="4049" max="4049" width="10" style="1" customWidth="1"/>
    <col min="4050" max="4050" width="6.5703125" style="1" customWidth="1"/>
    <col min="4051" max="4051" width="6.140625" style="1" customWidth="1"/>
    <col min="4052" max="4055" width="9.140625" style="1" customWidth="1"/>
    <col min="4056" max="4288" width="9.140625" style="1"/>
    <col min="4289" max="4289" width="12.28515625" style="1" customWidth="1"/>
    <col min="4290" max="4297" width="9.28515625" style="1" customWidth="1"/>
    <col min="4298" max="4298" width="8.140625" style="1" customWidth="1"/>
    <col min="4299" max="4299" width="9.28515625" style="1" customWidth="1"/>
    <col min="4300" max="4301" width="10.5703125" style="1" customWidth="1"/>
    <col min="4302" max="4303" width="11.7109375" style="1" customWidth="1"/>
    <col min="4304" max="4304" width="8.42578125" style="1" customWidth="1"/>
    <col min="4305" max="4305" width="10" style="1" customWidth="1"/>
    <col min="4306" max="4306" width="6.5703125" style="1" customWidth="1"/>
    <col min="4307" max="4307" width="6.140625" style="1" customWidth="1"/>
    <col min="4308" max="4311" width="9.140625" style="1" customWidth="1"/>
    <col min="4312" max="4544" width="9.140625" style="1"/>
    <col min="4545" max="4545" width="12.28515625" style="1" customWidth="1"/>
    <col min="4546" max="4553" width="9.28515625" style="1" customWidth="1"/>
    <col min="4554" max="4554" width="8.140625" style="1" customWidth="1"/>
    <col min="4555" max="4555" width="9.28515625" style="1" customWidth="1"/>
    <col min="4556" max="4557" width="10.5703125" style="1" customWidth="1"/>
    <col min="4558" max="4559" width="11.7109375" style="1" customWidth="1"/>
    <col min="4560" max="4560" width="8.42578125" style="1" customWidth="1"/>
    <col min="4561" max="4561" width="10" style="1" customWidth="1"/>
    <col min="4562" max="4562" width="6.5703125" style="1" customWidth="1"/>
    <col min="4563" max="4563" width="6.140625" style="1" customWidth="1"/>
    <col min="4564" max="4567" width="9.140625" style="1" customWidth="1"/>
    <col min="4568" max="4800" width="9.140625" style="1"/>
    <col min="4801" max="4801" width="12.28515625" style="1" customWidth="1"/>
    <col min="4802" max="4809" width="9.28515625" style="1" customWidth="1"/>
    <col min="4810" max="4810" width="8.140625" style="1" customWidth="1"/>
    <col min="4811" max="4811" width="9.28515625" style="1" customWidth="1"/>
    <col min="4812" max="4813" width="10.5703125" style="1" customWidth="1"/>
    <col min="4814" max="4815" width="11.7109375" style="1" customWidth="1"/>
    <col min="4816" max="4816" width="8.42578125" style="1" customWidth="1"/>
    <col min="4817" max="4817" width="10" style="1" customWidth="1"/>
    <col min="4818" max="4818" width="6.5703125" style="1" customWidth="1"/>
    <col min="4819" max="4819" width="6.140625" style="1" customWidth="1"/>
    <col min="4820" max="4823" width="9.140625" style="1" customWidth="1"/>
    <col min="4824" max="5056" width="9.140625" style="1"/>
    <col min="5057" max="5057" width="12.28515625" style="1" customWidth="1"/>
    <col min="5058" max="5065" width="9.28515625" style="1" customWidth="1"/>
    <col min="5066" max="5066" width="8.140625" style="1" customWidth="1"/>
    <col min="5067" max="5067" width="9.28515625" style="1" customWidth="1"/>
    <col min="5068" max="5069" width="10.5703125" style="1" customWidth="1"/>
    <col min="5070" max="5071" width="11.7109375" style="1" customWidth="1"/>
    <col min="5072" max="5072" width="8.42578125" style="1" customWidth="1"/>
    <col min="5073" max="5073" width="10" style="1" customWidth="1"/>
    <col min="5074" max="5074" width="6.5703125" style="1" customWidth="1"/>
    <col min="5075" max="5075" width="6.140625" style="1" customWidth="1"/>
    <col min="5076" max="5079" width="9.140625" style="1" customWidth="1"/>
    <col min="5080" max="5312" width="9.140625" style="1"/>
    <col min="5313" max="5313" width="12.28515625" style="1" customWidth="1"/>
    <col min="5314" max="5321" width="9.28515625" style="1" customWidth="1"/>
    <col min="5322" max="5322" width="8.140625" style="1" customWidth="1"/>
    <col min="5323" max="5323" width="9.28515625" style="1" customWidth="1"/>
    <col min="5324" max="5325" width="10.5703125" style="1" customWidth="1"/>
    <col min="5326" max="5327" width="11.7109375" style="1" customWidth="1"/>
    <col min="5328" max="5328" width="8.42578125" style="1" customWidth="1"/>
    <col min="5329" max="5329" width="10" style="1" customWidth="1"/>
    <col min="5330" max="5330" width="6.5703125" style="1" customWidth="1"/>
    <col min="5331" max="5331" width="6.140625" style="1" customWidth="1"/>
    <col min="5332" max="5335" width="9.140625" style="1" customWidth="1"/>
    <col min="5336" max="5568" width="9.140625" style="1"/>
    <col min="5569" max="5569" width="12.28515625" style="1" customWidth="1"/>
    <col min="5570" max="5577" width="9.28515625" style="1" customWidth="1"/>
    <col min="5578" max="5578" width="8.140625" style="1" customWidth="1"/>
    <col min="5579" max="5579" width="9.28515625" style="1" customWidth="1"/>
    <col min="5580" max="5581" width="10.5703125" style="1" customWidth="1"/>
    <col min="5582" max="5583" width="11.7109375" style="1" customWidth="1"/>
    <col min="5584" max="5584" width="8.42578125" style="1" customWidth="1"/>
    <col min="5585" max="5585" width="10" style="1" customWidth="1"/>
    <col min="5586" max="5586" width="6.5703125" style="1" customWidth="1"/>
    <col min="5587" max="5587" width="6.140625" style="1" customWidth="1"/>
    <col min="5588" max="5591" width="9.140625" style="1" customWidth="1"/>
    <col min="5592" max="5824" width="9.140625" style="1"/>
    <col min="5825" max="5825" width="12.28515625" style="1" customWidth="1"/>
    <col min="5826" max="5833" width="9.28515625" style="1" customWidth="1"/>
    <col min="5834" max="5834" width="8.140625" style="1" customWidth="1"/>
    <col min="5835" max="5835" width="9.28515625" style="1" customWidth="1"/>
    <col min="5836" max="5837" width="10.5703125" style="1" customWidth="1"/>
    <col min="5838" max="5839" width="11.7109375" style="1" customWidth="1"/>
    <col min="5840" max="5840" width="8.42578125" style="1" customWidth="1"/>
    <col min="5841" max="5841" width="10" style="1" customWidth="1"/>
    <col min="5842" max="5842" width="6.5703125" style="1" customWidth="1"/>
    <col min="5843" max="5843" width="6.140625" style="1" customWidth="1"/>
    <col min="5844" max="5847" width="9.140625" style="1" customWidth="1"/>
    <col min="5848" max="6080" width="9.140625" style="1"/>
    <col min="6081" max="6081" width="12.28515625" style="1" customWidth="1"/>
    <col min="6082" max="6089" width="9.28515625" style="1" customWidth="1"/>
    <col min="6090" max="6090" width="8.140625" style="1" customWidth="1"/>
    <col min="6091" max="6091" width="9.28515625" style="1" customWidth="1"/>
    <col min="6092" max="6093" width="10.5703125" style="1" customWidth="1"/>
    <col min="6094" max="6095" width="11.7109375" style="1" customWidth="1"/>
    <col min="6096" max="6096" width="8.42578125" style="1" customWidth="1"/>
    <col min="6097" max="6097" width="10" style="1" customWidth="1"/>
    <col min="6098" max="6098" width="6.5703125" style="1" customWidth="1"/>
    <col min="6099" max="6099" width="6.140625" style="1" customWidth="1"/>
    <col min="6100" max="6103" width="9.140625" style="1" customWidth="1"/>
    <col min="6104" max="6336" width="9.140625" style="1"/>
    <col min="6337" max="6337" width="12.28515625" style="1" customWidth="1"/>
    <col min="6338" max="6345" width="9.28515625" style="1" customWidth="1"/>
    <col min="6346" max="6346" width="8.140625" style="1" customWidth="1"/>
    <col min="6347" max="6347" width="9.28515625" style="1" customWidth="1"/>
    <col min="6348" max="6349" width="10.5703125" style="1" customWidth="1"/>
    <col min="6350" max="6351" width="11.7109375" style="1" customWidth="1"/>
    <col min="6352" max="6352" width="8.42578125" style="1" customWidth="1"/>
    <col min="6353" max="6353" width="10" style="1" customWidth="1"/>
    <col min="6354" max="6354" width="6.5703125" style="1" customWidth="1"/>
    <col min="6355" max="6355" width="6.140625" style="1" customWidth="1"/>
    <col min="6356" max="6359" width="9.140625" style="1" customWidth="1"/>
    <col min="6360" max="6592" width="9.140625" style="1"/>
    <col min="6593" max="6593" width="12.28515625" style="1" customWidth="1"/>
    <col min="6594" max="6601" width="9.28515625" style="1" customWidth="1"/>
    <col min="6602" max="6602" width="8.140625" style="1" customWidth="1"/>
    <col min="6603" max="6603" width="9.28515625" style="1" customWidth="1"/>
    <col min="6604" max="6605" width="10.5703125" style="1" customWidth="1"/>
    <col min="6606" max="6607" width="11.7109375" style="1" customWidth="1"/>
    <col min="6608" max="6608" width="8.42578125" style="1" customWidth="1"/>
    <col min="6609" max="6609" width="10" style="1" customWidth="1"/>
    <col min="6610" max="6610" width="6.5703125" style="1" customWidth="1"/>
    <col min="6611" max="6611" width="6.140625" style="1" customWidth="1"/>
    <col min="6612" max="6615" width="9.140625" style="1" customWidth="1"/>
    <col min="6616" max="6848" width="9.140625" style="1"/>
    <col min="6849" max="6849" width="12.28515625" style="1" customWidth="1"/>
    <col min="6850" max="6857" width="9.28515625" style="1" customWidth="1"/>
    <col min="6858" max="6858" width="8.140625" style="1" customWidth="1"/>
    <col min="6859" max="6859" width="9.28515625" style="1" customWidth="1"/>
    <col min="6860" max="6861" width="10.5703125" style="1" customWidth="1"/>
    <col min="6862" max="6863" width="11.7109375" style="1" customWidth="1"/>
    <col min="6864" max="6864" width="8.42578125" style="1" customWidth="1"/>
    <col min="6865" max="6865" width="10" style="1" customWidth="1"/>
    <col min="6866" max="6866" width="6.5703125" style="1" customWidth="1"/>
    <col min="6867" max="6867" width="6.140625" style="1" customWidth="1"/>
    <col min="6868" max="6871" width="9.140625" style="1" customWidth="1"/>
    <col min="6872" max="7104" width="9.140625" style="1"/>
    <col min="7105" max="7105" width="12.28515625" style="1" customWidth="1"/>
    <col min="7106" max="7113" width="9.28515625" style="1" customWidth="1"/>
    <col min="7114" max="7114" width="8.140625" style="1" customWidth="1"/>
    <col min="7115" max="7115" width="9.28515625" style="1" customWidth="1"/>
    <col min="7116" max="7117" width="10.5703125" style="1" customWidth="1"/>
    <col min="7118" max="7119" width="11.7109375" style="1" customWidth="1"/>
    <col min="7120" max="7120" width="8.42578125" style="1" customWidth="1"/>
    <col min="7121" max="7121" width="10" style="1" customWidth="1"/>
    <col min="7122" max="7122" width="6.5703125" style="1" customWidth="1"/>
    <col min="7123" max="7123" width="6.140625" style="1" customWidth="1"/>
    <col min="7124" max="7127" width="9.140625" style="1" customWidth="1"/>
    <col min="7128" max="7360" width="9.140625" style="1"/>
    <col min="7361" max="7361" width="12.28515625" style="1" customWidth="1"/>
    <col min="7362" max="7369" width="9.28515625" style="1" customWidth="1"/>
    <col min="7370" max="7370" width="8.140625" style="1" customWidth="1"/>
    <col min="7371" max="7371" width="9.28515625" style="1" customWidth="1"/>
    <col min="7372" max="7373" width="10.5703125" style="1" customWidth="1"/>
    <col min="7374" max="7375" width="11.7109375" style="1" customWidth="1"/>
    <col min="7376" max="7376" width="8.42578125" style="1" customWidth="1"/>
    <col min="7377" max="7377" width="10" style="1" customWidth="1"/>
    <col min="7378" max="7378" width="6.5703125" style="1" customWidth="1"/>
    <col min="7379" max="7379" width="6.140625" style="1" customWidth="1"/>
    <col min="7380" max="7383" width="9.140625" style="1" customWidth="1"/>
    <col min="7384" max="7616" width="9.140625" style="1"/>
    <col min="7617" max="7617" width="12.28515625" style="1" customWidth="1"/>
    <col min="7618" max="7625" width="9.28515625" style="1" customWidth="1"/>
    <col min="7626" max="7626" width="8.140625" style="1" customWidth="1"/>
    <col min="7627" max="7627" width="9.28515625" style="1" customWidth="1"/>
    <col min="7628" max="7629" width="10.5703125" style="1" customWidth="1"/>
    <col min="7630" max="7631" width="11.7109375" style="1" customWidth="1"/>
    <col min="7632" max="7632" width="8.42578125" style="1" customWidth="1"/>
    <col min="7633" max="7633" width="10" style="1" customWidth="1"/>
    <col min="7634" max="7634" width="6.5703125" style="1" customWidth="1"/>
    <col min="7635" max="7635" width="6.140625" style="1" customWidth="1"/>
    <col min="7636" max="7639" width="9.140625" style="1" customWidth="1"/>
    <col min="7640" max="7872" width="9.140625" style="1"/>
    <col min="7873" max="7873" width="12.28515625" style="1" customWidth="1"/>
    <col min="7874" max="7881" width="9.28515625" style="1" customWidth="1"/>
    <col min="7882" max="7882" width="8.140625" style="1" customWidth="1"/>
    <col min="7883" max="7883" width="9.28515625" style="1" customWidth="1"/>
    <col min="7884" max="7885" width="10.5703125" style="1" customWidth="1"/>
    <col min="7886" max="7887" width="11.7109375" style="1" customWidth="1"/>
    <col min="7888" max="7888" width="8.42578125" style="1" customWidth="1"/>
    <col min="7889" max="7889" width="10" style="1" customWidth="1"/>
    <col min="7890" max="7890" width="6.5703125" style="1" customWidth="1"/>
    <col min="7891" max="7891" width="6.140625" style="1" customWidth="1"/>
    <col min="7892" max="7895" width="9.140625" style="1" customWidth="1"/>
    <col min="7896" max="8128" width="9.140625" style="1"/>
    <col min="8129" max="8129" width="12.28515625" style="1" customWidth="1"/>
    <col min="8130" max="8137" width="9.28515625" style="1" customWidth="1"/>
    <col min="8138" max="8138" width="8.140625" style="1" customWidth="1"/>
    <col min="8139" max="8139" width="9.28515625" style="1" customWidth="1"/>
    <col min="8140" max="8141" width="10.5703125" style="1" customWidth="1"/>
    <col min="8142" max="8143" width="11.7109375" style="1" customWidth="1"/>
    <col min="8144" max="8144" width="8.42578125" style="1" customWidth="1"/>
    <col min="8145" max="8145" width="10" style="1" customWidth="1"/>
    <col min="8146" max="8146" width="6.5703125" style="1" customWidth="1"/>
    <col min="8147" max="8147" width="6.140625" style="1" customWidth="1"/>
    <col min="8148" max="8151" width="9.140625" style="1" customWidth="1"/>
    <col min="8152" max="8384" width="9.140625" style="1"/>
    <col min="8385" max="8385" width="12.28515625" style="1" customWidth="1"/>
    <col min="8386" max="8393" width="9.28515625" style="1" customWidth="1"/>
    <col min="8394" max="8394" width="8.140625" style="1" customWidth="1"/>
    <col min="8395" max="8395" width="9.28515625" style="1" customWidth="1"/>
    <col min="8396" max="8397" width="10.5703125" style="1" customWidth="1"/>
    <col min="8398" max="8399" width="11.7109375" style="1" customWidth="1"/>
    <col min="8400" max="8400" width="8.42578125" style="1" customWidth="1"/>
    <col min="8401" max="8401" width="10" style="1" customWidth="1"/>
    <col min="8402" max="8402" width="6.5703125" style="1" customWidth="1"/>
    <col min="8403" max="8403" width="6.140625" style="1" customWidth="1"/>
    <col min="8404" max="8407" width="9.140625" style="1" customWidth="1"/>
    <col min="8408" max="8640" width="9.140625" style="1"/>
    <col min="8641" max="8641" width="12.28515625" style="1" customWidth="1"/>
    <col min="8642" max="8649" width="9.28515625" style="1" customWidth="1"/>
    <col min="8650" max="8650" width="8.140625" style="1" customWidth="1"/>
    <col min="8651" max="8651" width="9.28515625" style="1" customWidth="1"/>
    <col min="8652" max="8653" width="10.5703125" style="1" customWidth="1"/>
    <col min="8654" max="8655" width="11.7109375" style="1" customWidth="1"/>
    <col min="8656" max="8656" width="8.42578125" style="1" customWidth="1"/>
    <col min="8657" max="8657" width="10" style="1" customWidth="1"/>
    <col min="8658" max="8658" width="6.5703125" style="1" customWidth="1"/>
    <col min="8659" max="8659" width="6.140625" style="1" customWidth="1"/>
    <col min="8660" max="8663" width="9.140625" style="1" customWidth="1"/>
    <col min="8664" max="8896" width="9.140625" style="1"/>
    <col min="8897" max="8897" width="12.28515625" style="1" customWidth="1"/>
    <col min="8898" max="8905" width="9.28515625" style="1" customWidth="1"/>
    <col min="8906" max="8906" width="8.140625" style="1" customWidth="1"/>
    <col min="8907" max="8907" width="9.28515625" style="1" customWidth="1"/>
    <col min="8908" max="8909" width="10.5703125" style="1" customWidth="1"/>
    <col min="8910" max="8911" width="11.7109375" style="1" customWidth="1"/>
    <col min="8912" max="8912" width="8.42578125" style="1" customWidth="1"/>
    <col min="8913" max="8913" width="10" style="1" customWidth="1"/>
    <col min="8914" max="8914" width="6.5703125" style="1" customWidth="1"/>
    <col min="8915" max="8915" width="6.140625" style="1" customWidth="1"/>
    <col min="8916" max="8919" width="9.140625" style="1" customWidth="1"/>
    <col min="8920" max="9152" width="9.140625" style="1"/>
    <col min="9153" max="9153" width="12.28515625" style="1" customWidth="1"/>
    <col min="9154" max="9161" width="9.28515625" style="1" customWidth="1"/>
    <col min="9162" max="9162" width="8.140625" style="1" customWidth="1"/>
    <col min="9163" max="9163" width="9.28515625" style="1" customWidth="1"/>
    <col min="9164" max="9165" width="10.5703125" style="1" customWidth="1"/>
    <col min="9166" max="9167" width="11.7109375" style="1" customWidth="1"/>
    <col min="9168" max="9168" width="8.42578125" style="1" customWidth="1"/>
    <col min="9169" max="9169" width="10" style="1" customWidth="1"/>
    <col min="9170" max="9170" width="6.5703125" style="1" customWidth="1"/>
    <col min="9171" max="9171" width="6.140625" style="1" customWidth="1"/>
    <col min="9172" max="9175" width="9.140625" style="1" customWidth="1"/>
    <col min="9176" max="9408" width="9.140625" style="1"/>
    <col min="9409" max="9409" width="12.28515625" style="1" customWidth="1"/>
    <col min="9410" max="9417" width="9.28515625" style="1" customWidth="1"/>
    <col min="9418" max="9418" width="8.140625" style="1" customWidth="1"/>
    <col min="9419" max="9419" width="9.28515625" style="1" customWidth="1"/>
    <col min="9420" max="9421" width="10.5703125" style="1" customWidth="1"/>
    <col min="9422" max="9423" width="11.7109375" style="1" customWidth="1"/>
    <col min="9424" max="9424" width="8.42578125" style="1" customWidth="1"/>
    <col min="9425" max="9425" width="10" style="1" customWidth="1"/>
    <col min="9426" max="9426" width="6.5703125" style="1" customWidth="1"/>
    <col min="9427" max="9427" width="6.140625" style="1" customWidth="1"/>
    <col min="9428" max="9431" width="9.140625" style="1" customWidth="1"/>
    <col min="9432" max="9664" width="9.140625" style="1"/>
    <col min="9665" max="9665" width="12.28515625" style="1" customWidth="1"/>
    <col min="9666" max="9673" width="9.28515625" style="1" customWidth="1"/>
    <col min="9674" max="9674" width="8.140625" style="1" customWidth="1"/>
    <col min="9675" max="9675" width="9.28515625" style="1" customWidth="1"/>
    <col min="9676" max="9677" width="10.5703125" style="1" customWidth="1"/>
    <col min="9678" max="9679" width="11.7109375" style="1" customWidth="1"/>
    <col min="9680" max="9680" width="8.42578125" style="1" customWidth="1"/>
    <col min="9681" max="9681" width="10" style="1" customWidth="1"/>
    <col min="9682" max="9682" width="6.5703125" style="1" customWidth="1"/>
    <col min="9683" max="9683" width="6.140625" style="1" customWidth="1"/>
    <col min="9684" max="9687" width="9.140625" style="1" customWidth="1"/>
    <col min="9688" max="9920" width="9.140625" style="1"/>
    <col min="9921" max="9921" width="12.28515625" style="1" customWidth="1"/>
    <col min="9922" max="9929" width="9.28515625" style="1" customWidth="1"/>
    <col min="9930" max="9930" width="8.140625" style="1" customWidth="1"/>
    <col min="9931" max="9931" width="9.28515625" style="1" customWidth="1"/>
    <col min="9932" max="9933" width="10.5703125" style="1" customWidth="1"/>
    <col min="9934" max="9935" width="11.7109375" style="1" customWidth="1"/>
    <col min="9936" max="9936" width="8.42578125" style="1" customWidth="1"/>
    <col min="9937" max="9937" width="10" style="1" customWidth="1"/>
    <col min="9938" max="9938" width="6.5703125" style="1" customWidth="1"/>
    <col min="9939" max="9939" width="6.140625" style="1" customWidth="1"/>
    <col min="9940" max="9943" width="9.140625" style="1" customWidth="1"/>
    <col min="9944" max="10176" width="9.140625" style="1"/>
    <col min="10177" max="10177" width="12.28515625" style="1" customWidth="1"/>
    <col min="10178" max="10185" width="9.28515625" style="1" customWidth="1"/>
    <col min="10186" max="10186" width="8.140625" style="1" customWidth="1"/>
    <col min="10187" max="10187" width="9.28515625" style="1" customWidth="1"/>
    <col min="10188" max="10189" width="10.5703125" style="1" customWidth="1"/>
    <col min="10190" max="10191" width="11.7109375" style="1" customWidth="1"/>
    <col min="10192" max="10192" width="8.42578125" style="1" customWidth="1"/>
    <col min="10193" max="10193" width="10" style="1" customWidth="1"/>
    <col min="10194" max="10194" width="6.5703125" style="1" customWidth="1"/>
    <col min="10195" max="10195" width="6.140625" style="1" customWidth="1"/>
    <col min="10196" max="10199" width="9.140625" style="1" customWidth="1"/>
    <col min="10200" max="10432" width="9.140625" style="1"/>
    <col min="10433" max="10433" width="12.28515625" style="1" customWidth="1"/>
    <col min="10434" max="10441" width="9.28515625" style="1" customWidth="1"/>
    <col min="10442" max="10442" width="8.140625" style="1" customWidth="1"/>
    <col min="10443" max="10443" width="9.28515625" style="1" customWidth="1"/>
    <col min="10444" max="10445" width="10.5703125" style="1" customWidth="1"/>
    <col min="10446" max="10447" width="11.7109375" style="1" customWidth="1"/>
    <col min="10448" max="10448" width="8.42578125" style="1" customWidth="1"/>
    <col min="10449" max="10449" width="10" style="1" customWidth="1"/>
    <col min="10450" max="10450" width="6.5703125" style="1" customWidth="1"/>
    <col min="10451" max="10451" width="6.140625" style="1" customWidth="1"/>
    <col min="10452" max="10455" width="9.140625" style="1" customWidth="1"/>
    <col min="10456" max="10688" width="9.140625" style="1"/>
    <col min="10689" max="10689" width="12.28515625" style="1" customWidth="1"/>
    <col min="10690" max="10697" width="9.28515625" style="1" customWidth="1"/>
    <col min="10698" max="10698" width="8.140625" style="1" customWidth="1"/>
    <col min="10699" max="10699" width="9.28515625" style="1" customWidth="1"/>
    <col min="10700" max="10701" width="10.5703125" style="1" customWidth="1"/>
    <col min="10702" max="10703" width="11.7109375" style="1" customWidth="1"/>
    <col min="10704" max="10704" width="8.42578125" style="1" customWidth="1"/>
    <col min="10705" max="10705" width="10" style="1" customWidth="1"/>
    <col min="10706" max="10706" width="6.5703125" style="1" customWidth="1"/>
    <col min="10707" max="10707" width="6.140625" style="1" customWidth="1"/>
    <col min="10708" max="10711" width="9.140625" style="1" customWidth="1"/>
    <col min="10712" max="10944" width="9.140625" style="1"/>
    <col min="10945" max="10945" width="12.28515625" style="1" customWidth="1"/>
    <col min="10946" max="10953" width="9.28515625" style="1" customWidth="1"/>
    <col min="10954" max="10954" width="8.140625" style="1" customWidth="1"/>
    <col min="10955" max="10955" width="9.28515625" style="1" customWidth="1"/>
    <col min="10956" max="10957" width="10.5703125" style="1" customWidth="1"/>
    <col min="10958" max="10959" width="11.7109375" style="1" customWidth="1"/>
    <col min="10960" max="10960" width="8.42578125" style="1" customWidth="1"/>
    <col min="10961" max="10961" width="10" style="1" customWidth="1"/>
    <col min="10962" max="10962" width="6.5703125" style="1" customWidth="1"/>
    <col min="10963" max="10963" width="6.140625" style="1" customWidth="1"/>
    <col min="10964" max="10967" width="9.140625" style="1" customWidth="1"/>
    <col min="10968" max="11200" width="9.140625" style="1"/>
    <col min="11201" max="11201" width="12.28515625" style="1" customWidth="1"/>
    <col min="11202" max="11209" width="9.28515625" style="1" customWidth="1"/>
    <col min="11210" max="11210" width="8.140625" style="1" customWidth="1"/>
    <col min="11211" max="11211" width="9.28515625" style="1" customWidth="1"/>
    <col min="11212" max="11213" width="10.5703125" style="1" customWidth="1"/>
    <col min="11214" max="11215" width="11.7109375" style="1" customWidth="1"/>
    <col min="11216" max="11216" width="8.42578125" style="1" customWidth="1"/>
    <col min="11217" max="11217" width="10" style="1" customWidth="1"/>
    <col min="11218" max="11218" width="6.5703125" style="1" customWidth="1"/>
    <col min="11219" max="11219" width="6.140625" style="1" customWidth="1"/>
    <col min="11220" max="11223" width="9.140625" style="1" customWidth="1"/>
    <col min="11224" max="11456" width="9.140625" style="1"/>
    <col min="11457" max="11457" width="12.28515625" style="1" customWidth="1"/>
    <col min="11458" max="11465" width="9.28515625" style="1" customWidth="1"/>
    <col min="11466" max="11466" width="8.140625" style="1" customWidth="1"/>
    <col min="11467" max="11467" width="9.28515625" style="1" customWidth="1"/>
    <col min="11468" max="11469" width="10.5703125" style="1" customWidth="1"/>
    <col min="11470" max="11471" width="11.7109375" style="1" customWidth="1"/>
    <col min="11472" max="11472" width="8.42578125" style="1" customWidth="1"/>
    <col min="11473" max="11473" width="10" style="1" customWidth="1"/>
    <col min="11474" max="11474" width="6.5703125" style="1" customWidth="1"/>
    <col min="11475" max="11475" width="6.140625" style="1" customWidth="1"/>
    <col min="11476" max="11479" width="9.140625" style="1" customWidth="1"/>
    <col min="11480" max="11712" width="9.140625" style="1"/>
    <col min="11713" max="11713" width="12.28515625" style="1" customWidth="1"/>
    <col min="11714" max="11721" width="9.28515625" style="1" customWidth="1"/>
    <col min="11722" max="11722" width="8.140625" style="1" customWidth="1"/>
    <col min="11723" max="11723" width="9.28515625" style="1" customWidth="1"/>
    <col min="11724" max="11725" width="10.5703125" style="1" customWidth="1"/>
    <col min="11726" max="11727" width="11.7109375" style="1" customWidth="1"/>
    <col min="11728" max="11728" width="8.42578125" style="1" customWidth="1"/>
    <col min="11729" max="11729" width="10" style="1" customWidth="1"/>
    <col min="11730" max="11730" width="6.5703125" style="1" customWidth="1"/>
    <col min="11731" max="11731" width="6.140625" style="1" customWidth="1"/>
    <col min="11732" max="11735" width="9.140625" style="1" customWidth="1"/>
    <col min="11736" max="11968" width="9.140625" style="1"/>
    <col min="11969" max="11969" width="12.28515625" style="1" customWidth="1"/>
    <col min="11970" max="11977" width="9.28515625" style="1" customWidth="1"/>
    <col min="11978" max="11978" width="8.140625" style="1" customWidth="1"/>
    <col min="11979" max="11979" width="9.28515625" style="1" customWidth="1"/>
    <col min="11980" max="11981" width="10.5703125" style="1" customWidth="1"/>
    <col min="11982" max="11983" width="11.7109375" style="1" customWidth="1"/>
    <col min="11984" max="11984" width="8.42578125" style="1" customWidth="1"/>
    <col min="11985" max="11985" width="10" style="1" customWidth="1"/>
    <col min="11986" max="11986" width="6.5703125" style="1" customWidth="1"/>
    <col min="11987" max="11987" width="6.140625" style="1" customWidth="1"/>
    <col min="11988" max="11991" width="9.140625" style="1" customWidth="1"/>
    <col min="11992" max="12224" width="9.140625" style="1"/>
    <col min="12225" max="12225" width="12.28515625" style="1" customWidth="1"/>
    <col min="12226" max="12233" width="9.28515625" style="1" customWidth="1"/>
    <col min="12234" max="12234" width="8.140625" style="1" customWidth="1"/>
    <col min="12235" max="12235" width="9.28515625" style="1" customWidth="1"/>
    <col min="12236" max="12237" width="10.5703125" style="1" customWidth="1"/>
    <col min="12238" max="12239" width="11.7109375" style="1" customWidth="1"/>
    <col min="12240" max="12240" width="8.42578125" style="1" customWidth="1"/>
    <col min="12241" max="12241" width="10" style="1" customWidth="1"/>
    <col min="12242" max="12242" width="6.5703125" style="1" customWidth="1"/>
    <col min="12243" max="12243" width="6.140625" style="1" customWidth="1"/>
    <col min="12244" max="12247" width="9.140625" style="1" customWidth="1"/>
    <col min="12248" max="12480" width="9.140625" style="1"/>
    <col min="12481" max="12481" width="12.28515625" style="1" customWidth="1"/>
    <col min="12482" max="12489" width="9.28515625" style="1" customWidth="1"/>
    <col min="12490" max="12490" width="8.140625" style="1" customWidth="1"/>
    <col min="12491" max="12491" width="9.28515625" style="1" customWidth="1"/>
    <col min="12492" max="12493" width="10.5703125" style="1" customWidth="1"/>
    <col min="12494" max="12495" width="11.7109375" style="1" customWidth="1"/>
    <col min="12496" max="12496" width="8.42578125" style="1" customWidth="1"/>
    <col min="12497" max="12497" width="10" style="1" customWidth="1"/>
    <col min="12498" max="12498" width="6.5703125" style="1" customWidth="1"/>
    <col min="12499" max="12499" width="6.140625" style="1" customWidth="1"/>
    <col min="12500" max="12503" width="9.140625" style="1" customWidth="1"/>
    <col min="12504" max="12736" width="9.140625" style="1"/>
    <col min="12737" max="12737" width="12.28515625" style="1" customWidth="1"/>
    <col min="12738" max="12745" width="9.28515625" style="1" customWidth="1"/>
    <col min="12746" max="12746" width="8.140625" style="1" customWidth="1"/>
    <col min="12747" max="12747" width="9.28515625" style="1" customWidth="1"/>
    <col min="12748" max="12749" width="10.5703125" style="1" customWidth="1"/>
    <col min="12750" max="12751" width="11.7109375" style="1" customWidth="1"/>
    <col min="12752" max="12752" width="8.42578125" style="1" customWidth="1"/>
    <col min="12753" max="12753" width="10" style="1" customWidth="1"/>
    <col min="12754" max="12754" width="6.5703125" style="1" customWidth="1"/>
    <col min="12755" max="12755" width="6.140625" style="1" customWidth="1"/>
    <col min="12756" max="12759" width="9.140625" style="1" customWidth="1"/>
    <col min="12760" max="12992" width="9.140625" style="1"/>
    <col min="12993" max="12993" width="12.28515625" style="1" customWidth="1"/>
    <col min="12994" max="13001" width="9.28515625" style="1" customWidth="1"/>
    <col min="13002" max="13002" width="8.140625" style="1" customWidth="1"/>
    <col min="13003" max="13003" width="9.28515625" style="1" customWidth="1"/>
    <col min="13004" max="13005" width="10.5703125" style="1" customWidth="1"/>
    <col min="13006" max="13007" width="11.7109375" style="1" customWidth="1"/>
    <col min="13008" max="13008" width="8.42578125" style="1" customWidth="1"/>
    <col min="13009" max="13009" width="10" style="1" customWidth="1"/>
    <col min="13010" max="13010" width="6.5703125" style="1" customWidth="1"/>
    <col min="13011" max="13011" width="6.140625" style="1" customWidth="1"/>
    <col min="13012" max="13015" width="9.140625" style="1" customWidth="1"/>
    <col min="13016" max="13248" width="9.140625" style="1"/>
    <col min="13249" max="13249" width="12.28515625" style="1" customWidth="1"/>
    <col min="13250" max="13257" width="9.28515625" style="1" customWidth="1"/>
    <col min="13258" max="13258" width="8.140625" style="1" customWidth="1"/>
    <col min="13259" max="13259" width="9.28515625" style="1" customWidth="1"/>
    <col min="13260" max="13261" width="10.5703125" style="1" customWidth="1"/>
    <col min="13262" max="13263" width="11.7109375" style="1" customWidth="1"/>
    <col min="13264" max="13264" width="8.42578125" style="1" customWidth="1"/>
    <col min="13265" max="13265" width="10" style="1" customWidth="1"/>
    <col min="13266" max="13266" width="6.5703125" style="1" customWidth="1"/>
    <col min="13267" max="13267" width="6.140625" style="1" customWidth="1"/>
    <col min="13268" max="13271" width="9.140625" style="1" customWidth="1"/>
    <col min="13272" max="13504" width="9.140625" style="1"/>
    <col min="13505" max="13505" width="12.28515625" style="1" customWidth="1"/>
    <col min="13506" max="13513" width="9.28515625" style="1" customWidth="1"/>
    <col min="13514" max="13514" width="8.140625" style="1" customWidth="1"/>
    <col min="13515" max="13515" width="9.28515625" style="1" customWidth="1"/>
    <col min="13516" max="13517" width="10.5703125" style="1" customWidth="1"/>
    <col min="13518" max="13519" width="11.7109375" style="1" customWidth="1"/>
    <col min="13520" max="13520" width="8.42578125" style="1" customWidth="1"/>
    <col min="13521" max="13521" width="10" style="1" customWidth="1"/>
    <col min="13522" max="13522" width="6.5703125" style="1" customWidth="1"/>
    <col min="13523" max="13523" width="6.140625" style="1" customWidth="1"/>
    <col min="13524" max="13527" width="9.140625" style="1" customWidth="1"/>
    <col min="13528" max="13760" width="9.140625" style="1"/>
    <col min="13761" max="13761" width="12.28515625" style="1" customWidth="1"/>
    <col min="13762" max="13769" width="9.28515625" style="1" customWidth="1"/>
    <col min="13770" max="13770" width="8.140625" style="1" customWidth="1"/>
    <col min="13771" max="13771" width="9.28515625" style="1" customWidth="1"/>
    <col min="13772" max="13773" width="10.5703125" style="1" customWidth="1"/>
    <col min="13774" max="13775" width="11.7109375" style="1" customWidth="1"/>
    <col min="13776" max="13776" width="8.42578125" style="1" customWidth="1"/>
    <col min="13777" max="13777" width="10" style="1" customWidth="1"/>
    <col min="13778" max="13778" width="6.5703125" style="1" customWidth="1"/>
    <col min="13779" max="13779" width="6.140625" style="1" customWidth="1"/>
    <col min="13780" max="13783" width="9.140625" style="1" customWidth="1"/>
    <col min="13784" max="14016" width="9.140625" style="1"/>
    <col min="14017" max="14017" width="12.28515625" style="1" customWidth="1"/>
    <col min="14018" max="14025" width="9.28515625" style="1" customWidth="1"/>
    <col min="14026" max="14026" width="8.140625" style="1" customWidth="1"/>
    <col min="14027" max="14027" width="9.28515625" style="1" customWidth="1"/>
    <col min="14028" max="14029" width="10.5703125" style="1" customWidth="1"/>
    <col min="14030" max="14031" width="11.7109375" style="1" customWidth="1"/>
    <col min="14032" max="14032" width="8.42578125" style="1" customWidth="1"/>
    <col min="14033" max="14033" width="10" style="1" customWidth="1"/>
    <col min="14034" max="14034" width="6.5703125" style="1" customWidth="1"/>
    <col min="14035" max="14035" width="6.140625" style="1" customWidth="1"/>
    <col min="14036" max="14039" width="9.140625" style="1" customWidth="1"/>
    <col min="14040" max="14272" width="9.140625" style="1"/>
    <col min="14273" max="14273" width="12.28515625" style="1" customWidth="1"/>
    <col min="14274" max="14281" width="9.28515625" style="1" customWidth="1"/>
    <col min="14282" max="14282" width="8.140625" style="1" customWidth="1"/>
    <col min="14283" max="14283" width="9.28515625" style="1" customWidth="1"/>
    <col min="14284" max="14285" width="10.5703125" style="1" customWidth="1"/>
    <col min="14286" max="14287" width="11.7109375" style="1" customWidth="1"/>
    <col min="14288" max="14288" width="8.42578125" style="1" customWidth="1"/>
    <col min="14289" max="14289" width="10" style="1" customWidth="1"/>
    <col min="14290" max="14290" width="6.5703125" style="1" customWidth="1"/>
    <col min="14291" max="14291" width="6.140625" style="1" customWidth="1"/>
    <col min="14292" max="14295" width="9.140625" style="1" customWidth="1"/>
    <col min="14296" max="14528" width="9.140625" style="1"/>
    <col min="14529" max="14529" width="12.28515625" style="1" customWidth="1"/>
    <col min="14530" max="14537" width="9.28515625" style="1" customWidth="1"/>
    <col min="14538" max="14538" width="8.140625" style="1" customWidth="1"/>
    <col min="14539" max="14539" width="9.28515625" style="1" customWidth="1"/>
    <col min="14540" max="14541" width="10.5703125" style="1" customWidth="1"/>
    <col min="14542" max="14543" width="11.7109375" style="1" customWidth="1"/>
    <col min="14544" max="14544" width="8.42578125" style="1" customWidth="1"/>
    <col min="14545" max="14545" width="10" style="1" customWidth="1"/>
    <col min="14546" max="14546" width="6.5703125" style="1" customWidth="1"/>
    <col min="14547" max="14547" width="6.140625" style="1" customWidth="1"/>
    <col min="14548" max="14551" width="9.140625" style="1" customWidth="1"/>
    <col min="14552" max="14784" width="9.140625" style="1"/>
    <col min="14785" max="14785" width="12.28515625" style="1" customWidth="1"/>
    <col min="14786" max="14793" width="9.28515625" style="1" customWidth="1"/>
    <col min="14794" max="14794" width="8.140625" style="1" customWidth="1"/>
    <col min="14795" max="14795" width="9.28515625" style="1" customWidth="1"/>
    <col min="14796" max="14797" width="10.5703125" style="1" customWidth="1"/>
    <col min="14798" max="14799" width="11.7109375" style="1" customWidth="1"/>
    <col min="14800" max="14800" width="8.42578125" style="1" customWidth="1"/>
    <col min="14801" max="14801" width="10" style="1" customWidth="1"/>
    <col min="14802" max="14802" width="6.5703125" style="1" customWidth="1"/>
    <col min="14803" max="14803" width="6.140625" style="1" customWidth="1"/>
    <col min="14804" max="14807" width="9.140625" style="1" customWidth="1"/>
    <col min="14808" max="15040" width="9.140625" style="1"/>
    <col min="15041" max="15041" width="12.28515625" style="1" customWidth="1"/>
    <col min="15042" max="15049" width="9.28515625" style="1" customWidth="1"/>
    <col min="15050" max="15050" width="8.140625" style="1" customWidth="1"/>
    <col min="15051" max="15051" width="9.28515625" style="1" customWidth="1"/>
    <col min="15052" max="15053" width="10.5703125" style="1" customWidth="1"/>
    <col min="15054" max="15055" width="11.7109375" style="1" customWidth="1"/>
    <col min="15056" max="15056" width="8.42578125" style="1" customWidth="1"/>
    <col min="15057" max="15057" width="10" style="1" customWidth="1"/>
    <col min="15058" max="15058" width="6.5703125" style="1" customWidth="1"/>
    <col min="15059" max="15059" width="6.140625" style="1" customWidth="1"/>
    <col min="15060" max="15063" width="9.140625" style="1" customWidth="1"/>
    <col min="15064" max="15296" width="9.140625" style="1"/>
    <col min="15297" max="15297" width="12.28515625" style="1" customWidth="1"/>
    <col min="15298" max="15305" width="9.28515625" style="1" customWidth="1"/>
    <col min="15306" max="15306" width="8.140625" style="1" customWidth="1"/>
    <col min="15307" max="15307" width="9.28515625" style="1" customWidth="1"/>
    <col min="15308" max="15309" width="10.5703125" style="1" customWidth="1"/>
    <col min="15310" max="15311" width="11.7109375" style="1" customWidth="1"/>
    <col min="15312" max="15312" width="8.42578125" style="1" customWidth="1"/>
    <col min="15313" max="15313" width="10" style="1" customWidth="1"/>
    <col min="15314" max="15314" width="6.5703125" style="1" customWidth="1"/>
    <col min="15315" max="15315" width="6.140625" style="1" customWidth="1"/>
    <col min="15316" max="15319" width="9.140625" style="1" customWidth="1"/>
    <col min="15320" max="15552" width="9.140625" style="1"/>
    <col min="15553" max="15553" width="12.28515625" style="1" customWidth="1"/>
    <col min="15554" max="15561" width="9.28515625" style="1" customWidth="1"/>
    <col min="15562" max="15562" width="8.140625" style="1" customWidth="1"/>
    <col min="15563" max="15563" width="9.28515625" style="1" customWidth="1"/>
    <col min="15564" max="15565" width="10.5703125" style="1" customWidth="1"/>
    <col min="15566" max="15567" width="11.7109375" style="1" customWidth="1"/>
    <col min="15568" max="15568" width="8.42578125" style="1" customWidth="1"/>
    <col min="15569" max="15569" width="10" style="1" customWidth="1"/>
    <col min="15570" max="15570" width="6.5703125" style="1" customWidth="1"/>
    <col min="15571" max="15571" width="6.140625" style="1" customWidth="1"/>
    <col min="15572" max="15575" width="9.140625" style="1" customWidth="1"/>
    <col min="15576" max="15808" width="9.140625" style="1"/>
    <col min="15809" max="15809" width="12.28515625" style="1" customWidth="1"/>
    <col min="15810" max="15817" width="9.28515625" style="1" customWidth="1"/>
    <col min="15818" max="15818" width="8.140625" style="1" customWidth="1"/>
    <col min="15819" max="15819" width="9.28515625" style="1" customWidth="1"/>
    <col min="15820" max="15821" width="10.5703125" style="1" customWidth="1"/>
    <col min="15822" max="15823" width="11.7109375" style="1" customWidth="1"/>
    <col min="15824" max="15824" width="8.42578125" style="1" customWidth="1"/>
    <col min="15825" max="15825" width="10" style="1" customWidth="1"/>
    <col min="15826" max="15826" width="6.5703125" style="1" customWidth="1"/>
    <col min="15827" max="15827" width="6.140625" style="1" customWidth="1"/>
    <col min="15828" max="15831" width="9.140625" style="1" customWidth="1"/>
    <col min="15832" max="16064" width="9.140625" style="1"/>
    <col min="16065" max="16065" width="12.28515625" style="1" customWidth="1"/>
    <col min="16066" max="16073" width="9.28515625" style="1" customWidth="1"/>
    <col min="16074" max="16074" width="8.140625" style="1" customWidth="1"/>
    <col min="16075" max="16075" width="9.28515625" style="1" customWidth="1"/>
    <col min="16076" max="16077" width="10.5703125" style="1" customWidth="1"/>
    <col min="16078" max="16079" width="11.7109375" style="1" customWidth="1"/>
    <col min="16080" max="16080" width="8.42578125" style="1" customWidth="1"/>
    <col min="16081" max="16081" width="10" style="1" customWidth="1"/>
    <col min="16082" max="16082" width="6.5703125" style="1" customWidth="1"/>
    <col min="16083" max="16083" width="6.140625" style="1" customWidth="1"/>
    <col min="16084" max="16087" width="9.140625" style="1" customWidth="1"/>
    <col min="16088" max="16320" width="9.140625" style="1"/>
    <col min="16321" max="16384" width="9.140625" style="1" customWidth="1"/>
  </cols>
  <sheetData>
    <row r="1" spans="1:22" ht="11.25" customHeight="1" x14ac:dyDescent="0.2">
      <c r="P1" s="263"/>
      <c r="Q1" s="263" t="s">
        <v>2</v>
      </c>
      <c r="R1" s="263" t="s">
        <v>3</v>
      </c>
    </row>
    <row r="2" spans="1:22" ht="11.25" customHeight="1" x14ac:dyDescent="0.2">
      <c r="P2" s="263" t="s">
        <v>165</v>
      </c>
      <c r="Q2" s="264"/>
      <c r="R2" s="264"/>
    </row>
    <row r="3" spans="1:22" ht="12.75" x14ac:dyDescent="0.2">
      <c r="A3" s="348" t="s">
        <v>166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265"/>
      <c r="P3" s="263" t="s">
        <v>167</v>
      </c>
      <c r="Q3" s="264"/>
      <c r="R3" s="264"/>
      <c r="S3" s="263"/>
    </row>
    <row r="4" spans="1:22" ht="13.5" thickBot="1" x14ac:dyDescent="0.25">
      <c r="A4" s="348" t="s">
        <v>195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265"/>
      <c r="P4" s="263" t="s">
        <v>3</v>
      </c>
      <c r="Q4" s="264">
        <v>1</v>
      </c>
      <c r="R4" s="264">
        <v>14</v>
      </c>
      <c r="S4" s="263"/>
    </row>
    <row r="5" spans="1:22" ht="11.25" customHeight="1" thickBot="1" x14ac:dyDescent="0.25">
      <c r="A5" s="349" t="s">
        <v>61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1"/>
      <c r="O5" s="266"/>
      <c r="P5" s="263" t="s">
        <v>168</v>
      </c>
      <c r="Q5" s="264"/>
      <c r="R5" s="264"/>
      <c r="S5" s="263"/>
    </row>
    <row r="6" spans="1:22" ht="12.75" customHeight="1" x14ac:dyDescent="0.2">
      <c r="A6" s="352" t="s">
        <v>169</v>
      </c>
      <c r="B6" s="334" t="s">
        <v>56</v>
      </c>
      <c r="C6" s="334"/>
      <c r="D6" s="334"/>
      <c r="E6" s="334"/>
      <c r="F6" s="334"/>
      <c r="G6" s="334"/>
      <c r="H6" s="334" t="s">
        <v>170</v>
      </c>
      <c r="I6" s="334"/>
      <c r="J6" s="334" t="s">
        <v>171</v>
      </c>
      <c r="K6" s="334"/>
      <c r="L6" s="334"/>
      <c r="M6" s="334"/>
      <c r="N6" s="335"/>
      <c r="O6" s="267"/>
      <c r="P6" s="262" t="s">
        <v>172</v>
      </c>
      <c r="Q6" s="268"/>
      <c r="R6" s="268"/>
      <c r="S6" s="269"/>
    </row>
    <row r="7" spans="1:22" ht="12.75" customHeight="1" x14ac:dyDescent="0.2">
      <c r="A7" s="330"/>
      <c r="B7" s="331" t="s">
        <v>36</v>
      </c>
      <c r="C7" s="331"/>
      <c r="D7" s="331" t="s">
        <v>173</v>
      </c>
      <c r="E7" s="331"/>
      <c r="F7" s="331" t="s">
        <v>174</v>
      </c>
      <c r="G7" s="331"/>
      <c r="H7" s="331" t="s">
        <v>175</v>
      </c>
      <c r="I7" s="331"/>
      <c r="J7" s="331"/>
      <c r="K7" s="331"/>
      <c r="L7" s="331"/>
      <c r="M7" s="331"/>
      <c r="N7" s="336"/>
      <c r="O7" s="267"/>
      <c r="P7" s="262" t="s">
        <v>176</v>
      </c>
      <c r="Q7" s="264"/>
      <c r="R7" s="264"/>
      <c r="S7" s="269"/>
    </row>
    <row r="8" spans="1:22" ht="11.25" customHeight="1" x14ac:dyDescent="0.2">
      <c r="A8" s="330"/>
      <c r="B8" s="337">
        <v>1022</v>
      </c>
      <c r="C8" s="337"/>
      <c r="D8" s="337">
        <v>31</v>
      </c>
      <c r="E8" s="337"/>
      <c r="F8" s="337"/>
      <c r="G8" s="337"/>
      <c r="H8" s="337">
        <v>1052</v>
      </c>
      <c r="I8" s="337"/>
      <c r="J8" s="337">
        <f>B8+D8+F8+H8</f>
        <v>2105</v>
      </c>
      <c r="K8" s="337"/>
      <c r="L8" s="337"/>
      <c r="M8" s="337"/>
      <c r="N8" s="339"/>
      <c r="O8" s="270"/>
      <c r="P8" s="263" t="s">
        <v>177</v>
      </c>
      <c r="Q8" s="271">
        <v>0.82</v>
      </c>
      <c r="R8" s="272">
        <v>1.27</v>
      </c>
      <c r="S8" s="263"/>
    </row>
    <row r="9" spans="1:22" ht="9" customHeight="1" x14ac:dyDescent="0.2">
      <c r="A9" s="322" t="s">
        <v>4</v>
      </c>
      <c r="B9" s="323" t="s">
        <v>5</v>
      </c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5"/>
      <c r="O9" s="273"/>
      <c r="Q9" s="264"/>
      <c r="R9" s="264"/>
    </row>
    <row r="10" spans="1:22" ht="25.5" customHeight="1" x14ac:dyDescent="0.2">
      <c r="A10" s="322"/>
      <c r="B10" s="274" t="s">
        <v>178</v>
      </c>
      <c r="C10" s="274" t="s">
        <v>179</v>
      </c>
      <c r="D10" s="274" t="s">
        <v>178</v>
      </c>
      <c r="E10" s="274" t="s">
        <v>179</v>
      </c>
      <c r="F10" s="274" t="s">
        <v>178</v>
      </c>
      <c r="G10" s="274" t="s">
        <v>179</v>
      </c>
      <c r="H10" s="274" t="s">
        <v>178</v>
      </c>
      <c r="I10" s="274" t="s">
        <v>179</v>
      </c>
      <c r="J10" s="275" t="s">
        <v>178</v>
      </c>
      <c r="K10" s="276" t="s">
        <v>179</v>
      </c>
      <c r="L10" s="277" t="s">
        <v>180</v>
      </c>
      <c r="M10" s="277" t="s">
        <v>181</v>
      </c>
      <c r="N10" s="278" t="s">
        <v>182</v>
      </c>
      <c r="O10" s="279"/>
      <c r="Q10" s="280"/>
    </row>
    <row r="11" spans="1:22" x14ac:dyDescent="0.2">
      <c r="A11" s="281" t="s">
        <v>8</v>
      </c>
      <c r="B11" s="282">
        <f>$B$8*Q2</f>
        <v>0</v>
      </c>
      <c r="C11" s="282">
        <v>46</v>
      </c>
      <c r="D11" s="282">
        <f>$D$8*Q2</f>
        <v>0</v>
      </c>
      <c r="E11" s="282">
        <v>1</v>
      </c>
      <c r="F11" s="282">
        <f>$F$8*Q2</f>
        <v>0</v>
      </c>
      <c r="G11" s="282"/>
      <c r="H11" s="282">
        <f t="shared" ref="H11:H17" si="0">$H$8*R2</f>
        <v>0</v>
      </c>
      <c r="I11" s="282">
        <v>40</v>
      </c>
      <c r="J11" s="283">
        <f>B11+D11+F11+H11</f>
        <v>0</v>
      </c>
      <c r="K11" s="283">
        <f>C11+E11+G11+I11</f>
        <v>87</v>
      </c>
      <c r="L11" s="284"/>
      <c r="M11" s="284">
        <f t="shared" ref="M11:M17" si="1">K11/$J$8</f>
        <v>4.1330166270783848E-2</v>
      </c>
      <c r="N11" s="285">
        <f>M11-L11</f>
        <v>4.1330166270783848E-2</v>
      </c>
      <c r="O11" s="286"/>
      <c r="P11" s="3"/>
      <c r="Q11" s="3"/>
      <c r="R11" s="287"/>
      <c r="S11" s="287"/>
      <c r="T11" s="287"/>
      <c r="U11" s="287"/>
      <c r="V11" s="287"/>
    </row>
    <row r="12" spans="1:22" x14ac:dyDescent="0.2">
      <c r="A12" s="281" t="s">
        <v>9</v>
      </c>
      <c r="B12" s="282">
        <f t="shared" ref="B12:B17" si="2">$B$8*Q3</f>
        <v>0</v>
      </c>
      <c r="C12" s="282">
        <v>78</v>
      </c>
      <c r="D12" s="282">
        <f>$D$8*Q3</f>
        <v>0</v>
      </c>
      <c r="E12" s="282"/>
      <c r="F12" s="282">
        <f>$F$8*Q3</f>
        <v>0</v>
      </c>
      <c r="G12" s="282"/>
      <c r="H12" s="282">
        <f t="shared" si="0"/>
        <v>0</v>
      </c>
      <c r="I12" s="282">
        <v>93</v>
      </c>
      <c r="J12" s="283">
        <f t="shared" ref="J12:K17" si="3">B12+D12+F12+H12</f>
        <v>0</v>
      </c>
      <c r="K12" s="283">
        <f t="shared" si="3"/>
        <v>171</v>
      </c>
      <c r="L12" s="284"/>
      <c r="M12" s="284">
        <f t="shared" si="1"/>
        <v>8.1235154394299292E-2</v>
      </c>
      <c r="N12" s="285">
        <f t="shared" ref="N12:N17" si="4">M12-L12</f>
        <v>8.1235154394299292E-2</v>
      </c>
      <c r="O12" s="286"/>
      <c r="P12" s="3"/>
      <c r="Q12" s="3"/>
      <c r="R12" s="287"/>
      <c r="S12" s="287"/>
      <c r="T12" s="287"/>
      <c r="U12" s="287"/>
      <c r="V12" s="287"/>
    </row>
    <row r="13" spans="1:22" x14ac:dyDescent="0.2">
      <c r="A13" s="281" t="s">
        <v>10</v>
      </c>
      <c r="B13" s="282">
        <f t="shared" si="2"/>
        <v>1022</v>
      </c>
      <c r="C13" s="282">
        <v>1167</v>
      </c>
      <c r="D13" s="282"/>
      <c r="E13" s="282"/>
      <c r="F13" s="282"/>
      <c r="G13" s="288"/>
      <c r="H13" s="282">
        <f t="shared" si="0"/>
        <v>14728</v>
      </c>
      <c r="I13" s="282">
        <v>7756</v>
      </c>
      <c r="J13" s="283">
        <f t="shared" si="3"/>
        <v>15750</v>
      </c>
      <c r="K13" s="283">
        <f>C13+E13+G13+I13</f>
        <v>8923</v>
      </c>
      <c r="L13" s="284"/>
      <c r="M13" s="284">
        <f t="shared" si="1"/>
        <v>4.2389548693586701</v>
      </c>
      <c r="N13" s="285">
        <f t="shared" si="4"/>
        <v>4.2389548693586701</v>
      </c>
      <c r="O13" s="286"/>
      <c r="P13" s="3"/>
      <c r="Q13" s="3"/>
      <c r="R13" s="287"/>
      <c r="S13" s="287"/>
      <c r="T13" s="287"/>
      <c r="U13" s="287"/>
      <c r="V13" s="287"/>
    </row>
    <row r="14" spans="1:22" x14ac:dyDescent="0.2">
      <c r="A14" s="281" t="s">
        <v>11</v>
      </c>
      <c r="B14" s="282">
        <f t="shared" si="2"/>
        <v>0</v>
      </c>
      <c r="C14" s="282">
        <v>88</v>
      </c>
      <c r="D14" s="282">
        <f>$D$8*Q5</f>
        <v>0</v>
      </c>
      <c r="E14" s="282"/>
      <c r="F14" s="282">
        <f>$F$8*Q5</f>
        <v>0</v>
      </c>
      <c r="G14" s="282"/>
      <c r="H14" s="282">
        <f t="shared" si="0"/>
        <v>0</v>
      </c>
      <c r="I14" s="282">
        <v>114</v>
      </c>
      <c r="J14" s="283">
        <f t="shared" si="3"/>
        <v>0</v>
      </c>
      <c r="K14" s="283">
        <f t="shared" si="3"/>
        <v>202</v>
      </c>
      <c r="L14" s="284"/>
      <c r="M14" s="284">
        <f t="shared" si="1"/>
        <v>9.5961995249406171E-2</v>
      </c>
      <c r="N14" s="285">
        <f t="shared" si="4"/>
        <v>9.5961995249406171E-2</v>
      </c>
      <c r="O14" s="286"/>
      <c r="P14" s="3"/>
      <c r="R14" s="287"/>
      <c r="S14" s="287"/>
      <c r="T14" s="287"/>
      <c r="U14" s="287"/>
      <c r="V14" s="287"/>
    </row>
    <row r="15" spans="1:22" x14ac:dyDescent="0.2">
      <c r="A15" s="281" t="s">
        <v>183</v>
      </c>
      <c r="B15" s="282">
        <f t="shared" si="2"/>
        <v>0</v>
      </c>
      <c r="C15" s="289">
        <v>46</v>
      </c>
      <c r="D15" s="282">
        <f>$D$8*Q6</f>
        <v>0</v>
      </c>
      <c r="E15" s="282"/>
      <c r="F15" s="282">
        <f>$F$8*Q6</f>
        <v>0</v>
      </c>
      <c r="G15" s="282"/>
      <c r="H15" s="282">
        <f t="shared" si="0"/>
        <v>0</v>
      </c>
      <c r="I15" s="289">
        <v>521</v>
      </c>
      <c r="J15" s="283">
        <f t="shared" si="3"/>
        <v>0</v>
      </c>
      <c r="K15" s="283">
        <f t="shared" si="3"/>
        <v>567</v>
      </c>
      <c r="L15" s="290"/>
      <c r="M15" s="284">
        <f t="shared" si="1"/>
        <v>0.26935866983372919</v>
      </c>
      <c r="N15" s="285">
        <f t="shared" si="4"/>
        <v>0.26935866983372919</v>
      </c>
      <c r="O15" s="286"/>
      <c r="P15" s="3"/>
      <c r="R15" s="287"/>
      <c r="S15" s="287"/>
      <c r="T15" s="287"/>
      <c r="U15" s="287"/>
      <c r="V15" s="287"/>
    </row>
    <row r="16" spans="1:22" x14ac:dyDescent="0.2">
      <c r="A16" s="281" t="s">
        <v>12</v>
      </c>
      <c r="B16" s="282">
        <f t="shared" si="2"/>
        <v>0</v>
      </c>
      <c r="C16" s="289">
        <v>43</v>
      </c>
      <c r="D16" s="282">
        <f>$D$8*Q7</f>
        <v>0</v>
      </c>
      <c r="E16" s="282"/>
      <c r="F16" s="282">
        <f>$F$8*Q7</f>
        <v>0</v>
      </c>
      <c r="G16" s="282"/>
      <c r="H16" s="282">
        <f t="shared" si="0"/>
        <v>0</v>
      </c>
      <c r="I16" s="289">
        <v>81</v>
      </c>
      <c r="J16" s="283">
        <f t="shared" si="3"/>
        <v>0</v>
      </c>
      <c r="K16" s="283">
        <f t="shared" si="3"/>
        <v>124</v>
      </c>
      <c r="L16" s="284"/>
      <c r="M16" s="284">
        <f t="shared" si="1"/>
        <v>5.8907363420427551E-2</v>
      </c>
      <c r="N16" s="285">
        <f t="shared" si="4"/>
        <v>5.8907363420427551E-2</v>
      </c>
      <c r="O16" s="286"/>
      <c r="P16" s="3"/>
      <c r="R16" s="287"/>
      <c r="S16" s="287"/>
      <c r="T16" s="287"/>
      <c r="U16" s="287"/>
      <c r="V16" s="287"/>
    </row>
    <row r="17" spans="1:22" ht="12.75" thickBot="1" x14ac:dyDescent="0.25">
      <c r="A17" s="291" t="s">
        <v>184</v>
      </c>
      <c r="B17" s="292">
        <f t="shared" si="2"/>
        <v>838.04</v>
      </c>
      <c r="C17" s="292">
        <v>648</v>
      </c>
      <c r="D17" s="292">
        <f>$D$8*Q8</f>
        <v>25.419999999999998</v>
      </c>
      <c r="E17" s="292">
        <v>8</v>
      </c>
      <c r="F17" s="292">
        <f>$F$8*Q8</f>
        <v>0</v>
      </c>
      <c r="G17" s="292"/>
      <c r="H17" s="292">
        <f t="shared" si="0"/>
        <v>1336.04</v>
      </c>
      <c r="I17" s="292">
        <v>1015</v>
      </c>
      <c r="J17" s="293">
        <f>B17+D17+F17+H17</f>
        <v>2199.5</v>
      </c>
      <c r="K17" s="293">
        <f t="shared" si="3"/>
        <v>1671</v>
      </c>
      <c r="L17" s="294"/>
      <c r="M17" s="294">
        <f t="shared" si="1"/>
        <v>0.79382422802850361</v>
      </c>
      <c r="N17" s="295">
        <f t="shared" si="4"/>
        <v>0.79382422802850361</v>
      </c>
      <c r="O17" s="286"/>
      <c r="P17" s="3"/>
      <c r="R17" s="287"/>
      <c r="S17" s="287"/>
      <c r="T17" s="287"/>
      <c r="U17" s="287"/>
      <c r="V17" s="287"/>
    </row>
    <row r="18" spans="1:22" ht="12.75" thickBot="1" x14ac:dyDescent="0.25">
      <c r="A18" s="344" t="s">
        <v>185</v>
      </c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6"/>
      <c r="M18" s="346"/>
      <c r="N18" s="347"/>
      <c r="O18" s="296"/>
      <c r="P18" s="3"/>
      <c r="R18" s="287"/>
      <c r="S18" s="287"/>
      <c r="T18" s="287"/>
      <c r="U18" s="287"/>
      <c r="V18" s="287"/>
    </row>
    <row r="19" spans="1:22" ht="12" customHeight="1" x14ac:dyDescent="0.2">
      <c r="A19" s="330" t="s">
        <v>169</v>
      </c>
      <c r="B19" s="331" t="s">
        <v>56</v>
      </c>
      <c r="C19" s="331"/>
      <c r="D19" s="331"/>
      <c r="E19" s="331"/>
      <c r="F19" s="331"/>
      <c r="G19" s="331"/>
      <c r="H19" s="332" t="s">
        <v>59</v>
      </c>
      <c r="I19" s="333"/>
      <c r="J19" s="334" t="s">
        <v>171</v>
      </c>
      <c r="K19" s="334"/>
      <c r="L19" s="334"/>
      <c r="M19" s="334"/>
      <c r="N19" s="335"/>
      <c r="O19" s="267"/>
      <c r="P19" s="3"/>
      <c r="R19" s="287"/>
      <c r="S19" s="287"/>
      <c r="T19" s="287"/>
      <c r="U19" s="287"/>
      <c r="V19" s="287"/>
    </row>
    <row r="20" spans="1:22" x14ac:dyDescent="0.2">
      <c r="A20" s="330"/>
      <c r="B20" s="331" t="s">
        <v>36</v>
      </c>
      <c r="C20" s="331"/>
      <c r="D20" s="331" t="s">
        <v>37</v>
      </c>
      <c r="E20" s="331"/>
      <c r="F20" s="331" t="s">
        <v>186</v>
      </c>
      <c r="G20" s="331"/>
      <c r="H20" s="332" t="s">
        <v>36</v>
      </c>
      <c r="I20" s="333"/>
      <c r="J20" s="331"/>
      <c r="K20" s="331"/>
      <c r="L20" s="331"/>
      <c r="M20" s="331"/>
      <c r="N20" s="336"/>
      <c r="O20" s="267"/>
      <c r="P20" s="3"/>
      <c r="R20" s="287"/>
      <c r="S20" s="287"/>
      <c r="T20" s="287"/>
      <c r="U20" s="287"/>
      <c r="V20" s="287"/>
    </row>
    <row r="21" spans="1:22" x14ac:dyDescent="0.2">
      <c r="A21" s="330"/>
      <c r="B21" s="337">
        <v>1691</v>
      </c>
      <c r="C21" s="337"/>
      <c r="D21" s="337">
        <v>117</v>
      </c>
      <c r="E21" s="337"/>
      <c r="F21" s="337">
        <v>253</v>
      </c>
      <c r="G21" s="337"/>
      <c r="H21" s="338"/>
      <c r="I21" s="343"/>
      <c r="J21" s="337">
        <f>B21+D21+F21+H21</f>
        <v>2061</v>
      </c>
      <c r="K21" s="337"/>
      <c r="L21" s="338"/>
      <c r="M21" s="338"/>
      <c r="N21" s="339"/>
      <c r="O21" s="270"/>
      <c r="P21" s="3"/>
      <c r="R21" s="287"/>
      <c r="S21" s="287"/>
      <c r="T21" s="287"/>
      <c r="U21" s="287"/>
      <c r="V21" s="287"/>
    </row>
    <row r="22" spans="1:22" ht="24" x14ac:dyDescent="0.2">
      <c r="A22" s="297" t="s">
        <v>4</v>
      </c>
      <c r="B22" s="274" t="s">
        <v>178</v>
      </c>
      <c r="C22" s="274" t="s">
        <v>179</v>
      </c>
      <c r="D22" s="274" t="s">
        <v>178</v>
      </c>
      <c r="E22" s="274" t="s">
        <v>179</v>
      </c>
      <c r="F22" s="274" t="s">
        <v>178</v>
      </c>
      <c r="G22" s="274" t="s">
        <v>179</v>
      </c>
      <c r="H22" s="274" t="s">
        <v>178</v>
      </c>
      <c r="I22" s="274" t="s">
        <v>179</v>
      </c>
      <c r="J22" s="275" t="s">
        <v>178</v>
      </c>
      <c r="K22" s="276" t="s">
        <v>179</v>
      </c>
      <c r="L22" s="277" t="s">
        <v>180</v>
      </c>
      <c r="M22" s="277" t="s">
        <v>181</v>
      </c>
      <c r="N22" s="278" t="s">
        <v>182</v>
      </c>
      <c r="O22" s="279"/>
      <c r="P22" s="3"/>
      <c r="Q22" s="3"/>
      <c r="R22" s="287"/>
      <c r="S22" s="287"/>
      <c r="T22" s="287"/>
      <c r="U22" s="287"/>
      <c r="V22" s="287"/>
    </row>
    <row r="23" spans="1:22" x14ac:dyDescent="0.2">
      <c r="A23" s="281" t="s">
        <v>8</v>
      </c>
      <c r="B23" s="282">
        <f t="shared" ref="B23:B29" si="5">$B$21*Q2</f>
        <v>0</v>
      </c>
      <c r="C23" s="282">
        <v>109</v>
      </c>
      <c r="D23" s="282">
        <f>$D$21*Q2</f>
        <v>0</v>
      </c>
      <c r="E23" s="282">
        <v>7</v>
      </c>
      <c r="F23" s="282">
        <f>$F$21*Q2</f>
        <v>0</v>
      </c>
      <c r="G23" s="282">
        <v>3</v>
      </c>
      <c r="H23" s="282"/>
      <c r="I23" s="282"/>
      <c r="J23" s="283">
        <f>B23+D23+F23+H23</f>
        <v>0</v>
      </c>
      <c r="K23" s="283">
        <f>C23+E23+G23+I23</f>
        <v>119</v>
      </c>
      <c r="L23" s="298"/>
      <c r="M23" s="298">
        <f>K23/$J$21</f>
        <v>5.7738961669092675E-2</v>
      </c>
      <c r="N23" s="285">
        <f>M23-L23</f>
        <v>5.7738961669092675E-2</v>
      </c>
      <c r="O23" s="299"/>
      <c r="P23" s="3"/>
      <c r="Q23" s="3"/>
      <c r="R23" s="287"/>
      <c r="S23" s="287"/>
      <c r="T23" s="287"/>
      <c r="U23" s="287"/>
      <c r="V23" s="287"/>
    </row>
    <row r="24" spans="1:22" x14ac:dyDescent="0.2">
      <c r="A24" s="281" t="s">
        <v>9</v>
      </c>
      <c r="B24" s="282">
        <f t="shared" si="5"/>
        <v>0</v>
      </c>
      <c r="C24" s="282">
        <v>322</v>
      </c>
      <c r="D24" s="282">
        <f>$D$21*Q3</f>
        <v>0</v>
      </c>
      <c r="E24" s="282">
        <v>2</v>
      </c>
      <c r="F24" s="282">
        <f>$F$21*Q3</f>
        <v>0</v>
      </c>
      <c r="G24" s="282">
        <v>12</v>
      </c>
      <c r="H24" s="282"/>
      <c r="I24" s="282"/>
      <c r="J24" s="283">
        <f t="shared" ref="J24:K29" si="6">B24+D24+F24+H24</f>
        <v>0</v>
      </c>
      <c r="K24" s="283">
        <f t="shared" si="6"/>
        <v>336</v>
      </c>
      <c r="L24" s="298"/>
      <c r="M24" s="298">
        <f t="shared" ref="M24:M29" si="7">K24/$J$21</f>
        <v>0.16302765647743814</v>
      </c>
      <c r="N24" s="285">
        <f t="shared" ref="N24:N29" si="8">M24-L24</f>
        <v>0.16302765647743814</v>
      </c>
      <c r="O24" s="299"/>
      <c r="P24" s="3"/>
      <c r="Q24" s="3"/>
      <c r="R24" s="287"/>
      <c r="S24" s="287"/>
      <c r="T24" s="287"/>
      <c r="U24" s="287"/>
      <c r="V24" s="287"/>
    </row>
    <row r="25" spans="1:22" x14ac:dyDescent="0.2">
      <c r="A25" s="281" t="s">
        <v>10</v>
      </c>
      <c r="B25" s="282">
        <f t="shared" si="5"/>
        <v>1691</v>
      </c>
      <c r="C25" s="282">
        <v>1762</v>
      </c>
      <c r="D25" s="282"/>
      <c r="E25" s="282"/>
      <c r="F25" s="282"/>
      <c r="G25" s="300"/>
      <c r="H25" s="300"/>
      <c r="I25" s="300"/>
      <c r="J25" s="283">
        <f t="shared" si="6"/>
        <v>1691</v>
      </c>
      <c r="K25" s="283">
        <f t="shared" si="6"/>
        <v>1762</v>
      </c>
      <c r="L25" s="298"/>
      <c r="M25" s="298">
        <f t="shared" si="7"/>
        <v>0.85492479378942265</v>
      </c>
      <c r="N25" s="285">
        <f t="shared" si="8"/>
        <v>0.85492479378942265</v>
      </c>
      <c r="O25" s="299"/>
      <c r="P25" s="3"/>
      <c r="Q25" s="3"/>
      <c r="R25" s="287"/>
      <c r="S25" s="287"/>
      <c r="T25" s="287"/>
      <c r="U25" s="287"/>
      <c r="V25" s="287"/>
    </row>
    <row r="26" spans="1:22" x14ac:dyDescent="0.2">
      <c r="A26" s="281" t="s">
        <v>11</v>
      </c>
      <c r="B26" s="282">
        <f t="shared" si="5"/>
        <v>0</v>
      </c>
      <c r="C26" s="282">
        <v>58</v>
      </c>
      <c r="D26" s="282">
        <f>$D$21*Q5</f>
        <v>0</v>
      </c>
      <c r="E26" s="282">
        <v>6</v>
      </c>
      <c r="F26" s="282">
        <f>$F$21*Q5</f>
        <v>0</v>
      </c>
      <c r="G26" s="300">
        <v>3</v>
      </c>
      <c r="H26" s="300"/>
      <c r="I26" s="300"/>
      <c r="J26" s="283">
        <f t="shared" si="6"/>
        <v>0</v>
      </c>
      <c r="K26" s="283">
        <f t="shared" si="6"/>
        <v>67</v>
      </c>
      <c r="L26" s="298"/>
      <c r="M26" s="298">
        <f t="shared" si="7"/>
        <v>3.2508491023774864E-2</v>
      </c>
      <c r="N26" s="285">
        <f t="shared" si="8"/>
        <v>3.2508491023774864E-2</v>
      </c>
      <c r="O26" s="299"/>
      <c r="P26" s="3"/>
      <c r="Q26" s="3"/>
      <c r="R26" s="287"/>
      <c r="S26" s="287"/>
      <c r="T26" s="287"/>
      <c r="U26" s="287"/>
      <c r="V26" s="287"/>
    </row>
    <row r="27" spans="1:22" x14ac:dyDescent="0.2">
      <c r="A27" s="301" t="s">
        <v>183</v>
      </c>
      <c r="B27" s="282">
        <f t="shared" si="5"/>
        <v>0</v>
      </c>
      <c r="C27" s="289">
        <v>170</v>
      </c>
      <c r="D27" s="282">
        <f>$D$21*Q6</f>
        <v>0</v>
      </c>
      <c r="E27" s="282">
        <v>17</v>
      </c>
      <c r="F27" s="282">
        <f>$F$21*Q6</f>
        <v>0</v>
      </c>
      <c r="G27" s="300">
        <v>29</v>
      </c>
      <c r="H27" s="300"/>
      <c r="I27" s="300"/>
      <c r="J27" s="283">
        <f t="shared" si="6"/>
        <v>0</v>
      </c>
      <c r="K27" s="283">
        <f t="shared" si="6"/>
        <v>216</v>
      </c>
      <c r="L27" s="298"/>
      <c r="M27" s="298">
        <f t="shared" si="7"/>
        <v>0.10480349344978165</v>
      </c>
      <c r="N27" s="285">
        <f t="shared" si="8"/>
        <v>0.10480349344978165</v>
      </c>
      <c r="O27" s="299"/>
      <c r="P27" s="3"/>
      <c r="Q27" s="3"/>
      <c r="R27" s="287"/>
      <c r="S27" s="287"/>
      <c r="T27" s="287"/>
      <c r="U27" s="287"/>
      <c r="V27" s="287"/>
    </row>
    <row r="28" spans="1:22" x14ac:dyDescent="0.2">
      <c r="A28" s="301" t="s">
        <v>12</v>
      </c>
      <c r="B28" s="282">
        <f t="shared" si="5"/>
        <v>0</v>
      </c>
      <c r="C28" s="289">
        <v>21</v>
      </c>
      <c r="D28" s="282">
        <f>$D$21*Q7</f>
        <v>0</v>
      </c>
      <c r="E28" s="282"/>
      <c r="F28" s="282">
        <f>$F$21*Q7</f>
        <v>0</v>
      </c>
      <c r="G28" s="300">
        <v>9</v>
      </c>
      <c r="H28" s="300"/>
      <c r="I28" s="300"/>
      <c r="J28" s="283">
        <f t="shared" si="6"/>
        <v>0</v>
      </c>
      <c r="K28" s="283">
        <f t="shared" si="6"/>
        <v>30</v>
      </c>
      <c r="L28" s="298"/>
      <c r="M28" s="298">
        <f t="shared" si="7"/>
        <v>1.4556040756914119E-2</v>
      </c>
      <c r="N28" s="285">
        <f t="shared" si="8"/>
        <v>1.4556040756914119E-2</v>
      </c>
      <c r="O28" s="299"/>
      <c r="P28" s="3"/>
      <c r="Q28" s="3"/>
      <c r="R28" s="287"/>
      <c r="S28" s="287"/>
      <c r="T28" s="287"/>
      <c r="U28" s="287"/>
      <c r="V28" s="287"/>
    </row>
    <row r="29" spans="1:22" ht="12.75" thickBot="1" x14ac:dyDescent="0.25">
      <c r="A29" s="291" t="s">
        <v>184</v>
      </c>
      <c r="B29" s="282">
        <f t="shared" si="5"/>
        <v>1386.62</v>
      </c>
      <c r="C29" s="292">
        <v>1044</v>
      </c>
      <c r="D29" s="282">
        <f>$D$21*Q8</f>
        <v>95.94</v>
      </c>
      <c r="E29" s="292">
        <v>84</v>
      </c>
      <c r="F29" s="282">
        <f>$F$21*Q8</f>
        <v>207.45999999999998</v>
      </c>
      <c r="G29" s="302">
        <v>281</v>
      </c>
      <c r="H29" s="302"/>
      <c r="I29" s="302"/>
      <c r="J29" s="283">
        <f t="shared" si="6"/>
        <v>1690.02</v>
      </c>
      <c r="K29" s="283">
        <f t="shared" si="6"/>
        <v>1409</v>
      </c>
      <c r="L29" s="298"/>
      <c r="M29" s="298">
        <f t="shared" si="7"/>
        <v>0.68364871421639983</v>
      </c>
      <c r="N29" s="285">
        <f t="shared" si="8"/>
        <v>0.68364871421639983</v>
      </c>
      <c r="O29" s="299"/>
      <c r="P29" s="3"/>
      <c r="Q29" s="3"/>
      <c r="R29" s="287"/>
      <c r="S29" s="287"/>
      <c r="T29" s="287"/>
      <c r="U29" s="287"/>
      <c r="V29" s="287"/>
    </row>
    <row r="30" spans="1:22" ht="12.75" thickBot="1" x14ac:dyDescent="0.25">
      <c r="A30" s="340" t="s">
        <v>187</v>
      </c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2"/>
      <c r="O30" s="296"/>
    </row>
    <row r="31" spans="1:22" ht="12" customHeight="1" x14ac:dyDescent="0.2">
      <c r="A31" s="330" t="s">
        <v>169</v>
      </c>
      <c r="B31" s="331" t="s">
        <v>56</v>
      </c>
      <c r="C31" s="331"/>
      <c r="D31" s="331"/>
      <c r="E31" s="331"/>
      <c r="F31" s="331"/>
      <c r="G31" s="331"/>
      <c r="H31" s="332" t="s">
        <v>59</v>
      </c>
      <c r="I31" s="333"/>
      <c r="J31" s="334" t="s">
        <v>171</v>
      </c>
      <c r="K31" s="334"/>
      <c r="L31" s="334"/>
      <c r="M31" s="334"/>
      <c r="N31" s="335"/>
      <c r="O31" s="296"/>
    </row>
    <row r="32" spans="1:22" ht="12.75" customHeight="1" x14ac:dyDescent="0.2">
      <c r="A32" s="330"/>
      <c r="B32" s="331" t="s">
        <v>36</v>
      </c>
      <c r="C32" s="331"/>
      <c r="D32" s="331" t="s">
        <v>37</v>
      </c>
      <c r="E32" s="331"/>
      <c r="F32" s="331" t="s">
        <v>188</v>
      </c>
      <c r="G32" s="331"/>
      <c r="H32" s="332" t="s">
        <v>65</v>
      </c>
      <c r="I32" s="333"/>
      <c r="J32" s="331"/>
      <c r="K32" s="331"/>
      <c r="L32" s="331"/>
      <c r="M32" s="331"/>
      <c r="N32" s="336"/>
      <c r="O32" s="296"/>
    </row>
    <row r="33" spans="1:18" ht="12.75" customHeight="1" x14ac:dyDescent="0.2">
      <c r="A33" s="330"/>
      <c r="B33" s="337"/>
      <c r="C33" s="337"/>
      <c r="D33" s="338"/>
      <c r="E33" s="343"/>
      <c r="F33" s="337"/>
      <c r="G33" s="337"/>
      <c r="H33" s="338">
        <v>22</v>
      </c>
      <c r="I33" s="343"/>
      <c r="J33" s="337">
        <f>B33+D33+F33+H33</f>
        <v>22</v>
      </c>
      <c r="K33" s="337"/>
      <c r="L33" s="338"/>
      <c r="M33" s="338"/>
      <c r="N33" s="339"/>
      <c r="O33" s="296"/>
    </row>
    <row r="34" spans="1:18" x14ac:dyDescent="0.2">
      <c r="A34" s="322" t="s">
        <v>4</v>
      </c>
      <c r="B34" s="323" t="s">
        <v>5</v>
      </c>
      <c r="C34" s="323"/>
      <c r="D34" s="323"/>
      <c r="E34" s="323"/>
      <c r="F34" s="323"/>
      <c r="G34" s="323"/>
      <c r="H34" s="323"/>
      <c r="I34" s="323"/>
      <c r="J34" s="323"/>
      <c r="K34" s="323"/>
      <c r="L34" s="324"/>
      <c r="M34" s="324"/>
      <c r="N34" s="325"/>
      <c r="O34" s="296"/>
    </row>
    <row r="35" spans="1:18" ht="24" x14ac:dyDescent="0.2">
      <c r="A35" s="322"/>
      <c r="B35" s="274" t="s">
        <v>178</v>
      </c>
      <c r="C35" s="274" t="s">
        <v>179</v>
      </c>
      <c r="D35" s="274" t="s">
        <v>178</v>
      </c>
      <c r="E35" s="274" t="s">
        <v>179</v>
      </c>
      <c r="F35" s="274" t="s">
        <v>178</v>
      </c>
      <c r="G35" s="274" t="s">
        <v>179</v>
      </c>
      <c r="H35" s="274" t="s">
        <v>178</v>
      </c>
      <c r="I35" s="274" t="s">
        <v>179</v>
      </c>
      <c r="J35" s="275" t="s">
        <v>178</v>
      </c>
      <c r="K35" s="276" t="s">
        <v>179</v>
      </c>
      <c r="L35" s="277" t="s">
        <v>180</v>
      </c>
      <c r="M35" s="277" t="s">
        <v>181</v>
      </c>
      <c r="N35" s="278" t="s">
        <v>182</v>
      </c>
      <c r="O35" s="279"/>
    </row>
    <row r="36" spans="1:18" x14ac:dyDescent="0.2">
      <c r="A36" s="281" t="s">
        <v>8</v>
      </c>
      <c r="B36" s="282">
        <f>$B$33*Q2</f>
        <v>0</v>
      </c>
      <c r="C36" s="282"/>
      <c r="D36" s="282">
        <f>$D$33*Q2</f>
        <v>0</v>
      </c>
      <c r="E36" s="282">
        <v>0</v>
      </c>
      <c r="F36" s="282">
        <f>$F$33*Q2</f>
        <v>0</v>
      </c>
      <c r="G36" s="282">
        <v>0</v>
      </c>
      <c r="H36" s="282">
        <f>$H$33*Q2</f>
        <v>0</v>
      </c>
      <c r="I36" s="282">
        <v>0</v>
      </c>
      <c r="J36" s="283">
        <f>B36+D36+F36+H36</f>
        <v>0</v>
      </c>
      <c r="K36" s="283">
        <f>C36+E36+G36+I36</f>
        <v>0</v>
      </c>
      <c r="L36" s="298">
        <f>J36/$J$33</f>
        <v>0</v>
      </c>
      <c r="M36" s="298">
        <f>K36/$J$33</f>
        <v>0</v>
      </c>
      <c r="N36" s="285">
        <f>M36-L36</f>
        <v>0</v>
      </c>
      <c r="O36" s="299"/>
      <c r="P36" s="3"/>
      <c r="Q36" s="3"/>
      <c r="R36" s="287"/>
    </row>
    <row r="37" spans="1:18" x14ac:dyDescent="0.2">
      <c r="A37" s="281" t="s">
        <v>9</v>
      </c>
      <c r="B37" s="282">
        <f t="shared" ref="B37:B42" si="9">$B$33*Q3</f>
        <v>0</v>
      </c>
      <c r="C37" s="282"/>
      <c r="D37" s="282">
        <f>$D$33*Q3</f>
        <v>0</v>
      </c>
      <c r="E37" s="282"/>
      <c r="F37" s="282">
        <f t="shared" ref="F37:F42" si="10">$F$33*Q3</f>
        <v>0</v>
      </c>
      <c r="G37" s="282"/>
      <c r="H37" s="282">
        <f t="shared" ref="H37:H42" si="11">$H$33*Q3</f>
        <v>0</v>
      </c>
      <c r="I37" s="282"/>
      <c r="J37" s="283">
        <f t="shared" ref="J37:K42" si="12">B37+D37+F37+H37</f>
        <v>0</v>
      </c>
      <c r="K37" s="283">
        <f t="shared" si="12"/>
        <v>0</v>
      </c>
      <c r="L37" s="298">
        <f t="shared" ref="L37:M42" si="13">J37/$J$33</f>
        <v>0</v>
      </c>
      <c r="M37" s="298">
        <f t="shared" si="13"/>
        <v>0</v>
      </c>
      <c r="N37" s="285">
        <f t="shared" ref="N37:N42" si="14">M37-L37</f>
        <v>0</v>
      </c>
      <c r="O37" s="299"/>
      <c r="P37" s="3"/>
      <c r="Q37" s="3"/>
      <c r="R37" s="287"/>
    </row>
    <row r="38" spans="1:18" x14ac:dyDescent="0.2">
      <c r="A38" s="281" t="s">
        <v>10</v>
      </c>
      <c r="B38" s="282">
        <f t="shared" si="9"/>
        <v>0</v>
      </c>
      <c r="C38" s="282"/>
      <c r="D38" s="282"/>
      <c r="E38" s="282"/>
      <c r="F38" s="282"/>
      <c r="G38" s="300"/>
      <c r="H38" s="282">
        <f t="shared" si="11"/>
        <v>22</v>
      </c>
      <c r="I38" s="300"/>
      <c r="J38" s="283">
        <f t="shared" si="12"/>
        <v>22</v>
      </c>
      <c r="K38" s="283">
        <f t="shared" si="12"/>
        <v>0</v>
      </c>
      <c r="L38" s="298">
        <f t="shared" si="13"/>
        <v>1</v>
      </c>
      <c r="M38" s="298">
        <f t="shared" si="13"/>
        <v>0</v>
      </c>
      <c r="N38" s="285">
        <f t="shared" si="14"/>
        <v>-1</v>
      </c>
      <c r="O38" s="299"/>
      <c r="P38" s="3"/>
      <c r="Q38" s="3"/>
      <c r="R38" s="287"/>
    </row>
    <row r="39" spans="1:18" x14ac:dyDescent="0.2">
      <c r="A39" s="281" t="s">
        <v>11</v>
      </c>
      <c r="B39" s="282">
        <f t="shared" si="9"/>
        <v>0</v>
      </c>
      <c r="C39" s="282"/>
      <c r="D39" s="282">
        <f>$D$33*Q5</f>
        <v>0</v>
      </c>
      <c r="E39" s="282"/>
      <c r="F39" s="282">
        <f t="shared" si="10"/>
        <v>0</v>
      </c>
      <c r="G39" s="300"/>
      <c r="H39" s="282">
        <f t="shared" si="11"/>
        <v>0</v>
      </c>
      <c r="I39" s="300"/>
      <c r="J39" s="283">
        <f t="shared" si="12"/>
        <v>0</v>
      </c>
      <c r="K39" s="283">
        <f t="shared" si="12"/>
        <v>0</v>
      </c>
      <c r="L39" s="298">
        <f t="shared" si="13"/>
        <v>0</v>
      </c>
      <c r="M39" s="298">
        <f t="shared" si="13"/>
        <v>0</v>
      </c>
      <c r="N39" s="285">
        <f t="shared" si="14"/>
        <v>0</v>
      </c>
      <c r="O39" s="299"/>
      <c r="P39" s="3"/>
      <c r="Q39" s="3"/>
      <c r="R39" s="287"/>
    </row>
    <row r="40" spans="1:18" x14ac:dyDescent="0.2">
      <c r="A40" s="301" t="s">
        <v>183</v>
      </c>
      <c r="B40" s="282">
        <f t="shared" si="9"/>
        <v>0</v>
      </c>
      <c r="C40" s="289"/>
      <c r="D40" s="282">
        <f>$D$33*Q6</f>
        <v>0</v>
      </c>
      <c r="E40" s="289"/>
      <c r="F40" s="282">
        <f t="shared" si="10"/>
        <v>0</v>
      </c>
      <c r="G40" s="303"/>
      <c r="H40" s="282">
        <f t="shared" si="11"/>
        <v>0</v>
      </c>
      <c r="I40" s="303">
        <v>14</v>
      </c>
      <c r="J40" s="283">
        <f t="shared" si="12"/>
        <v>0</v>
      </c>
      <c r="K40" s="283">
        <f t="shared" si="12"/>
        <v>14</v>
      </c>
      <c r="L40" s="298">
        <f t="shared" si="13"/>
        <v>0</v>
      </c>
      <c r="M40" s="298">
        <f t="shared" si="13"/>
        <v>0.63636363636363635</v>
      </c>
      <c r="N40" s="285">
        <f t="shared" si="14"/>
        <v>0.63636363636363635</v>
      </c>
      <c r="O40" s="299"/>
      <c r="P40" s="3"/>
      <c r="Q40" s="3"/>
      <c r="R40" s="287"/>
    </row>
    <row r="41" spans="1:18" x14ac:dyDescent="0.2">
      <c r="A41" s="301" t="s">
        <v>12</v>
      </c>
      <c r="B41" s="282">
        <f t="shared" si="9"/>
        <v>0</v>
      </c>
      <c r="C41" s="289"/>
      <c r="D41" s="282">
        <f>$D$33*Q7</f>
        <v>0</v>
      </c>
      <c r="E41" s="289"/>
      <c r="F41" s="282">
        <f t="shared" si="10"/>
        <v>0</v>
      </c>
      <c r="G41" s="303"/>
      <c r="H41" s="282">
        <f t="shared" si="11"/>
        <v>0</v>
      </c>
      <c r="I41" s="303"/>
      <c r="J41" s="283">
        <f t="shared" si="12"/>
        <v>0</v>
      </c>
      <c r="K41" s="283">
        <f t="shared" si="12"/>
        <v>0</v>
      </c>
      <c r="L41" s="298">
        <f t="shared" si="13"/>
        <v>0</v>
      </c>
      <c r="M41" s="298">
        <f t="shared" si="13"/>
        <v>0</v>
      </c>
      <c r="N41" s="285">
        <f t="shared" si="14"/>
        <v>0</v>
      </c>
      <c r="O41" s="299"/>
      <c r="P41" s="3"/>
      <c r="Q41" s="3"/>
      <c r="R41" s="287"/>
    </row>
    <row r="42" spans="1:18" ht="12.75" thickBot="1" x14ac:dyDescent="0.25">
      <c r="A42" s="301" t="s">
        <v>184</v>
      </c>
      <c r="B42" s="282">
        <f t="shared" si="9"/>
        <v>0</v>
      </c>
      <c r="C42" s="289"/>
      <c r="D42" s="282">
        <f>$D$33*Q8</f>
        <v>0</v>
      </c>
      <c r="E42" s="289"/>
      <c r="F42" s="282">
        <f t="shared" si="10"/>
        <v>0</v>
      </c>
      <c r="G42" s="303"/>
      <c r="H42" s="282">
        <f t="shared" si="11"/>
        <v>18.04</v>
      </c>
      <c r="I42" s="303"/>
      <c r="J42" s="283">
        <f t="shared" si="12"/>
        <v>18.04</v>
      </c>
      <c r="K42" s="283">
        <f t="shared" si="12"/>
        <v>0</v>
      </c>
      <c r="L42" s="298">
        <f t="shared" si="13"/>
        <v>0.82</v>
      </c>
      <c r="M42" s="298">
        <f t="shared" si="13"/>
        <v>0</v>
      </c>
      <c r="N42" s="295">
        <f t="shared" si="14"/>
        <v>-0.82</v>
      </c>
      <c r="O42" s="299"/>
      <c r="P42" s="3"/>
      <c r="Q42" s="3"/>
      <c r="R42" s="287"/>
    </row>
    <row r="43" spans="1:18" ht="12.75" thickBot="1" x14ac:dyDescent="0.25">
      <c r="A43" s="340" t="s">
        <v>189</v>
      </c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2"/>
      <c r="O43" s="299"/>
      <c r="P43" s="3"/>
    </row>
    <row r="44" spans="1:18" ht="12" customHeight="1" x14ac:dyDescent="0.2">
      <c r="A44" s="330" t="s">
        <v>169</v>
      </c>
      <c r="B44" s="331" t="s">
        <v>56</v>
      </c>
      <c r="C44" s="331"/>
      <c r="D44" s="331"/>
      <c r="E44" s="331"/>
      <c r="F44" s="331"/>
      <c r="G44" s="331"/>
      <c r="H44" s="332" t="s">
        <v>59</v>
      </c>
      <c r="I44" s="333"/>
      <c r="J44" s="334" t="s">
        <v>171</v>
      </c>
      <c r="K44" s="334"/>
      <c r="L44" s="334"/>
      <c r="M44" s="334"/>
      <c r="N44" s="335"/>
      <c r="O44" s="299"/>
      <c r="P44" s="3"/>
    </row>
    <row r="45" spans="1:18" x14ac:dyDescent="0.2">
      <c r="A45" s="330"/>
      <c r="B45" s="331" t="s">
        <v>36</v>
      </c>
      <c r="C45" s="331"/>
      <c r="D45" s="331" t="s">
        <v>37</v>
      </c>
      <c r="E45" s="331"/>
      <c r="F45" s="331" t="s">
        <v>186</v>
      </c>
      <c r="G45" s="331"/>
      <c r="H45" s="332" t="s">
        <v>65</v>
      </c>
      <c r="I45" s="333"/>
      <c r="J45" s="331"/>
      <c r="K45" s="331"/>
      <c r="L45" s="331"/>
      <c r="M45" s="331"/>
      <c r="N45" s="336"/>
      <c r="O45" s="267"/>
    </row>
    <row r="46" spans="1:18" x14ac:dyDescent="0.2">
      <c r="A46" s="330"/>
      <c r="B46" s="337">
        <v>78</v>
      </c>
      <c r="C46" s="337"/>
      <c r="D46" s="337"/>
      <c r="E46" s="337"/>
      <c r="F46" s="337"/>
      <c r="G46" s="337"/>
      <c r="H46" s="338"/>
      <c r="I46" s="343"/>
      <c r="J46" s="337">
        <f>B46+D46+F46+H46</f>
        <v>78</v>
      </c>
      <c r="K46" s="337"/>
      <c r="L46" s="338"/>
      <c r="M46" s="338"/>
      <c r="N46" s="339"/>
      <c r="O46" s="270"/>
    </row>
    <row r="47" spans="1:18" x14ac:dyDescent="0.2">
      <c r="A47" s="322" t="s">
        <v>4</v>
      </c>
      <c r="B47" s="323" t="s">
        <v>5</v>
      </c>
      <c r="C47" s="323"/>
      <c r="D47" s="323"/>
      <c r="E47" s="323"/>
      <c r="F47" s="323"/>
      <c r="G47" s="323"/>
      <c r="H47" s="323"/>
      <c r="I47" s="323"/>
      <c r="J47" s="323"/>
      <c r="K47" s="323"/>
      <c r="L47" s="324"/>
      <c r="M47" s="324"/>
      <c r="N47" s="325"/>
      <c r="O47" s="273"/>
    </row>
    <row r="48" spans="1:18" ht="25.5" customHeight="1" x14ac:dyDescent="0.2">
      <c r="A48" s="322"/>
      <c r="B48" s="274" t="s">
        <v>178</v>
      </c>
      <c r="C48" s="274" t="s">
        <v>179</v>
      </c>
      <c r="D48" s="274" t="s">
        <v>178</v>
      </c>
      <c r="E48" s="274" t="s">
        <v>179</v>
      </c>
      <c r="F48" s="274" t="s">
        <v>178</v>
      </c>
      <c r="G48" s="274" t="s">
        <v>179</v>
      </c>
      <c r="H48" s="274" t="s">
        <v>178</v>
      </c>
      <c r="I48" s="274" t="s">
        <v>179</v>
      </c>
      <c r="J48" s="275" t="s">
        <v>178</v>
      </c>
      <c r="K48" s="276" t="s">
        <v>179</v>
      </c>
      <c r="L48" s="277" t="s">
        <v>180</v>
      </c>
      <c r="M48" s="277" t="s">
        <v>181</v>
      </c>
      <c r="N48" s="278" t="s">
        <v>182</v>
      </c>
      <c r="O48" s="279"/>
    </row>
    <row r="49" spans="1:18" x14ac:dyDescent="0.2">
      <c r="A49" s="281" t="s">
        <v>8</v>
      </c>
      <c r="B49" s="282">
        <f>$B$46*Q2</f>
        <v>0</v>
      </c>
      <c r="C49" s="282"/>
      <c r="D49" s="282">
        <f>$D$46*Q2</f>
        <v>0</v>
      </c>
      <c r="E49" s="282"/>
      <c r="F49" s="282">
        <f>$F$46*Q2</f>
        <v>0</v>
      </c>
      <c r="G49" s="282"/>
      <c r="H49" s="282">
        <f>$H$46*Q2</f>
        <v>0</v>
      </c>
      <c r="I49" s="282"/>
      <c r="J49" s="283">
        <f>B49+D49+F49+H49</f>
        <v>0</v>
      </c>
      <c r="K49" s="283">
        <f>C49+E49+G49+I49</f>
        <v>0</v>
      </c>
      <c r="L49" s="298">
        <f>J49/$J$46</f>
        <v>0</v>
      </c>
      <c r="M49" s="298">
        <f>K49/$J$46</f>
        <v>0</v>
      </c>
      <c r="N49" s="285">
        <f>M49-L49</f>
        <v>0</v>
      </c>
      <c r="O49" s="299"/>
      <c r="P49" s="3"/>
      <c r="Q49" s="3"/>
      <c r="R49" s="287"/>
    </row>
    <row r="50" spans="1:18" x14ac:dyDescent="0.2">
      <c r="A50" s="281" t="s">
        <v>9</v>
      </c>
      <c r="B50" s="282">
        <f t="shared" ref="B50:B55" si="15">$B$46*Q3</f>
        <v>0</v>
      </c>
      <c r="C50" s="282"/>
      <c r="D50" s="282">
        <f t="shared" ref="D50:D55" si="16">$D$46*Q3</f>
        <v>0</v>
      </c>
      <c r="E50" s="282"/>
      <c r="F50" s="282">
        <f t="shared" ref="F50:F55" si="17">$F$46*Q3</f>
        <v>0</v>
      </c>
      <c r="G50" s="282"/>
      <c r="H50" s="282">
        <f t="shared" ref="H50:H55" si="18">$H$46*Q3</f>
        <v>0</v>
      </c>
      <c r="I50" s="282"/>
      <c r="J50" s="283">
        <f t="shared" ref="J50:K55" si="19">B50+D50+F50+H50</f>
        <v>0</v>
      </c>
      <c r="K50" s="283">
        <f t="shared" si="19"/>
        <v>0</v>
      </c>
      <c r="L50" s="298">
        <f t="shared" ref="L50:M55" si="20">J50/$J$46</f>
        <v>0</v>
      </c>
      <c r="M50" s="298">
        <f t="shared" si="20"/>
        <v>0</v>
      </c>
      <c r="N50" s="285">
        <f t="shared" ref="N50:N55" si="21">M50-L50</f>
        <v>0</v>
      </c>
      <c r="O50" s="299"/>
      <c r="P50" s="3"/>
      <c r="Q50" s="3"/>
      <c r="R50" s="287"/>
    </row>
    <row r="51" spans="1:18" x14ac:dyDescent="0.2">
      <c r="A51" s="281" t="s">
        <v>10</v>
      </c>
      <c r="B51" s="282">
        <f t="shared" si="15"/>
        <v>78</v>
      </c>
      <c r="C51" s="282">
        <v>1</v>
      </c>
      <c r="D51" s="282"/>
      <c r="E51" s="282"/>
      <c r="F51" s="282"/>
      <c r="G51" s="300"/>
      <c r="H51" s="282">
        <f t="shared" si="18"/>
        <v>0</v>
      </c>
      <c r="I51" s="300"/>
      <c r="J51" s="283">
        <f t="shared" si="19"/>
        <v>78</v>
      </c>
      <c r="K51" s="283">
        <f t="shared" si="19"/>
        <v>1</v>
      </c>
      <c r="L51" s="298">
        <f t="shared" si="20"/>
        <v>1</v>
      </c>
      <c r="M51" s="298">
        <f t="shared" si="20"/>
        <v>1.282051282051282E-2</v>
      </c>
      <c r="N51" s="285">
        <f t="shared" si="21"/>
        <v>-0.98717948717948723</v>
      </c>
      <c r="O51" s="299"/>
      <c r="P51" s="3"/>
      <c r="Q51" s="3"/>
      <c r="R51" s="287"/>
    </row>
    <row r="52" spans="1:18" x14ac:dyDescent="0.2">
      <c r="A52" s="281" t="s">
        <v>11</v>
      </c>
      <c r="B52" s="282">
        <f t="shared" si="15"/>
        <v>0</v>
      </c>
      <c r="C52" s="282">
        <v>1</v>
      </c>
      <c r="D52" s="282">
        <f t="shared" si="16"/>
        <v>0</v>
      </c>
      <c r="E52" s="282"/>
      <c r="F52" s="282">
        <f t="shared" si="17"/>
        <v>0</v>
      </c>
      <c r="G52" s="300"/>
      <c r="H52" s="282">
        <f t="shared" si="18"/>
        <v>0</v>
      </c>
      <c r="I52" s="300"/>
      <c r="J52" s="283">
        <f t="shared" si="19"/>
        <v>0</v>
      </c>
      <c r="K52" s="283">
        <f t="shared" si="19"/>
        <v>1</v>
      </c>
      <c r="L52" s="298">
        <f t="shared" si="20"/>
        <v>0</v>
      </c>
      <c r="M52" s="298">
        <f t="shared" si="20"/>
        <v>1.282051282051282E-2</v>
      </c>
      <c r="N52" s="285">
        <f t="shared" si="21"/>
        <v>1.282051282051282E-2</v>
      </c>
      <c r="O52" s="299"/>
      <c r="P52" s="3"/>
      <c r="Q52" s="3"/>
      <c r="R52" s="287"/>
    </row>
    <row r="53" spans="1:18" x14ac:dyDescent="0.2">
      <c r="A53" s="301" t="s">
        <v>183</v>
      </c>
      <c r="B53" s="282">
        <f t="shared" si="15"/>
        <v>0</v>
      </c>
      <c r="C53" s="289">
        <v>8</v>
      </c>
      <c r="D53" s="282">
        <f t="shared" si="16"/>
        <v>0</v>
      </c>
      <c r="E53" s="289"/>
      <c r="F53" s="282">
        <f t="shared" si="17"/>
        <v>0</v>
      </c>
      <c r="G53" s="303"/>
      <c r="H53" s="282">
        <f t="shared" si="18"/>
        <v>0</v>
      </c>
      <c r="I53" s="303"/>
      <c r="J53" s="283">
        <f t="shared" si="19"/>
        <v>0</v>
      </c>
      <c r="K53" s="283">
        <f t="shared" si="19"/>
        <v>8</v>
      </c>
      <c r="L53" s="298">
        <f t="shared" si="20"/>
        <v>0</v>
      </c>
      <c r="M53" s="298">
        <f t="shared" si="20"/>
        <v>0.10256410256410256</v>
      </c>
      <c r="N53" s="285">
        <f t="shared" si="21"/>
        <v>0.10256410256410256</v>
      </c>
      <c r="O53" s="299"/>
      <c r="P53" s="3"/>
      <c r="Q53" s="3"/>
      <c r="R53" s="287"/>
    </row>
    <row r="54" spans="1:18" x14ac:dyDescent="0.2">
      <c r="A54" s="301" t="s">
        <v>12</v>
      </c>
      <c r="B54" s="282">
        <f t="shared" si="15"/>
        <v>0</v>
      </c>
      <c r="C54" s="289"/>
      <c r="D54" s="282">
        <f t="shared" si="16"/>
        <v>0</v>
      </c>
      <c r="E54" s="289"/>
      <c r="F54" s="282">
        <f t="shared" si="17"/>
        <v>0</v>
      </c>
      <c r="G54" s="303"/>
      <c r="H54" s="282">
        <f t="shared" si="18"/>
        <v>0</v>
      </c>
      <c r="I54" s="303"/>
      <c r="J54" s="283">
        <f t="shared" si="19"/>
        <v>0</v>
      </c>
      <c r="K54" s="283">
        <f t="shared" si="19"/>
        <v>0</v>
      </c>
      <c r="L54" s="298">
        <f t="shared" si="20"/>
        <v>0</v>
      </c>
      <c r="M54" s="298">
        <f t="shared" si="20"/>
        <v>0</v>
      </c>
      <c r="N54" s="285">
        <f t="shared" si="21"/>
        <v>0</v>
      </c>
      <c r="O54" s="299"/>
      <c r="P54" s="3"/>
      <c r="Q54" s="3"/>
      <c r="R54" s="287"/>
    </row>
    <row r="55" spans="1:18" ht="12.75" thickBot="1" x14ac:dyDescent="0.25">
      <c r="A55" s="301" t="s">
        <v>184</v>
      </c>
      <c r="B55" s="282">
        <f t="shared" si="15"/>
        <v>63.959999999999994</v>
      </c>
      <c r="C55" s="289">
        <v>9</v>
      </c>
      <c r="D55" s="282">
        <f t="shared" si="16"/>
        <v>0</v>
      </c>
      <c r="E55" s="289"/>
      <c r="F55" s="282">
        <f t="shared" si="17"/>
        <v>0</v>
      </c>
      <c r="G55" s="303"/>
      <c r="H55" s="282">
        <f t="shared" si="18"/>
        <v>0</v>
      </c>
      <c r="I55" s="303"/>
      <c r="J55" s="283">
        <f>B55+D55+F55+H55</f>
        <v>63.959999999999994</v>
      </c>
      <c r="K55" s="283">
        <f t="shared" si="19"/>
        <v>9</v>
      </c>
      <c r="L55" s="298">
        <f t="shared" si="20"/>
        <v>0.82</v>
      </c>
      <c r="M55" s="298">
        <f t="shared" si="20"/>
        <v>0.11538461538461539</v>
      </c>
      <c r="N55" s="295">
        <f t="shared" si="21"/>
        <v>-0.70461538461538453</v>
      </c>
      <c r="O55" s="299"/>
      <c r="P55" s="3"/>
      <c r="Q55" s="3"/>
      <c r="R55" s="287"/>
    </row>
    <row r="56" spans="1:18" ht="12.75" thickBot="1" x14ac:dyDescent="0.25">
      <c r="A56" s="326" t="s">
        <v>190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8"/>
      <c r="M56" s="328"/>
      <c r="N56" s="329"/>
      <c r="O56" s="304"/>
    </row>
    <row r="57" spans="1:18" ht="12" customHeight="1" x14ac:dyDescent="0.2">
      <c r="A57" s="330" t="s">
        <v>169</v>
      </c>
      <c r="B57" s="331" t="s">
        <v>56</v>
      </c>
      <c r="C57" s="331"/>
      <c r="D57" s="331"/>
      <c r="E57" s="331"/>
      <c r="F57" s="331"/>
      <c r="G57" s="331"/>
      <c r="H57" s="332" t="s">
        <v>59</v>
      </c>
      <c r="I57" s="333"/>
      <c r="J57" s="334" t="s">
        <v>171</v>
      </c>
      <c r="K57" s="334"/>
      <c r="L57" s="334"/>
      <c r="M57" s="334"/>
      <c r="N57" s="335"/>
      <c r="O57" s="267"/>
    </row>
    <row r="58" spans="1:18" ht="12" customHeight="1" x14ac:dyDescent="0.2">
      <c r="A58" s="330"/>
      <c r="B58" s="331" t="s">
        <v>36</v>
      </c>
      <c r="C58" s="331"/>
      <c r="D58" s="331" t="s">
        <v>37</v>
      </c>
      <c r="E58" s="331"/>
      <c r="F58" s="331" t="s">
        <v>191</v>
      </c>
      <c r="G58" s="331"/>
      <c r="H58" s="332" t="s">
        <v>192</v>
      </c>
      <c r="I58" s="333"/>
      <c r="J58" s="331"/>
      <c r="K58" s="331"/>
      <c r="L58" s="331"/>
      <c r="M58" s="331"/>
      <c r="N58" s="336"/>
      <c r="O58" s="267"/>
      <c r="R58" s="262" t="s">
        <v>193</v>
      </c>
    </row>
    <row r="59" spans="1:18" ht="10.5" customHeight="1" x14ac:dyDescent="0.2">
      <c r="A59" s="330"/>
      <c r="B59" s="337">
        <f>B8+B21+B33+B46</f>
        <v>2791</v>
      </c>
      <c r="C59" s="337"/>
      <c r="D59" s="337">
        <f>D8+D33+D21+D46</f>
        <v>148</v>
      </c>
      <c r="E59" s="337"/>
      <c r="F59" s="337">
        <f>F8+F33+F21+F46</f>
        <v>253</v>
      </c>
      <c r="G59" s="337"/>
      <c r="H59" s="337">
        <f>H8+H33+H21+H46</f>
        <v>1074</v>
      </c>
      <c r="I59" s="337"/>
      <c r="J59" s="337">
        <f>J8+J21+J33+J46</f>
        <v>4266</v>
      </c>
      <c r="K59" s="337"/>
      <c r="L59" s="338"/>
      <c r="M59" s="338"/>
      <c r="N59" s="339"/>
      <c r="O59" s="270"/>
    </row>
    <row r="60" spans="1:18" ht="9" customHeight="1" x14ac:dyDescent="0.2">
      <c r="A60" s="322" t="s">
        <v>4</v>
      </c>
      <c r="B60" s="323" t="s">
        <v>5</v>
      </c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4"/>
      <c r="N60" s="325"/>
      <c r="O60" s="273"/>
    </row>
    <row r="61" spans="1:18" ht="21" customHeight="1" x14ac:dyDescent="0.2">
      <c r="A61" s="322"/>
      <c r="B61" s="274" t="s">
        <v>178</v>
      </c>
      <c r="C61" s="274" t="s">
        <v>179</v>
      </c>
      <c r="D61" s="274" t="s">
        <v>178</v>
      </c>
      <c r="E61" s="274" t="s">
        <v>179</v>
      </c>
      <c r="F61" s="274" t="s">
        <v>178</v>
      </c>
      <c r="G61" s="274" t="s">
        <v>179</v>
      </c>
      <c r="H61" s="274" t="s">
        <v>178</v>
      </c>
      <c r="I61" s="274" t="s">
        <v>179</v>
      </c>
      <c r="J61" s="275" t="s">
        <v>178</v>
      </c>
      <c r="K61" s="276" t="s">
        <v>179</v>
      </c>
      <c r="L61" s="277" t="s">
        <v>180</v>
      </c>
      <c r="M61" s="277" t="s">
        <v>181</v>
      </c>
      <c r="N61" s="278" t="s">
        <v>182</v>
      </c>
      <c r="O61" s="279"/>
    </row>
    <row r="62" spans="1:18" ht="11.25" customHeight="1" x14ac:dyDescent="0.2">
      <c r="A62" s="281" t="s">
        <v>8</v>
      </c>
      <c r="B62" s="282">
        <f>B11+B23+B36+B49</f>
        <v>0</v>
      </c>
      <c r="C62" s="282">
        <f>C11+C23+C36+C49</f>
        <v>155</v>
      </c>
      <c r="D62" s="282">
        <f t="shared" ref="D62:J62" si="22">D11+D23+D36+D49</f>
        <v>0</v>
      </c>
      <c r="E62" s="282">
        <f>E11+E23+E36+E49</f>
        <v>8</v>
      </c>
      <c r="F62" s="282">
        <f t="shared" si="22"/>
        <v>0</v>
      </c>
      <c r="G62" s="282">
        <f t="shared" si="22"/>
        <v>3</v>
      </c>
      <c r="H62" s="282">
        <f>H11+H23+H36+H49</f>
        <v>0</v>
      </c>
      <c r="I62" s="282">
        <f t="shared" si="22"/>
        <v>40</v>
      </c>
      <c r="J62" s="282">
        <f t="shared" si="22"/>
        <v>0</v>
      </c>
      <c r="K62" s="282">
        <f>K11+K23+K36+K49</f>
        <v>206</v>
      </c>
      <c r="L62" s="305">
        <f>J62/$J$59</f>
        <v>0</v>
      </c>
      <c r="M62" s="305">
        <f>K62/$J$59</f>
        <v>4.8288795124238164E-2</v>
      </c>
      <c r="N62" s="285">
        <f>M62-L62</f>
        <v>4.8288795124238164E-2</v>
      </c>
      <c r="O62" s="280"/>
      <c r="P62" s="287"/>
      <c r="Q62" s="287"/>
      <c r="R62" s="287"/>
    </row>
    <row r="63" spans="1:18" ht="11.25" customHeight="1" x14ac:dyDescent="0.2">
      <c r="A63" s="281" t="s">
        <v>9</v>
      </c>
      <c r="B63" s="282">
        <f t="shared" ref="B63:K68" si="23">B12+B24+B37+B50</f>
        <v>0</v>
      </c>
      <c r="C63" s="282">
        <f t="shared" si="23"/>
        <v>400</v>
      </c>
      <c r="D63" s="282">
        <f t="shared" si="23"/>
        <v>0</v>
      </c>
      <c r="E63" s="282">
        <f t="shared" si="23"/>
        <v>2</v>
      </c>
      <c r="F63" s="282">
        <f t="shared" si="23"/>
        <v>0</v>
      </c>
      <c r="G63" s="282">
        <f t="shared" si="23"/>
        <v>12</v>
      </c>
      <c r="H63" s="282">
        <f>H12+H24+H37+H50</f>
        <v>0</v>
      </c>
      <c r="I63" s="282">
        <f t="shared" si="23"/>
        <v>93</v>
      </c>
      <c r="J63" s="282">
        <f t="shared" si="23"/>
        <v>0</v>
      </c>
      <c r="K63" s="282">
        <f t="shared" si="23"/>
        <v>507</v>
      </c>
      <c r="L63" s="305">
        <f t="shared" ref="L63:M67" si="24">J63/$J$59</f>
        <v>0</v>
      </c>
      <c r="M63" s="305">
        <f t="shared" si="24"/>
        <v>0.11884669479606189</v>
      </c>
      <c r="N63" s="285">
        <f t="shared" ref="N63:N68" si="25">M63-L63</f>
        <v>0.11884669479606189</v>
      </c>
      <c r="O63" s="280"/>
      <c r="P63" s="287"/>
      <c r="Q63" s="287"/>
      <c r="R63" s="287"/>
    </row>
    <row r="64" spans="1:18" ht="11.25" customHeight="1" x14ac:dyDescent="0.2">
      <c r="A64" s="281" t="s">
        <v>10</v>
      </c>
      <c r="B64" s="282">
        <f t="shared" si="23"/>
        <v>2791</v>
      </c>
      <c r="C64" s="282">
        <f t="shared" si="23"/>
        <v>2930</v>
      </c>
      <c r="D64" s="282">
        <f t="shared" si="23"/>
        <v>0</v>
      </c>
      <c r="E64" s="282">
        <f t="shared" si="23"/>
        <v>0</v>
      </c>
      <c r="F64" s="282">
        <f t="shared" si="23"/>
        <v>0</v>
      </c>
      <c r="G64" s="282">
        <f t="shared" si="23"/>
        <v>0</v>
      </c>
      <c r="H64" s="282">
        <f t="shared" si="23"/>
        <v>14750</v>
      </c>
      <c r="I64" s="282">
        <f t="shared" si="23"/>
        <v>7756</v>
      </c>
      <c r="J64" s="282">
        <f t="shared" si="23"/>
        <v>17541</v>
      </c>
      <c r="K64" s="282">
        <f>K13+K25+K38+K51</f>
        <v>10686</v>
      </c>
      <c r="L64" s="305">
        <f t="shared" si="24"/>
        <v>4.1118143459915615</v>
      </c>
      <c r="M64" s="305">
        <f t="shared" si="24"/>
        <v>2.5049226441631505</v>
      </c>
      <c r="N64" s="285">
        <f t="shared" si="25"/>
        <v>-1.606891701828411</v>
      </c>
      <c r="O64" s="280"/>
      <c r="P64" s="287"/>
      <c r="Q64" s="287"/>
      <c r="R64" s="287"/>
    </row>
    <row r="65" spans="1:18" ht="11.25" customHeight="1" x14ac:dyDescent="0.2">
      <c r="A65" s="281" t="s">
        <v>11</v>
      </c>
      <c r="B65" s="282">
        <f t="shared" si="23"/>
        <v>0</v>
      </c>
      <c r="C65" s="282">
        <f t="shared" si="23"/>
        <v>147</v>
      </c>
      <c r="D65" s="282">
        <f t="shared" si="23"/>
        <v>0</v>
      </c>
      <c r="E65" s="282">
        <f t="shared" si="23"/>
        <v>6</v>
      </c>
      <c r="F65" s="282">
        <f t="shared" si="23"/>
        <v>0</v>
      </c>
      <c r="G65" s="282">
        <f t="shared" si="23"/>
        <v>3</v>
      </c>
      <c r="H65" s="282">
        <f t="shared" si="23"/>
        <v>0</v>
      </c>
      <c r="I65" s="282">
        <f t="shared" si="23"/>
        <v>114</v>
      </c>
      <c r="J65" s="282">
        <f t="shared" si="23"/>
        <v>0</v>
      </c>
      <c r="K65" s="282">
        <f t="shared" si="23"/>
        <v>270</v>
      </c>
      <c r="L65" s="305">
        <f t="shared" si="24"/>
        <v>0</v>
      </c>
      <c r="M65" s="305">
        <f t="shared" si="24"/>
        <v>6.3291139240506333E-2</v>
      </c>
      <c r="N65" s="285">
        <f t="shared" si="25"/>
        <v>6.3291139240506333E-2</v>
      </c>
      <c r="O65" s="280"/>
      <c r="P65" s="287"/>
      <c r="Q65" s="287"/>
      <c r="R65" s="287"/>
    </row>
    <row r="66" spans="1:18" ht="11.25" customHeight="1" x14ac:dyDescent="0.2">
      <c r="A66" s="301" t="s">
        <v>183</v>
      </c>
      <c r="B66" s="282">
        <f t="shared" si="23"/>
        <v>0</v>
      </c>
      <c r="C66" s="282">
        <f t="shared" si="23"/>
        <v>224</v>
      </c>
      <c r="D66" s="282">
        <f t="shared" si="23"/>
        <v>0</v>
      </c>
      <c r="E66" s="282">
        <f t="shared" si="23"/>
        <v>17</v>
      </c>
      <c r="F66" s="282">
        <f t="shared" si="23"/>
        <v>0</v>
      </c>
      <c r="G66" s="282">
        <f t="shared" si="23"/>
        <v>29</v>
      </c>
      <c r="H66" s="282">
        <f t="shared" si="23"/>
        <v>0</v>
      </c>
      <c r="I66" s="282">
        <f t="shared" si="23"/>
        <v>535</v>
      </c>
      <c r="J66" s="282">
        <f t="shared" si="23"/>
        <v>0</v>
      </c>
      <c r="K66" s="282">
        <f t="shared" si="23"/>
        <v>805</v>
      </c>
      <c r="L66" s="305">
        <f t="shared" si="24"/>
        <v>0</v>
      </c>
      <c r="M66" s="305">
        <f t="shared" si="24"/>
        <v>0.18870135958743553</v>
      </c>
      <c r="N66" s="285">
        <f t="shared" si="25"/>
        <v>0.18870135958743553</v>
      </c>
      <c r="O66" s="280"/>
      <c r="P66" s="287"/>
      <c r="Q66" s="287"/>
      <c r="R66" s="287"/>
    </row>
    <row r="67" spans="1:18" ht="11.25" customHeight="1" x14ac:dyDescent="0.2">
      <c r="A67" s="301" t="s">
        <v>12</v>
      </c>
      <c r="B67" s="282">
        <f>B16+B28+B41+B54</f>
        <v>0</v>
      </c>
      <c r="C67" s="282">
        <f>C16+C28+C41+C54</f>
        <v>64</v>
      </c>
      <c r="D67" s="282">
        <f t="shared" si="23"/>
        <v>0</v>
      </c>
      <c r="E67" s="282">
        <f t="shared" si="23"/>
        <v>0</v>
      </c>
      <c r="F67" s="282">
        <f t="shared" si="23"/>
        <v>0</v>
      </c>
      <c r="G67" s="282">
        <f t="shared" si="23"/>
        <v>9</v>
      </c>
      <c r="H67" s="282">
        <f t="shared" si="23"/>
        <v>0</v>
      </c>
      <c r="I67" s="282">
        <f t="shared" si="23"/>
        <v>81</v>
      </c>
      <c r="J67" s="282">
        <f t="shared" si="23"/>
        <v>0</v>
      </c>
      <c r="K67" s="282">
        <f t="shared" si="23"/>
        <v>154</v>
      </c>
      <c r="L67" s="305">
        <f t="shared" si="24"/>
        <v>0</v>
      </c>
      <c r="M67" s="305">
        <f t="shared" si="24"/>
        <v>3.6099390529770278E-2</v>
      </c>
      <c r="N67" s="285">
        <f t="shared" si="25"/>
        <v>3.6099390529770278E-2</v>
      </c>
      <c r="O67" s="280"/>
      <c r="P67" s="287"/>
      <c r="Q67" s="287"/>
      <c r="R67" s="287"/>
    </row>
    <row r="68" spans="1:18" ht="11.25" customHeight="1" thickBot="1" x14ac:dyDescent="0.25">
      <c r="A68" s="291" t="s">
        <v>184</v>
      </c>
      <c r="B68" s="292">
        <f>B17+B29+B42+B55</f>
        <v>2288.62</v>
      </c>
      <c r="C68" s="292">
        <f>C17+C29+C42+C55</f>
        <v>1701</v>
      </c>
      <c r="D68" s="292">
        <f t="shared" si="23"/>
        <v>121.36</v>
      </c>
      <c r="E68" s="292">
        <f t="shared" si="23"/>
        <v>92</v>
      </c>
      <c r="F68" s="292">
        <f t="shared" si="23"/>
        <v>207.45999999999998</v>
      </c>
      <c r="G68" s="292">
        <f t="shared" si="23"/>
        <v>281</v>
      </c>
      <c r="H68" s="292">
        <f t="shared" si="23"/>
        <v>1354.08</v>
      </c>
      <c r="I68" s="292">
        <f t="shared" si="23"/>
        <v>1015</v>
      </c>
      <c r="J68" s="292">
        <f>J17+J29+J42+J55</f>
        <v>3971.52</v>
      </c>
      <c r="K68" s="292">
        <f>C68+E68+G68+I68</f>
        <v>3089</v>
      </c>
      <c r="L68" s="306">
        <f>J68/$J$59</f>
        <v>0.93097046413502105</v>
      </c>
      <c r="M68" s="306">
        <f>K68/$J$59</f>
        <v>0.7240975152367557</v>
      </c>
      <c r="N68" s="295">
        <f t="shared" si="25"/>
        <v>-0.20687294889826535</v>
      </c>
      <c r="O68" s="287"/>
      <c r="P68" s="287"/>
      <c r="Q68" s="287"/>
      <c r="R68" s="287"/>
    </row>
    <row r="69" spans="1:18" ht="11.25" hidden="1" customHeight="1" x14ac:dyDescent="0.2">
      <c r="A69" s="307"/>
      <c r="B69" s="308"/>
      <c r="C69" s="309" t="e">
        <f>C18+#REF!+C30+C43+C56</f>
        <v>#REF!</v>
      </c>
      <c r="D69" s="308"/>
      <c r="E69" s="308"/>
      <c r="F69" s="308"/>
      <c r="G69" s="308"/>
      <c r="H69" s="308"/>
      <c r="I69" s="262" t="s">
        <v>3</v>
      </c>
      <c r="J69" s="310"/>
      <c r="K69" s="310"/>
      <c r="L69" s="310"/>
      <c r="M69" s="310"/>
      <c r="N69" s="280"/>
      <c r="O69" s="280"/>
      <c r="P69" s="280"/>
    </row>
    <row r="70" spans="1:18" ht="11.25" hidden="1" customHeight="1" x14ac:dyDescent="0.2">
      <c r="B70" s="262" t="s">
        <v>178</v>
      </c>
      <c r="C70" s="282" t="e">
        <f>C19+#REF!+C31+C44+C57</f>
        <v>#REF!</v>
      </c>
      <c r="D70" s="279" t="s">
        <v>182</v>
      </c>
      <c r="E70" s="262" t="s">
        <v>194</v>
      </c>
      <c r="F70" s="262" t="s">
        <v>178</v>
      </c>
      <c r="G70" s="279" t="s">
        <v>182</v>
      </c>
      <c r="I70" s="262" t="s">
        <v>194</v>
      </c>
      <c r="J70" s="262" t="s">
        <v>178</v>
      </c>
      <c r="K70" s="279" t="s">
        <v>182</v>
      </c>
      <c r="L70" s="279"/>
      <c r="M70" s="279"/>
    </row>
    <row r="71" spans="1:18" hidden="1" x14ac:dyDescent="0.2">
      <c r="A71" s="307" t="s">
        <v>8</v>
      </c>
      <c r="B71" s="3">
        <f>B62+D62+F62+H62</f>
        <v>0</v>
      </c>
      <c r="C71" s="282" t="e">
        <f>C20+#REF!+C32+C45+C58</f>
        <v>#REF!</v>
      </c>
      <c r="D71" s="280" t="e">
        <f>C71/B71</f>
        <v>#REF!</v>
      </c>
      <c r="E71" s="287" t="e">
        <f>C71/($B$59+$D$59+$F$59+$H$59)</f>
        <v>#REF!</v>
      </c>
      <c r="F71" s="287" t="e">
        <f>#REF!</f>
        <v>#REF!</v>
      </c>
      <c r="G71" s="287" t="e">
        <f t="shared" ref="G71:G77" si="26">E71-F71</f>
        <v>#REF!</v>
      </c>
      <c r="H71" s="287"/>
      <c r="I71" s="287">
        <f>I62/$H$59</f>
        <v>3.7243947858473E-2</v>
      </c>
      <c r="J71" s="280">
        <f t="shared" ref="J71:J77" si="27">R2</f>
        <v>0</v>
      </c>
      <c r="K71" s="287">
        <f>I71-J71</f>
        <v>3.7243947858473E-2</v>
      </c>
      <c r="L71" s="287"/>
      <c r="M71" s="287"/>
    </row>
    <row r="72" spans="1:18" hidden="1" x14ac:dyDescent="0.2">
      <c r="A72" s="307" t="s">
        <v>9</v>
      </c>
      <c r="B72" s="3">
        <f t="shared" ref="B72:B77" si="28">B63+D63+F63+H63</f>
        <v>0</v>
      </c>
      <c r="C72" s="282" t="e">
        <f>C21+#REF!+C33+C46+C59</f>
        <v>#REF!</v>
      </c>
      <c r="D72" s="280" t="e">
        <f t="shared" ref="D72:D77" si="29">C72/B72</f>
        <v>#REF!</v>
      </c>
      <c r="E72" s="287" t="e">
        <f t="shared" ref="E72:E77" si="30">C72/($B$59+$D$59+$F$59+$H$59)</f>
        <v>#REF!</v>
      </c>
      <c r="F72" s="287" t="e">
        <f>#REF!</f>
        <v>#REF!</v>
      </c>
      <c r="G72" s="287" t="e">
        <f t="shared" si="26"/>
        <v>#REF!</v>
      </c>
      <c r="H72" s="287"/>
      <c r="I72" s="287">
        <f t="shared" ref="I72:I77" si="31">I63/$H$59</f>
        <v>8.6592178770949726E-2</v>
      </c>
      <c r="J72" s="287">
        <f t="shared" si="27"/>
        <v>0</v>
      </c>
      <c r="K72" s="287">
        <f t="shared" ref="K72:K77" si="32">I72-J72</f>
        <v>8.6592178770949726E-2</v>
      </c>
      <c r="L72" s="287"/>
      <c r="M72" s="287"/>
    </row>
    <row r="73" spans="1:18" hidden="1" x14ac:dyDescent="0.2">
      <c r="A73" s="307" t="s">
        <v>10</v>
      </c>
      <c r="B73" s="3">
        <f t="shared" si="28"/>
        <v>17541</v>
      </c>
      <c r="C73" s="282" t="e">
        <f>C22+#REF!+C34+C47+C60</f>
        <v>#VALUE!</v>
      </c>
      <c r="D73" s="280" t="e">
        <f t="shared" si="29"/>
        <v>#VALUE!</v>
      </c>
      <c r="E73" s="287" t="e">
        <f t="shared" si="30"/>
        <v>#VALUE!</v>
      </c>
      <c r="F73" s="287" t="e">
        <f>#REF!</f>
        <v>#REF!</v>
      </c>
      <c r="G73" s="287" t="e">
        <f t="shared" si="26"/>
        <v>#VALUE!</v>
      </c>
      <c r="H73" s="287"/>
      <c r="I73" s="287">
        <f t="shared" si="31"/>
        <v>7.2216014897579139</v>
      </c>
      <c r="J73" s="287">
        <f t="shared" si="27"/>
        <v>14</v>
      </c>
      <c r="K73" s="287">
        <f t="shared" si="32"/>
        <v>-6.7783985102420861</v>
      </c>
      <c r="L73" s="287"/>
      <c r="M73" s="287"/>
    </row>
    <row r="74" spans="1:18" hidden="1" x14ac:dyDescent="0.2">
      <c r="A74" s="307" t="s">
        <v>11</v>
      </c>
      <c r="B74" s="3">
        <f t="shared" si="28"/>
        <v>0</v>
      </c>
      <c r="C74" s="282" t="e">
        <f>C23+#REF!+C35+C48+C61</f>
        <v>#REF!</v>
      </c>
      <c r="D74" s="280" t="e">
        <f t="shared" si="29"/>
        <v>#REF!</v>
      </c>
      <c r="E74" s="287" t="e">
        <f t="shared" si="30"/>
        <v>#REF!</v>
      </c>
      <c r="F74" s="287" t="e">
        <f>#REF!</f>
        <v>#REF!</v>
      </c>
      <c r="G74" s="287" t="e">
        <f t="shared" si="26"/>
        <v>#REF!</v>
      </c>
      <c r="H74" s="287"/>
      <c r="I74" s="287">
        <f t="shared" si="31"/>
        <v>0.10614525139664804</v>
      </c>
      <c r="J74" s="287">
        <f t="shared" si="27"/>
        <v>0</v>
      </c>
      <c r="K74" s="287">
        <f t="shared" si="32"/>
        <v>0.10614525139664804</v>
      </c>
      <c r="L74" s="287"/>
      <c r="M74" s="287"/>
    </row>
    <row r="75" spans="1:18" hidden="1" x14ac:dyDescent="0.2">
      <c r="A75" s="307" t="s">
        <v>172</v>
      </c>
      <c r="B75" s="3">
        <f t="shared" si="28"/>
        <v>0</v>
      </c>
      <c r="C75" s="282" t="e">
        <f>C24+#REF!+C36+C49+C62</f>
        <v>#REF!</v>
      </c>
      <c r="D75" s="280" t="e">
        <f t="shared" si="29"/>
        <v>#REF!</v>
      </c>
      <c r="E75" s="287" t="e">
        <f t="shared" si="30"/>
        <v>#REF!</v>
      </c>
      <c r="F75" s="287" t="e">
        <f>#REF!</f>
        <v>#REF!</v>
      </c>
      <c r="G75" s="287" t="e">
        <f t="shared" si="26"/>
        <v>#REF!</v>
      </c>
      <c r="H75" s="287"/>
      <c r="I75" s="287">
        <f t="shared" si="31"/>
        <v>0.49813780260707635</v>
      </c>
      <c r="J75" s="287">
        <f t="shared" si="27"/>
        <v>0</v>
      </c>
      <c r="K75" s="287">
        <f t="shared" si="32"/>
        <v>0.49813780260707635</v>
      </c>
      <c r="L75" s="287"/>
      <c r="M75" s="287"/>
    </row>
    <row r="76" spans="1:18" hidden="1" x14ac:dyDescent="0.2">
      <c r="A76" s="307" t="s">
        <v>176</v>
      </c>
      <c r="B76" s="3">
        <f t="shared" si="28"/>
        <v>0</v>
      </c>
      <c r="C76" s="282" t="e">
        <f>C25+#REF!+C37+C50+C63</f>
        <v>#REF!</v>
      </c>
      <c r="D76" s="280" t="e">
        <f t="shared" si="29"/>
        <v>#REF!</v>
      </c>
      <c r="E76" s="287" t="e">
        <f t="shared" si="30"/>
        <v>#REF!</v>
      </c>
      <c r="F76" s="287" t="e">
        <f>#REF!</f>
        <v>#REF!</v>
      </c>
      <c r="G76" s="287" t="e">
        <f t="shared" si="26"/>
        <v>#REF!</v>
      </c>
      <c r="H76" s="287"/>
      <c r="I76" s="287">
        <f t="shared" si="31"/>
        <v>7.5418994413407825E-2</v>
      </c>
      <c r="J76" s="287">
        <f t="shared" si="27"/>
        <v>0</v>
      </c>
      <c r="K76" s="287">
        <f t="shared" si="32"/>
        <v>7.5418994413407825E-2</v>
      </c>
      <c r="L76" s="287"/>
      <c r="M76" s="287"/>
    </row>
    <row r="77" spans="1:18" hidden="1" x14ac:dyDescent="0.2">
      <c r="A77" s="307" t="s">
        <v>184</v>
      </c>
      <c r="B77" s="3">
        <f t="shared" si="28"/>
        <v>3971.52</v>
      </c>
      <c r="C77" s="282" t="e">
        <f>C26+#REF!+C38+C51+C64</f>
        <v>#REF!</v>
      </c>
      <c r="D77" s="280" t="e">
        <f t="shared" si="29"/>
        <v>#REF!</v>
      </c>
      <c r="E77" s="287" t="e">
        <f t="shared" si="30"/>
        <v>#REF!</v>
      </c>
      <c r="F77" s="287" t="e">
        <f>#REF!</f>
        <v>#REF!</v>
      </c>
      <c r="G77" s="287" t="e">
        <f t="shared" si="26"/>
        <v>#REF!</v>
      </c>
      <c r="H77" s="287"/>
      <c r="I77" s="287">
        <f t="shared" si="31"/>
        <v>0.94506517690875236</v>
      </c>
      <c r="J77" s="287">
        <f t="shared" si="27"/>
        <v>1.27</v>
      </c>
      <c r="K77" s="287">
        <f t="shared" si="32"/>
        <v>-0.32493482309124766</v>
      </c>
      <c r="L77" s="287"/>
      <c r="M77" s="287"/>
    </row>
    <row r="78" spans="1:18" hidden="1" x14ac:dyDescent="0.2">
      <c r="B78" s="3"/>
      <c r="C78" s="282" t="e">
        <f>C27+#REF!+C39+C52+C65</f>
        <v>#REF!</v>
      </c>
      <c r="E78" s="311"/>
    </row>
    <row r="79" spans="1:18" hidden="1" x14ac:dyDescent="0.2">
      <c r="C79" s="282" t="e">
        <f>C28+#REF!+C40+C53+C66</f>
        <v>#REF!</v>
      </c>
    </row>
    <row r="80" spans="1:18" hidden="1" x14ac:dyDescent="0.2">
      <c r="C80" s="282" t="e">
        <f>C29+#REF!+C41+C54+C67</f>
        <v>#REF!</v>
      </c>
    </row>
    <row r="82" spans="3:9" x14ac:dyDescent="0.2">
      <c r="I82" s="287">
        <f t="shared" ref="I82:I88" si="33">I62/$H$59</f>
        <v>3.7243947858473E-2</v>
      </c>
    </row>
    <row r="83" spans="3:9" x14ac:dyDescent="0.2">
      <c r="I83" s="287">
        <f t="shared" si="33"/>
        <v>8.6592178770949726E-2</v>
      </c>
    </row>
    <row r="84" spans="3:9" x14ac:dyDescent="0.2">
      <c r="E84" s="262">
        <f>B59+D59+F59</f>
        <v>3192</v>
      </c>
      <c r="F84" s="3">
        <f>C68+E68+G68</f>
        <v>2074</v>
      </c>
      <c r="G84" s="287">
        <f>F84/E84</f>
        <v>0.64974937343358397</v>
      </c>
      <c r="I84" s="287">
        <f t="shared" si="33"/>
        <v>7.2216014897579139</v>
      </c>
    </row>
    <row r="85" spans="3:9" x14ac:dyDescent="0.2">
      <c r="I85" s="287">
        <f t="shared" si="33"/>
        <v>0.10614525139664804</v>
      </c>
    </row>
    <row r="86" spans="3:9" x14ac:dyDescent="0.2">
      <c r="I86" s="287">
        <f t="shared" si="33"/>
        <v>0.49813780260707635</v>
      </c>
    </row>
    <row r="87" spans="3:9" x14ac:dyDescent="0.2">
      <c r="I87" s="287">
        <f t="shared" si="33"/>
        <v>7.5418994413407825E-2</v>
      </c>
    </row>
    <row r="88" spans="3:9" x14ac:dyDescent="0.2">
      <c r="C88" s="287">
        <f>C68/B59</f>
        <v>0.60945897527767823</v>
      </c>
      <c r="E88" s="262">
        <f>E68/D59</f>
        <v>0.6216216216216216</v>
      </c>
      <c r="G88" s="287">
        <f>G68/F59</f>
        <v>1.1106719367588933</v>
      </c>
      <c r="I88" s="287">
        <f t="shared" si="33"/>
        <v>0.94506517690875236</v>
      </c>
    </row>
    <row r="89" spans="3:9" x14ac:dyDescent="0.2">
      <c r="I89" s="287"/>
    </row>
    <row r="90" spans="3:9" x14ac:dyDescent="0.2">
      <c r="I90" s="287"/>
    </row>
    <row r="91" spans="3:9" x14ac:dyDescent="0.2">
      <c r="D91" s="262">
        <f>B59+D59+F59</f>
        <v>3192</v>
      </c>
      <c r="I91" s="287"/>
    </row>
    <row r="92" spans="3:9" x14ac:dyDescent="0.2">
      <c r="D92" s="3">
        <f>C68+E68+G68</f>
        <v>2074</v>
      </c>
      <c r="E92" s="262">
        <f>D92/D91</f>
        <v>0.64974937343358397</v>
      </c>
    </row>
  </sheetData>
  <mergeCells count="80">
    <mergeCell ref="J8:N8"/>
    <mergeCell ref="A3:N3"/>
    <mergeCell ref="A4:N4"/>
    <mergeCell ref="A5:N5"/>
    <mergeCell ref="A6:A8"/>
    <mergeCell ref="B6:G6"/>
    <mergeCell ref="H6:I6"/>
    <mergeCell ref="J6:N7"/>
    <mergeCell ref="B7:C7"/>
    <mergeCell ref="D7:E7"/>
    <mergeCell ref="F7:G7"/>
    <mergeCell ref="H7:I7"/>
    <mergeCell ref="B8:C8"/>
    <mergeCell ref="D8:E8"/>
    <mergeCell ref="F8:G8"/>
    <mergeCell ref="H8:I8"/>
    <mergeCell ref="J21:N21"/>
    <mergeCell ref="A9:A10"/>
    <mergeCell ref="B9:N9"/>
    <mergeCell ref="A18:N18"/>
    <mergeCell ref="A19:A21"/>
    <mergeCell ref="B19:G19"/>
    <mergeCell ref="H19:I19"/>
    <mergeCell ref="J19:N20"/>
    <mergeCell ref="B20:C20"/>
    <mergeCell ref="D20:E20"/>
    <mergeCell ref="F20:G20"/>
    <mergeCell ref="H20:I20"/>
    <mergeCell ref="B21:C21"/>
    <mergeCell ref="D21:E21"/>
    <mergeCell ref="F21:G21"/>
    <mergeCell ref="H21:I21"/>
    <mergeCell ref="H46:I46"/>
    <mergeCell ref="J46:N46"/>
    <mergeCell ref="A30:N30"/>
    <mergeCell ref="A31:A33"/>
    <mergeCell ref="B31:G31"/>
    <mergeCell ref="H31:I31"/>
    <mergeCell ref="J31:N32"/>
    <mergeCell ref="B32:C32"/>
    <mergeCell ref="D32:E32"/>
    <mergeCell ref="F32:G32"/>
    <mergeCell ref="H32:I32"/>
    <mergeCell ref="B33:C33"/>
    <mergeCell ref="D33:E33"/>
    <mergeCell ref="F33:G33"/>
    <mergeCell ref="H33:I33"/>
    <mergeCell ref="J33:N33"/>
    <mergeCell ref="H59:I59"/>
    <mergeCell ref="J59:N59"/>
    <mergeCell ref="A34:A35"/>
    <mergeCell ref="B34:N34"/>
    <mergeCell ref="A43:N43"/>
    <mergeCell ref="A44:A46"/>
    <mergeCell ref="B44:G44"/>
    <mergeCell ref="H44:I44"/>
    <mergeCell ref="J44:N45"/>
    <mergeCell ref="B45:C45"/>
    <mergeCell ref="D45:E45"/>
    <mergeCell ref="F45:G45"/>
    <mergeCell ref="H45:I45"/>
    <mergeCell ref="B46:C46"/>
    <mergeCell ref="D46:E46"/>
    <mergeCell ref="F46:G46"/>
    <mergeCell ref="A60:A61"/>
    <mergeCell ref="B60:N60"/>
    <mergeCell ref="A47:A48"/>
    <mergeCell ref="B47:N47"/>
    <mergeCell ref="A56:N56"/>
    <mergeCell ref="A57:A59"/>
    <mergeCell ref="B57:G57"/>
    <mergeCell ref="H57:I57"/>
    <mergeCell ref="J57:N58"/>
    <mergeCell ref="B58:C58"/>
    <mergeCell ref="D58:E58"/>
    <mergeCell ref="F58:G58"/>
    <mergeCell ref="H58:I58"/>
    <mergeCell ref="B59:C59"/>
    <mergeCell ref="D59:E59"/>
    <mergeCell ref="F59:G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бюджет 23 старт</vt:lpstr>
      <vt:lpstr>сменяемость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2023-02-02T04:26:59Z</dcterms:modified>
</cp:coreProperties>
</file>