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1050481613022\Documents\"/>
    </mc:Choice>
  </mc:AlternateContent>
  <bookViews>
    <workbookView xWindow="0" yWindow="0" windowWidth="24000" windowHeight="9000" activeTab="6"/>
  </bookViews>
  <sheets>
    <sheet name="Ex01" sheetId="2" r:id="rId1"/>
    <sheet name="Ex02" sheetId="3" r:id="rId2"/>
    <sheet name="EX03" sheetId="4" r:id="rId3"/>
    <sheet name="EX04" sheetId="6" r:id="rId4"/>
    <sheet name="EX05" sheetId="9" r:id="rId5"/>
    <sheet name="EX06" sheetId="1" r:id="rId6"/>
    <sheet name="EX07" sheetId="5" r:id="rId7"/>
    <sheet name="EX08" sheetId="7" r:id="rId8"/>
    <sheet name="EX09" sheetId="8" r:id="rId9"/>
    <sheet name="EX10" sheetId="10" r:id="rId10"/>
    <sheet name="EX11" sheetId="11" r:id="rId11"/>
    <sheet name="Plan1" sheetId="12" r:id="rId12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" i="5" l="1"/>
  <c r="E3" i="1"/>
  <c r="E4" i="1"/>
  <c r="E5" i="1"/>
  <c r="E6" i="1"/>
  <c r="E7" i="1"/>
  <c r="E8" i="1"/>
  <c r="E9" i="1"/>
  <c r="E10" i="1"/>
  <c r="E11" i="1"/>
  <c r="E12" i="1"/>
  <c r="E13" i="1"/>
  <c r="E2" i="1"/>
  <c r="D3" i="1"/>
  <c r="D4" i="1"/>
  <c r="D5" i="1"/>
  <c r="D6" i="1"/>
  <c r="D7" i="1"/>
  <c r="D8" i="1"/>
  <c r="D9" i="1"/>
  <c r="D10" i="1"/>
  <c r="D11" i="1"/>
  <c r="D12" i="1"/>
  <c r="D13" i="1"/>
  <c r="D2" i="1"/>
  <c r="D4" i="4"/>
  <c r="E6" i="4"/>
  <c r="E5" i="4"/>
  <c r="E4" i="4"/>
  <c r="D6" i="4"/>
  <c r="D5" i="4"/>
  <c r="G4" i="6" l="1"/>
  <c r="G3" i="6"/>
  <c r="D3" i="6"/>
  <c r="D4" i="6"/>
  <c r="D5" i="6"/>
  <c r="D6" i="6"/>
  <c r="D7" i="6"/>
  <c r="D8" i="6"/>
  <c r="D9" i="6"/>
  <c r="D10" i="6"/>
  <c r="D11" i="6"/>
  <c r="D2" i="6"/>
  <c r="B4" i="5"/>
  <c r="B11" i="5" s="1"/>
  <c r="H18" i="7"/>
  <c r="H18" i="11"/>
  <c r="H17" i="7"/>
  <c r="H17" i="11"/>
  <c r="H16" i="7"/>
  <c r="H16" i="11"/>
  <c r="H15" i="7"/>
  <c r="H15" i="11"/>
  <c r="F3" i="7"/>
  <c r="F4" i="7"/>
  <c r="F5" i="7"/>
  <c r="F6" i="7"/>
  <c r="F7" i="7"/>
  <c r="F8" i="7"/>
  <c r="F9" i="7"/>
  <c r="F10" i="7"/>
  <c r="F11" i="7"/>
  <c r="D3" i="7"/>
  <c r="D4" i="7"/>
  <c r="D5" i="7"/>
  <c r="D6" i="7"/>
  <c r="D7" i="7"/>
  <c r="D8" i="7"/>
  <c r="D9" i="7"/>
  <c r="D10" i="7"/>
  <c r="D11" i="7"/>
  <c r="H14" i="7"/>
  <c r="H14" i="11"/>
  <c r="D2" i="7"/>
  <c r="D2" i="11"/>
  <c r="F2" i="7"/>
  <c r="F2" i="11"/>
  <c r="E3" i="8"/>
  <c r="E4" i="8"/>
  <c r="E5" i="8"/>
  <c r="E6" i="8"/>
  <c r="E7" i="8"/>
  <c r="E8" i="8"/>
  <c r="E9" i="8"/>
  <c r="E10" i="8"/>
  <c r="E11" i="8"/>
  <c r="E2" i="8"/>
  <c r="E47" i="3"/>
  <c r="D3" i="8"/>
  <c r="D4" i="8"/>
  <c r="D5" i="8"/>
  <c r="D6" i="8"/>
  <c r="D7" i="8"/>
  <c r="D8" i="8"/>
  <c r="D9" i="8"/>
  <c r="D10" i="8"/>
  <c r="D11" i="8"/>
  <c r="D2" i="8"/>
  <c r="G15" i="10"/>
  <c r="G14" i="10"/>
  <c r="G13" i="10"/>
  <c r="F5" i="10"/>
  <c r="F6" i="10"/>
  <c r="F7" i="10"/>
  <c r="F8" i="10"/>
  <c r="F9" i="10"/>
  <c r="F10" i="10"/>
  <c r="F11" i="10"/>
  <c r="F4" i="10"/>
  <c r="E5" i="10"/>
  <c r="E6" i="10"/>
  <c r="E7" i="10"/>
  <c r="E8" i="10"/>
  <c r="E9" i="10"/>
  <c r="E10" i="10"/>
  <c r="E11" i="10"/>
  <c r="E4" i="10"/>
  <c r="D5" i="10"/>
  <c r="D6" i="10"/>
  <c r="D7" i="10"/>
  <c r="D8" i="10"/>
  <c r="D9" i="10"/>
  <c r="D10" i="10"/>
  <c r="D11" i="10"/>
  <c r="D4" i="10"/>
  <c r="F3" i="11"/>
  <c r="F4" i="11"/>
  <c r="F5" i="11"/>
  <c r="F6" i="11"/>
  <c r="F7" i="11"/>
  <c r="F8" i="11"/>
  <c r="F9" i="11"/>
  <c r="F10" i="11"/>
  <c r="F11" i="11"/>
  <c r="D3" i="11"/>
  <c r="D4" i="11"/>
  <c r="D5" i="11"/>
  <c r="D6" i="11"/>
  <c r="D7" i="11"/>
  <c r="D8" i="11"/>
  <c r="D9" i="11"/>
  <c r="D10" i="11"/>
  <c r="D11" i="11"/>
  <c r="B3" i="12"/>
  <c r="E48" i="3"/>
  <c r="E49" i="3"/>
  <c r="E50" i="3"/>
  <c r="E51" i="3"/>
  <c r="E52" i="3"/>
  <c r="E53" i="3"/>
  <c r="E54" i="3"/>
  <c r="E55" i="3"/>
  <c r="E56" i="3"/>
  <c r="D48" i="3"/>
  <c r="D49" i="3"/>
  <c r="D50" i="3"/>
  <c r="D51" i="3"/>
  <c r="D52" i="3"/>
  <c r="D53" i="3"/>
  <c r="D54" i="3"/>
  <c r="D55" i="3"/>
  <c r="D56" i="3"/>
  <c r="D47" i="3"/>
  <c r="H35" i="3"/>
  <c r="H36" i="3"/>
  <c r="H37" i="3"/>
  <c r="H38" i="3"/>
  <c r="H39" i="3"/>
  <c r="H40" i="3"/>
  <c r="H41" i="3"/>
  <c r="H34" i="3"/>
  <c r="F35" i="3"/>
  <c r="F36" i="3"/>
  <c r="F37" i="3"/>
  <c r="F38" i="3"/>
  <c r="F39" i="3"/>
  <c r="F40" i="3"/>
  <c r="F41" i="3"/>
  <c r="F34" i="3"/>
  <c r="F20" i="3"/>
  <c r="F21" i="3"/>
  <c r="F22" i="3"/>
  <c r="F23" i="3"/>
  <c r="F24" i="3"/>
  <c r="F25" i="3"/>
  <c r="F26" i="3"/>
  <c r="F19" i="3"/>
  <c r="E20" i="3"/>
  <c r="E21" i="3"/>
  <c r="E22" i="3"/>
  <c r="E23" i="3"/>
  <c r="E24" i="3"/>
  <c r="E25" i="3"/>
  <c r="E26" i="3"/>
  <c r="E19" i="3"/>
  <c r="G3" i="3"/>
  <c r="G4" i="3"/>
  <c r="G5" i="3"/>
  <c r="G6" i="3"/>
  <c r="G7" i="3"/>
  <c r="G8" i="3"/>
  <c r="G2" i="3"/>
  <c r="E3" i="3"/>
  <c r="E4" i="3"/>
  <c r="E5" i="3"/>
  <c r="E6" i="3"/>
  <c r="E7" i="3"/>
  <c r="E8" i="3"/>
  <c r="E2" i="3"/>
  <c r="D3" i="3"/>
  <c r="D4" i="3"/>
  <c r="D5" i="3"/>
  <c r="D6" i="3"/>
  <c r="D7" i="3"/>
  <c r="D8" i="3"/>
  <c r="D2" i="3"/>
  <c r="G4" i="2"/>
  <c r="G5" i="2"/>
  <c r="G6" i="2"/>
  <c r="G7" i="2"/>
  <c r="G8" i="2"/>
  <c r="G3" i="2"/>
  <c r="D4" i="2"/>
  <c r="D5" i="2"/>
  <c r="D6" i="2"/>
  <c r="D7" i="2"/>
  <c r="D8" i="2"/>
  <c r="D3" i="2"/>
</calcChain>
</file>

<file path=xl/sharedStrings.xml><?xml version="1.0" encoding="utf-8"?>
<sst xmlns="http://schemas.openxmlformats.org/spreadsheetml/2006/main" count="458" uniqueCount="249">
  <si>
    <t>Controle de Frota</t>
  </si>
  <si>
    <t>Carro</t>
  </si>
  <si>
    <t>KM Inicial</t>
  </si>
  <si>
    <t>KM Final</t>
  </si>
  <si>
    <t>Km Rodado</t>
  </si>
  <si>
    <t>Combustível</t>
  </si>
  <si>
    <t>KM por litro</t>
  </si>
  <si>
    <t>Total gasto</t>
  </si>
  <si>
    <t>Dados</t>
  </si>
  <si>
    <t>Palio</t>
  </si>
  <si>
    <t>Gas</t>
  </si>
  <si>
    <t>Se o carro for a gasolina, utilizar o valor da gasolina;</t>
  </si>
  <si>
    <t>Gol</t>
  </si>
  <si>
    <t>Alc</t>
  </si>
  <si>
    <t>se o carro for álcool, utilizar o valor do álcool; se for flex utilizar o valor do álcool.</t>
  </si>
  <si>
    <t>Ford Ka</t>
  </si>
  <si>
    <t>Celta</t>
  </si>
  <si>
    <t>Flex</t>
  </si>
  <si>
    <t>Uno</t>
  </si>
  <si>
    <t>Corsa</t>
  </si>
  <si>
    <t>Preço</t>
  </si>
  <si>
    <t>Produto</t>
  </si>
  <si>
    <t>Qtd Produzido</t>
  </si>
  <si>
    <t>Qtd Defeito</t>
  </si>
  <si>
    <t>% defeito</t>
  </si>
  <si>
    <t>Classificação</t>
  </si>
  <si>
    <t>Custo Unitário</t>
  </si>
  <si>
    <t>Venda Unitária</t>
  </si>
  <si>
    <t>P1</t>
  </si>
  <si>
    <t>P2</t>
  </si>
  <si>
    <t>P3</t>
  </si>
  <si>
    <t>P4</t>
  </si>
  <si>
    <t>P5</t>
  </si>
  <si>
    <t>P6</t>
  </si>
  <si>
    <t>P7</t>
  </si>
  <si>
    <t>Variação 1</t>
  </si>
  <si>
    <t>Dados: se a Porcentagem de defeito for inferior a 5%;</t>
  </si>
  <si>
    <t>Variação 2</t>
  </si>
  <si>
    <t>Tipo A; se a porcentagem for inferior a 10% Tipo B</t>
  </si>
  <si>
    <t>Variação 3</t>
  </si>
  <si>
    <t>senão Tipo C</t>
  </si>
  <si>
    <t>Dados Venda Unitária: se for do Tipo A -&gt; Variação 1; se for Tipo B -&gt; Variação 2; senão variação 3</t>
  </si>
  <si>
    <t>Exercício 2: Controle de Compra</t>
  </si>
  <si>
    <t>Forn 1</t>
  </si>
  <si>
    <t>Forn 2</t>
  </si>
  <si>
    <t>Forn 3</t>
  </si>
  <si>
    <t>Menor Preço</t>
  </si>
  <si>
    <t>Comprar no</t>
  </si>
  <si>
    <t>X1</t>
  </si>
  <si>
    <t>X2</t>
  </si>
  <si>
    <t>X3</t>
  </si>
  <si>
    <t>X4</t>
  </si>
  <si>
    <t>X5</t>
  </si>
  <si>
    <t>X6</t>
  </si>
  <si>
    <t>X7</t>
  </si>
  <si>
    <t>X8</t>
  </si>
  <si>
    <t>Dados: Se o menor preço for do fornecedor 1 -&gt; mostrar Forn 1; se o menor preço for do fornecedor</t>
  </si>
  <si>
    <t>2 -&gt; Mostrar Forn 2; senão Forn 3.</t>
  </si>
  <si>
    <t>EXTRA 1</t>
  </si>
  <si>
    <t>Exercício 2</t>
  </si>
  <si>
    <t>Nomes</t>
  </si>
  <si>
    <t>Nota 1</t>
  </si>
  <si>
    <t>Nota 2</t>
  </si>
  <si>
    <t>Nota 3</t>
  </si>
  <si>
    <t>Nota 4</t>
  </si>
  <si>
    <t>Média</t>
  </si>
  <si>
    <t>% Falta</t>
  </si>
  <si>
    <t>Situaçao</t>
  </si>
  <si>
    <t>Ana</t>
  </si>
  <si>
    <t>Beatriz</t>
  </si>
  <si>
    <t>Camila</t>
  </si>
  <si>
    <t>Cristina</t>
  </si>
  <si>
    <t>Francisco</t>
  </si>
  <si>
    <t>João Paulo</t>
  </si>
  <si>
    <t>Marcela</t>
  </si>
  <si>
    <t>Paula</t>
  </si>
  <si>
    <t>Se a % das faltas for superior a 25%; "reprovado" se a média for inferior a 3 o aluno será</t>
  </si>
  <si>
    <t>reprovado, se a média for inferior a 7; o aluno estará de Exame, senão o aluno será APROVADO.</t>
  </si>
  <si>
    <t>EXTRA 2</t>
  </si>
  <si>
    <t>Clientes</t>
  </si>
  <si>
    <t>Valor da
Compra</t>
  </si>
  <si>
    <t>Forma de
pagamento</t>
  </si>
  <si>
    <t>Valor a
pagar</t>
  </si>
  <si>
    <t>Valor da
prestação</t>
  </si>
  <si>
    <t>Dados:</t>
  </si>
  <si>
    <t>C1</t>
  </si>
  <si>
    <t>1X</t>
  </si>
  <si>
    <t>Valor a pagar:</t>
  </si>
  <si>
    <t>C2</t>
  </si>
  <si>
    <t>2X</t>
  </si>
  <si>
    <t xml:space="preserve">Se o valor da compra for inferior a 3500; </t>
  </si>
  <si>
    <t>C3</t>
  </si>
  <si>
    <t>e se for em 1X, 2,5% de desconto.</t>
  </si>
  <si>
    <t>C4</t>
  </si>
  <si>
    <t>3X</t>
  </si>
  <si>
    <t>Se for em 2X o mesmo preço a vista, .</t>
  </si>
  <si>
    <t>C5</t>
  </si>
  <si>
    <t>se for em 3X, acréscimo de 5%</t>
  </si>
  <si>
    <t>C6</t>
  </si>
  <si>
    <t xml:space="preserve">Senão Se o valor da compra for inferior a </t>
  </si>
  <si>
    <t>C7</t>
  </si>
  <si>
    <t>5000; e se for em 1X 5% de desconto</t>
  </si>
  <si>
    <t>C8</t>
  </si>
  <si>
    <t xml:space="preserve">Se for em 2X 2,5% de desconto; em 3X </t>
  </si>
  <si>
    <t>C9</t>
  </si>
  <si>
    <t xml:space="preserve">acréscimo de 3%; Senão se o valor </t>
  </si>
  <si>
    <t>C10</t>
  </si>
  <si>
    <t>for superior a 5000; 6,5% de desconto.</t>
  </si>
  <si>
    <t>Valor da Prestação</t>
  </si>
  <si>
    <t>Se for pago em 2X dividir o valor a pagar por 2 se for em 3X dividir por 3.</t>
  </si>
  <si>
    <t>Cálculo de adicionais – Julho</t>
  </si>
  <si>
    <t>Vendedor</t>
  </si>
  <si>
    <t>Vendas</t>
  </si>
  <si>
    <t>Total</t>
  </si>
  <si>
    <t>Junho</t>
  </si>
  <si>
    <t>Julho</t>
  </si>
  <si>
    <t>R$</t>
  </si>
  <si>
    <t>Aristeu</t>
  </si>
  <si>
    <t>Boreas</t>
  </si>
  <si>
    <t>Cronos</t>
  </si>
  <si>
    <t>Salário Mínimo</t>
  </si>
  <si>
    <t>Vendedores</t>
  </si>
  <si>
    <t>Categoria</t>
  </si>
  <si>
    <t>Valor Vendido</t>
  </si>
  <si>
    <t>Salário</t>
  </si>
  <si>
    <t>V1</t>
  </si>
  <si>
    <t>Móveis</t>
  </si>
  <si>
    <t>Total pago por departamento</t>
  </si>
  <si>
    <t>V2</t>
  </si>
  <si>
    <t>Eletrodomésticos</t>
  </si>
  <si>
    <t>V3</t>
  </si>
  <si>
    <t>V4</t>
  </si>
  <si>
    <t>V5</t>
  </si>
  <si>
    <t>V6</t>
  </si>
  <si>
    <t>V7</t>
  </si>
  <si>
    <t>V8</t>
  </si>
  <si>
    <t>V9</t>
  </si>
  <si>
    <t>V10</t>
  </si>
  <si>
    <t xml:space="preserve">Se o empregado trabalhar com Móveis o sálario será de R$ 410,00 mais a comissão de acordo com o valor vendido; se vender até </t>
  </si>
  <si>
    <t>10000 receberá 3,5%, se vender até 20000 receberá 5,5% senão 10%</t>
  </si>
  <si>
    <t xml:space="preserve">Se o empregado trabalhar com Eletrodoméstico o salário será de R$ 350,00 mais a comissão de acordo com o valor vendido; se vender </t>
  </si>
  <si>
    <t>até 5000 receberá 4%, se vender até 10000, receberá 8% senão 12%</t>
  </si>
  <si>
    <t>Controle de Estoque de Supermercado</t>
  </si>
  <si>
    <t>PRODUTO</t>
  </si>
  <si>
    <t>Data
Fabricação</t>
  </si>
  <si>
    <t>Prazo</t>
  </si>
  <si>
    <t>Data
Validade</t>
  </si>
  <si>
    <t>Situação</t>
  </si>
  <si>
    <t>Valor de Venda</t>
  </si>
  <si>
    <t>P8</t>
  </si>
  <si>
    <t>P9</t>
  </si>
  <si>
    <t>P10</t>
  </si>
  <si>
    <t>TIPO A</t>
  </si>
  <si>
    <t>Total por tipo</t>
  </si>
  <si>
    <t>TIPO B</t>
  </si>
  <si>
    <t>???</t>
  </si>
  <si>
    <t>TIPO C</t>
  </si>
  <si>
    <t>TIPO D</t>
  </si>
  <si>
    <t>TIPO E</t>
  </si>
  <si>
    <t>Se o produto estiver com a data de validade vencida, apresentar a mensagem VENCIDO, senão apresentar a data de validade</t>
  </si>
  <si>
    <t>Se o produto estiver vencido apresentar a mensagem Retirar o produto; se a produtor for vencer em até 5 dias classificar como podudo tipo E</t>
  </si>
  <si>
    <t>se o produto for vencer em até 10 dia classificar como tipo d, se for vencer em até 15 dia tipo c, até 20 dias tipo b senão tipo a</t>
  </si>
  <si>
    <t>Valor Venda</t>
  </si>
  <si>
    <t>Se o produto estiver vencido, apresentar o valor 0, se o produto for do tipo A, utilizar variação 1, se for do tipo b, variação 2 e assim sucessivamente</t>
  </si>
  <si>
    <t>RA Aluno</t>
  </si>
  <si>
    <t>Curso</t>
  </si>
  <si>
    <t>Meses em atraso</t>
  </si>
  <si>
    <t>Valor da
Mensalidade</t>
  </si>
  <si>
    <t>Valor a Pagar</t>
  </si>
  <si>
    <t>Arquitetura</t>
  </si>
  <si>
    <t>Valor da mensalidade:</t>
  </si>
  <si>
    <t>Se for Arquitetura, buscar o valor do curso de Arquitetura;</t>
  </si>
  <si>
    <t>Eng. Civil</t>
  </si>
  <si>
    <t>Se for Eng. Civil, buscar o valor de Eng. Civil; senão de Medicina</t>
  </si>
  <si>
    <t>Medicina</t>
  </si>
  <si>
    <t>Se o aluno estiver com 1 mensalidade em atraso acrescentar a porcentagem</t>
  </si>
  <si>
    <t xml:space="preserve">de 1 mês; se o aluno estiver com 2 meses de atraso; acrescentar </t>
  </si>
  <si>
    <t>a porcentagem de 2 meses; senão apresentar a mensagem:</t>
  </si>
  <si>
    <t>"Negociar a dívida"</t>
  </si>
  <si>
    <t>Valor do Curso</t>
  </si>
  <si>
    <t>Porcentagem</t>
  </si>
  <si>
    <t>Origem</t>
  </si>
  <si>
    <t>Criar a validação para a origem ser: Pública, colégio, particular</t>
  </si>
  <si>
    <t>Forma de Pagamento</t>
  </si>
  <si>
    <t>Criar a validação para o Irmão ser Sim; Não</t>
  </si>
  <si>
    <t>Irmãos</t>
  </si>
  <si>
    <t>Material</t>
  </si>
  <si>
    <t>Matrícula</t>
  </si>
  <si>
    <t>Valor a pagar</t>
  </si>
  <si>
    <t>Dados: se a origem for Pública, o valor da mensalidade é R$ 180,00, se a origem for do colégio o valor da mensalidade é de R$ 220,00 se for de outra escola particular o valor é de R$ 280,00</t>
  </si>
  <si>
    <t>se a forma de pagamento for a vista (o ano todo, 12 meses) o aluno terá 20% de desconto nas mensalidades.</t>
  </si>
  <si>
    <t>de o aluno tiver irmão; na matrícula o aluno terá 15% de desconto.</t>
  </si>
  <si>
    <t>todos os alunos deverão pagar o material este não terá nenhum desconto</t>
  </si>
  <si>
    <t>Cliente</t>
  </si>
  <si>
    <t>Quantidade 
Folhas</t>
  </si>
  <si>
    <t>Tipo de 
Material</t>
  </si>
  <si>
    <t>Valor Gasto</t>
  </si>
  <si>
    <t>Forma de 
Pagamento</t>
  </si>
  <si>
    <t>Valor a pagar 
por mês</t>
  </si>
  <si>
    <t>A</t>
  </si>
  <si>
    <t>B</t>
  </si>
  <si>
    <t>C</t>
  </si>
  <si>
    <t>4X</t>
  </si>
  <si>
    <t>D</t>
  </si>
  <si>
    <t>E</t>
  </si>
  <si>
    <t>5X</t>
  </si>
  <si>
    <t>Valor da folha por categoria</t>
  </si>
  <si>
    <t>Tabela de Desconto</t>
  </si>
  <si>
    <t>Total a receber em</t>
  </si>
  <si>
    <t xml:space="preserve">Dados: </t>
  </si>
  <si>
    <t>Se o tipo de material for da categoria A; utilizar o valor da categoria A; e assim sucessivamente</t>
  </si>
  <si>
    <t>Valor Pg/Mês</t>
  </si>
  <si>
    <t>Se for 1X usar a porcentagem da tabela de Desconto / acréscimo; e assim sucessivamente</t>
  </si>
  <si>
    <t>Tot receber</t>
  </si>
  <si>
    <t>Função somase</t>
  </si>
  <si>
    <t>Cálculo de Ar Condicionado</t>
  </si>
  <si>
    <t>Salas</t>
  </si>
  <si>
    <t>Largura</t>
  </si>
  <si>
    <t>Comprimento</t>
  </si>
  <si>
    <t>área</t>
  </si>
  <si>
    <t>Tipo do
ar Condicionado</t>
  </si>
  <si>
    <t>Valor</t>
  </si>
  <si>
    <t>Sala 1</t>
  </si>
  <si>
    <t>Sala 2</t>
  </si>
  <si>
    <t>Sala 3</t>
  </si>
  <si>
    <t>Sala 4</t>
  </si>
  <si>
    <t>Sala 5</t>
  </si>
  <si>
    <t>Sala 6</t>
  </si>
  <si>
    <t>Sala 7</t>
  </si>
  <si>
    <t>Sala 8</t>
  </si>
  <si>
    <t>Tipo 1</t>
  </si>
  <si>
    <t>por metro quadrado</t>
  </si>
  <si>
    <t>Tipo 2</t>
  </si>
  <si>
    <t>Tipo 3</t>
  </si>
  <si>
    <t xml:space="preserve">Tipo de </t>
  </si>
  <si>
    <t xml:space="preserve">se a área for até 10 metros quadrados; o ar condicionado é do Tipo 1; se a área for até </t>
  </si>
  <si>
    <t>Ar Cond</t>
  </si>
  <si>
    <t>20 metros quadrados; o ar é do Tipo 2; senão do Tipo 3</t>
  </si>
  <si>
    <t xml:space="preserve">Se for do tipo 1, utilizar o valor do tipo 1; se for do tipo 2; valor do tipo 2 senão o valor do </t>
  </si>
  <si>
    <t>tipo 3</t>
  </si>
  <si>
    <t>Valor do Boleto</t>
  </si>
  <si>
    <t>Data vencimento</t>
  </si>
  <si>
    <t>Multa de 2% + juros de 5% ao mês (dias)</t>
  </si>
  <si>
    <t xml:space="preserve"> m-5% ate 10dias</t>
  </si>
  <si>
    <t>ERRADO</t>
  </si>
  <si>
    <t>CORRETO</t>
  </si>
  <si>
    <t>A vista</t>
  </si>
  <si>
    <t>Pública</t>
  </si>
  <si>
    <t>Sim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</si>
</sst>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-&quot;R$&quot;\ * #,##0.00_-;\-&quot;R$&quot;\ * #,##0.00_-;_-&quot;R$&quot;\ * &quot;-&quot;??_-;_-@_-"/>
    <numFmt numFmtId="164" formatCode="_(&quot;R$ &quot;* #,##0.00_);_(&quot;R$ &quot;* \(#,##0.00\);_(&quot;R$ &quot;* &quot;-&quot;??_);_(@_)"/>
    <numFmt numFmtId="165" formatCode="0.0%"/>
    <numFmt numFmtId="166" formatCode="0.0"/>
    <numFmt numFmtId="167" formatCode="&quot;R$ &quot;#,##0.00"/>
    <numFmt numFmtId="168" formatCode="dd/mm/yy;@"/>
    <numFmt numFmtId="169" formatCode="_-[$R$-416]* #,##0.00_-;\-[$R$-416]* #,##0.00_-;_-[$R$-416]* &quot;-&quot;??_-;_-@_-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0"/>
      <name val="Arial"/>
      <family val="2"/>
    </font>
    <font>
      <b/>
      <sz val="10"/>
      <name val="Arial"/>
      <family val="2"/>
    </font>
    <font>
      <b/>
      <sz val="10"/>
      <color indexed="9"/>
      <name val="Arial"/>
      <family val="2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sz val="10"/>
      <name val="Arial"/>
      <family val="2"/>
    </font>
    <font>
      <b/>
      <sz val="16"/>
      <name val="Arial"/>
      <family val="2"/>
    </font>
    <font>
      <b/>
      <i/>
      <u/>
      <sz val="10"/>
      <name val="Arial"/>
      <family val="2"/>
    </font>
    <font>
      <b/>
      <i/>
      <u val="singleAccounting"/>
      <sz val="10"/>
      <name val="Arial"/>
      <family val="2"/>
    </font>
    <font>
      <b/>
      <sz val="12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8"/>
      </right>
      <top style="medium">
        <color indexed="8"/>
      </top>
      <bottom/>
      <diagonal/>
    </border>
    <border>
      <left style="medium">
        <color indexed="64"/>
      </left>
      <right style="medium">
        <color indexed="8"/>
      </right>
      <top/>
      <bottom style="medium">
        <color indexed="64"/>
      </bottom>
      <diagonal/>
    </border>
    <border>
      <left style="medium">
        <color indexed="8"/>
      </left>
      <right/>
      <top/>
      <bottom style="medium">
        <color indexed="64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2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164" fontId="0" fillId="0" borderId="0" xfId="1" applyNumberFormat="1" applyFont="1"/>
    <xf numFmtId="10" fontId="0" fillId="0" borderId="0" xfId="0" applyNumberFormat="1"/>
    <xf numFmtId="0" fontId="3" fillId="0" borderId="0" xfId="0" applyFont="1"/>
    <xf numFmtId="0" fontId="0" fillId="0" borderId="1" xfId="0" applyBorder="1"/>
    <xf numFmtId="165" fontId="0" fillId="2" borderId="1" xfId="2" applyNumberFormat="1" applyFont="1" applyFill="1" applyBorder="1"/>
    <xf numFmtId="0" fontId="0" fillId="2" borderId="1" xfId="0" applyFill="1" applyBorder="1"/>
    <xf numFmtId="164" fontId="0" fillId="0" borderId="1" xfId="1" applyNumberFormat="1" applyFont="1" applyBorder="1"/>
    <xf numFmtId="164" fontId="0" fillId="2" borderId="1" xfId="0" applyNumberFormat="1" applyFill="1" applyBorder="1"/>
    <xf numFmtId="9" fontId="0" fillId="0" borderId="1" xfId="0" applyNumberFormat="1" applyBorder="1"/>
    <xf numFmtId="0" fontId="0" fillId="3" borderId="0" xfId="0" applyFill="1"/>
    <xf numFmtId="164" fontId="0" fillId="2" borderId="1" xfId="1" applyNumberFormat="1" applyFont="1" applyFill="1" applyBorder="1"/>
    <xf numFmtId="0" fontId="4" fillId="3" borderId="0" xfId="0" applyFont="1" applyFill="1"/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166" fontId="3" fillId="2" borderId="6" xfId="0" applyNumberFormat="1" applyFont="1" applyFill="1" applyBorder="1" applyAlignment="1">
      <alignment horizontal="center"/>
    </xf>
    <xf numFmtId="10" fontId="0" fillId="0" borderId="6" xfId="0" applyNumberFormat="1" applyBorder="1"/>
    <xf numFmtId="0" fontId="3" fillId="2" borderId="7" xfId="0" applyFont="1" applyFill="1" applyBorder="1" applyAlignment="1">
      <alignment horizontal="center"/>
    </xf>
    <xf numFmtId="0" fontId="0" fillId="0" borderId="8" xfId="0" applyBorder="1"/>
    <xf numFmtId="0" fontId="0" fillId="0" borderId="9" xfId="0" applyBorder="1"/>
    <xf numFmtId="10" fontId="0" fillId="0" borderId="9" xfId="0" applyNumberFormat="1" applyBorder="1"/>
    <xf numFmtId="0" fontId="0" fillId="0" borderId="0" xfId="0" applyBorder="1"/>
    <xf numFmtId="0" fontId="0" fillId="0" borderId="10" xfId="0" applyBorder="1"/>
    <xf numFmtId="0" fontId="0" fillId="0" borderId="11" xfId="0" applyBorder="1" applyAlignment="1">
      <alignment wrapText="1"/>
    </xf>
    <xf numFmtId="0" fontId="0" fillId="0" borderId="12" xfId="0" applyBorder="1" applyAlignment="1">
      <alignment wrapText="1"/>
    </xf>
    <xf numFmtId="167" fontId="0" fillId="0" borderId="1" xfId="0" applyNumberFormat="1" applyBorder="1"/>
    <xf numFmtId="167" fontId="4" fillId="2" borderId="1" xfId="0" applyNumberFormat="1" applyFont="1" applyFill="1" applyBorder="1" applyAlignment="1">
      <alignment horizontal="center"/>
    </xf>
    <xf numFmtId="167" fontId="3" fillId="2" borderId="1" xfId="0" applyNumberFormat="1" applyFont="1" applyFill="1" applyBorder="1" applyAlignment="1">
      <alignment horizontal="center"/>
    </xf>
    <xf numFmtId="0" fontId="6" fillId="0" borderId="13" xfId="0" applyFont="1" applyBorder="1" applyAlignment="1">
      <alignment wrapText="1"/>
    </xf>
    <xf numFmtId="4" fontId="6" fillId="0" borderId="13" xfId="0" applyNumberFormat="1" applyFont="1" applyBorder="1" applyAlignment="1">
      <alignment horizontal="right" wrapText="1"/>
    </xf>
    <xf numFmtId="4" fontId="6" fillId="0" borderId="15" xfId="0" applyNumberFormat="1" applyFont="1" applyBorder="1" applyAlignment="1">
      <alignment horizontal="center" wrapText="1"/>
    </xf>
    <xf numFmtId="0" fontId="6" fillId="0" borderId="0" xfId="0" applyFont="1" applyFill="1" applyBorder="1" applyAlignment="1">
      <alignment wrapText="1"/>
    </xf>
    <xf numFmtId="4" fontId="6" fillId="0" borderId="0" xfId="0" applyNumberFormat="1" applyFont="1" applyFill="1" applyBorder="1" applyAlignment="1">
      <alignment horizontal="right" wrapText="1"/>
    </xf>
    <xf numFmtId="0" fontId="0" fillId="0" borderId="1" xfId="0" applyBorder="1" applyAlignment="1">
      <alignment wrapText="1"/>
    </xf>
    <xf numFmtId="2" fontId="2" fillId="2" borderId="1" xfId="1" applyNumberFormat="1" applyFont="1" applyFill="1" applyBorder="1"/>
    <xf numFmtId="2" fontId="0" fillId="0" borderId="0" xfId="0" applyNumberFormat="1"/>
    <xf numFmtId="164" fontId="2" fillId="2" borderId="1" xfId="1" applyNumberFormat="1" applyFont="1" applyFill="1" applyBorder="1"/>
    <xf numFmtId="0" fontId="0" fillId="0" borderId="1" xfId="0" applyBorder="1" applyAlignment="1">
      <alignment horizontal="center"/>
    </xf>
    <xf numFmtId="164" fontId="7" fillId="0" borderId="1" xfId="1" applyNumberFormat="1" applyFont="1" applyBorder="1" applyAlignment="1">
      <alignment horizontal="center"/>
    </xf>
    <xf numFmtId="9" fontId="0" fillId="0" borderId="1" xfId="2" applyFont="1" applyBorder="1"/>
    <xf numFmtId="0" fontId="0" fillId="0" borderId="0" xfId="0" applyFill="1" applyBorder="1" applyAlignment="1"/>
    <xf numFmtId="0" fontId="3" fillId="0" borderId="0" xfId="0" applyFont="1" applyFill="1" applyBorder="1" applyAlignment="1">
      <alignment horizontal="center"/>
    </xf>
    <xf numFmtId="168" fontId="0" fillId="0" borderId="1" xfId="0" applyNumberFormat="1" applyBorder="1"/>
    <xf numFmtId="14" fontId="9" fillId="0" borderId="1" xfId="0" applyNumberFormat="1" applyFont="1" applyBorder="1"/>
    <xf numFmtId="0" fontId="9" fillId="0" borderId="1" xfId="0" applyFont="1" applyBorder="1" applyAlignment="1">
      <alignment horizontal="center"/>
    </xf>
    <xf numFmtId="0" fontId="9" fillId="0" borderId="1" xfId="0" applyFont="1" applyBorder="1"/>
    <xf numFmtId="164" fontId="9" fillId="0" borderId="1" xfId="1" applyNumberFormat="1" applyFont="1" applyBorder="1"/>
    <xf numFmtId="164" fontId="10" fillId="0" borderId="1" xfId="1" applyNumberFormat="1" applyFont="1" applyBorder="1"/>
    <xf numFmtId="0" fontId="0" fillId="0" borderId="1" xfId="0" applyFill="1" applyBorder="1"/>
    <xf numFmtId="0" fontId="0" fillId="0" borderId="1" xfId="0" applyFill="1" applyBorder="1" applyAlignment="1">
      <alignment wrapText="1"/>
    </xf>
    <xf numFmtId="2" fontId="0" fillId="0" borderId="1" xfId="0" applyNumberFormat="1" applyFill="1" applyBorder="1"/>
    <xf numFmtId="164" fontId="0" fillId="0" borderId="1" xfId="1" applyNumberFormat="1" applyFont="1" applyFill="1" applyBorder="1"/>
    <xf numFmtId="14" fontId="0" fillId="0" borderId="0" xfId="0" applyNumberFormat="1"/>
    <xf numFmtId="169" fontId="3" fillId="0" borderId="0" xfId="0" applyNumberFormat="1" applyFont="1" applyAlignment="1">
      <alignment horizontal="center"/>
    </xf>
    <xf numFmtId="0" fontId="0" fillId="0" borderId="18" xfId="0" applyBorder="1"/>
    <xf numFmtId="0" fontId="12" fillId="0" borderId="18" xfId="0" applyFont="1" applyBorder="1"/>
    <xf numFmtId="0" fontId="12" fillId="0" borderId="18" xfId="0" applyFont="1" applyFill="1" applyBorder="1"/>
    <xf numFmtId="0" fontId="5" fillId="0" borderId="14" xfId="0" applyFont="1" applyBorder="1" applyAlignment="1">
      <alignment horizontal="center" wrapText="1"/>
    </xf>
    <xf numFmtId="0" fontId="8" fillId="0" borderId="0" xfId="0" applyFont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11" fillId="0" borderId="0" xfId="0" applyFont="1" applyAlignment="1">
      <alignment horizontal="center"/>
    </xf>
    <xf numFmtId="0" fontId="13" fillId="0" borderId="0" xfId="0" applyFont="1"/>
    <xf numFmtId="0" fontId="14" fillId="0" borderId="0" xfId="0" applyFont="1"/>
    <xf numFmtId="0" fontId="5" fillId="0" borderId="20" xfId="0" applyFont="1" applyBorder="1" applyAlignment="1">
      <alignment horizontal="center" wrapText="1"/>
    </xf>
    <xf numFmtId="0" fontId="5" fillId="0" borderId="21" xfId="0" applyFont="1" applyBorder="1" applyAlignment="1">
      <alignment horizontal="center" wrapText="1"/>
    </xf>
    <xf numFmtId="0" fontId="5" fillId="0" borderId="22" xfId="0" applyFont="1" applyBorder="1" applyAlignment="1">
      <alignment horizontal="center" wrapText="1"/>
    </xf>
    <xf numFmtId="0" fontId="5" fillId="0" borderId="23" xfId="0" applyFont="1" applyBorder="1" applyAlignment="1">
      <alignment horizontal="center" wrapText="1"/>
    </xf>
    <xf numFmtId="0" fontId="5" fillId="0" borderId="24" xfId="0" applyFont="1" applyBorder="1" applyAlignment="1">
      <alignment horizontal="center" wrapText="1"/>
    </xf>
    <xf numFmtId="0" fontId="5" fillId="0" borderId="25" xfId="0" applyFont="1" applyBorder="1" applyAlignment="1">
      <alignment horizontal="center" wrapText="1"/>
    </xf>
    <xf numFmtId="0" fontId="5" fillId="0" borderId="26" xfId="0" applyFont="1" applyBorder="1" applyAlignment="1">
      <alignment horizontal="center" wrapText="1"/>
    </xf>
    <xf numFmtId="0" fontId="0" fillId="0" borderId="27" xfId="0" applyBorder="1"/>
    <xf numFmtId="0" fontId="5" fillId="0" borderId="28" xfId="0" applyFont="1" applyBorder="1" applyAlignment="1">
      <alignment horizontal="center" wrapText="1"/>
    </xf>
    <xf numFmtId="0" fontId="5" fillId="0" borderId="29" xfId="0" applyFont="1" applyBorder="1" applyAlignment="1">
      <alignment horizontal="center" wrapText="1"/>
    </xf>
    <xf numFmtId="0" fontId="5" fillId="0" borderId="30" xfId="0" applyFont="1" applyBorder="1" applyAlignment="1">
      <alignment horizontal="center" wrapText="1"/>
    </xf>
    <xf numFmtId="0" fontId="5" fillId="0" borderId="19" xfId="0" applyFont="1" applyBorder="1" applyAlignment="1">
      <alignment horizontal="center" wrapText="1"/>
    </xf>
  </cellXfs>
  <cellStyles count="3">
    <cellStyle name="Moeda" xfId="1" builtinId="4"/>
    <cellStyle name="Normal" xfId="0" builtinId="0"/>
    <cellStyle name="Porcentagem" xfId="2" builtinId="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9</xdr:row>
      <xdr:rowOff>0</xdr:rowOff>
    </xdr:from>
    <xdr:to>
      <xdr:col>7</xdr:col>
      <xdr:colOff>464344</xdr:colOff>
      <xdr:row>19</xdr:row>
      <xdr:rowOff>154782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95250" y="1771650"/>
          <a:ext cx="4836319" cy="205978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l" rtl="1">
            <a:defRPr sz="1000"/>
          </a:pPr>
          <a:endParaRPr lang="pt-BR" sz="1100" b="0" i="0" strike="noStrike">
            <a:solidFill>
              <a:srgbClr val="000000"/>
            </a:solidFill>
            <a:latin typeface="Calibri"/>
          </a:endParaRPr>
        </a:p>
        <a:p>
          <a:pPr algn="l" rtl="1">
            <a:defRPr sz="1000"/>
          </a:pPr>
          <a:r>
            <a:rPr lang="pt-BR" sz="1100" b="0" i="0" strike="noStrike">
              <a:solidFill>
                <a:srgbClr val="000000"/>
              </a:solidFill>
              <a:latin typeface="Calibri"/>
            </a:rPr>
            <a:t>A distribuidora Trembão paga salário mínimo mais comissão de 5% sobre as vendas até R$10.000,00 e de 10% </a:t>
          </a:r>
          <a:r>
            <a:rPr lang="pt-BR" sz="1100" b="1" i="0" strike="noStrike">
              <a:solidFill>
                <a:srgbClr val="000000"/>
              </a:solidFill>
              <a:latin typeface="Calibri"/>
            </a:rPr>
            <a:t>sobre a parte que exceder esse limite</a:t>
          </a:r>
          <a:r>
            <a:rPr lang="pt-BR" sz="1100" b="0" i="0" strike="noStrike">
              <a:solidFill>
                <a:srgbClr val="000000"/>
              </a:solidFill>
              <a:latin typeface="Calibri"/>
            </a:rPr>
            <a:t>. Além disso, para estimular o crescimento, os vendedores que, em julho, aumentarem suas vendas em relação ao mês anterior ainda receberão um bônus de 5% sobre seu crescimento: </a:t>
          </a:r>
        </a:p>
        <a:p>
          <a:pPr algn="l" rtl="1">
            <a:defRPr sz="1000"/>
          </a:pPr>
          <a:r>
            <a:rPr lang="pt-BR" sz="1100" b="0" i="0" strike="noStrike">
              <a:solidFill>
                <a:srgbClr val="000000"/>
              </a:solidFill>
              <a:latin typeface="Calibri"/>
            </a:rPr>
            <a:t>* Para todos os valores que forem superior a 1000, formatar para a cor azul e o restante para a cor vermelha.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>
      <selection activeCell="F11" sqref="F11"/>
    </sheetView>
  </sheetViews>
  <sheetFormatPr defaultRowHeight="15" x14ac:dyDescent="0.25"/>
  <cols>
    <col min="7" max="7" width="10.7109375" bestFit="1" customWidth="1"/>
  </cols>
  <sheetData>
    <row r="1" spans="1:9" x14ac:dyDescent="0.25">
      <c r="A1" s="6" t="s">
        <v>0</v>
      </c>
    </row>
    <row r="2" spans="1:9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I2" t="s">
        <v>8</v>
      </c>
    </row>
    <row r="3" spans="1:9" x14ac:dyDescent="0.25">
      <c r="A3" t="s">
        <v>9</v>
      </c>
      <c r="B3">
        <v>12500</v>
      </c>
      <c r="C3">
        <v>12652</v>
      </c>
      <c r="D3">
        <f>C3-B3</f>
        <v>152</v>
      </c>
      <c r="E3" t="s">
        <v>10</v>
      </c>
      <c r="F3">
        <v>9.1999999999999993</v>
      </c>
      <c r="G3" s="59">
        <f>IF(OR(E3="Alc",E3="Flex"),(D3/F3)*$B$11,(D3/F3)*$B$12)</f>
        <v>67.739130434782609</v>
      </c>
      <c r="I3" t="s">
        <v>11</v>
      </c>
    </row>
    <row r="4" spans="1:9" x14ac:dyDescent="0.25">
      <c r="A4" t="s">
        <v>12</v>
      </c>
      <c r="B4">
        <v>15480</v>
      </c>
      <c r="C4">
        <v>16542</v>
      </c>
      <c r="D4">
        <f t="shared" ref="D4:D8" si="0">C4-B4</f>
        <v>1062</v>
      </c>
      <c r="E4" t="s">
        <v>13</v>
      </c>
      <c r="F4">
        <v>9.5</v>
      </c>
      <c r="G4" s="59">
        <f t="shared" ref="G4:G8" si="1">IF(OR(E4="Alc",E4="Flex"),(D4/F4)*$B$11,(D4/F4)*$B$12)</f>
        <v>290.65263157894736</v>
      </c>
      <c r="I4" t="s">
        <v>14</v>
      </c>
    </row>
    <row r="5" spans="1:9" x14ac:dyDescent="0.25">
      <c r="A5" t="s">
        <v>15</v>
      </c>
      <c r="B5">
        <v>25640</v>
      </c>
      <c r="C5">
        <v>26548</v>
      </c>
      <c r="D5">
        <f t="shared" si="0"/>
        <v>908</v>
      </c>
      <c r="E5" t="s">
        <v>10</v>
      </c>
      <c r="F5">
        <v>12.6</v>
      </c>
      <c r="G5" s="59">
        <f t="shared" si="1"/>
        <v>295.46031746031741</v>
      </c>
    </row>
    <row r="6" spans="1:9" x14ac:dyDescent="0.25">
      <c r="A6" t="s">
        <v>16</v>
      </c>
      <c r="B6">
        <v>32561</v>
      </c>
      <c r="C6">
        <v>32658</v>
      </c>
      <c r="D6">
        <f t="shared" si="0"/>
        <v>97</v>
      </c>
      <c r="E6" t="s">
        <v>17</v>
      </c>
      <c r="F6">
        <v>14.2</v>
      </c>
      <c r="G6" s="59">
        <f t="shared" si="1"/>
        <v>17.760563380281692</v>
      </c>
    </row>
    <row r="7" spans="1:9" x14ac:dyDescent="0.25">
      <c r="A7" t="s">
        <v>18</v>
      </c>
      <c r="B7">
        <v>25487</v>
      </c>
      <c r="C7">
        <v>26588</v>
      </c>
      <c r="D7">
        <f t="shared" si="0"/>
        <v>1101</v>
      </c>
      <c r="E7" t="s">
        <v>13</v>
      </c>
      <c r="F7">
        <v>10.1</v>
      </c>
      <c r="G7" s="59">
        <f t="shared" si="1"/>
        <v>283.42574257425747</v>
      </c>
    </row>
    <row r="8" spans="1:9" x14ac:dyDescent="0.25">
      <c r="A8" t="s">
        <v>19</v>
      </c>
      <c r="B8">
        <v>56213</v>
      </c>
      <c r="C8">
        <v>56998</v>
      </c>
      <c r="D8">
        <f t="shared" si="0"/>
        <v>785</v>
      </c>
      <c r="E8" t="s">
        <v>10</v>
      </c>
      <c r="F8">
        <v>11.3</v>
      </c>
      <c r="G8" s="59">
        <f t="shared" si="1"/>
        <v>284.82300884955748</v>
      </c>
    </row>
    <row r="10" spans="1:9" x14ac:dyDescent="0.25">
      <c r="A10" t="s">
        <v>20</v>
      </c>
    </row>
    <row r="11" spans="1:9" x14ac:dyDescent="0.25">
      <c r="A11" t="s">
        <v>13</v>
      </c>
      <c r="B11">
        <v>2.6</v>
      </c>
    </row>
    <row r="12" spans="1:9" x14ac:dyDescent="0.25">
      <c r="A12" t="s">
        <v>10</v>
      </c>
      <c r="B12">
        <v>4.0999999999999996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activeCell="E8" sqref="E8"/>
    </sheetView>
  </sheetViews>
  <sheetFormatPr defaultRowHeight="15" x14ac:dyDescent="0.25"/>
  <cols>
    <col min="2" max="2" width="14.140625" customWidth="1"/>
    <col min="6" max="6" width="13" bestFit="1" customWidth="1"/>
  </cols>
  <sheetData>
    <row r="1" spans="1:7" ht="15.75" x14ac:dyDescent="0.25">
      <c r="A1" s="67" t="s">
        <v>215</v>
      </c>
      <c r="B1" s="67"/>
      <c r="C1" s="67"/>
      <c r="D1" s="67"/>
      <c r="E1" s="67"/>
      <c r="F1" s="67"/>
    </row>
    <row r="3" spans="1:7" ht="60" x14ac:dyDescent="0.25">
      <c r="A3" s="54" t="s">
        <v>216</v>
      </c>
      <c r="B3" s="54" t="s">
        <v>217</v>
      </c>
      <c r="C3" s="54" t="s">
        <v>218</v>
      </c>
      <c r="D3" s="54" t="s">
        <v>219</v>
      </c>
      <c r="E3" s="55" t="s">
        <v>220</v>
      </c>
      <c r="F3" s="54" t="s">
        <v>221</v>
      </c>
    </row>
    <row r="4" spans="1:7" x14ac:dyDescent="0.25">
      <c r="A4" s="54" t="s">
        <v>222</v>
      </c>
      <c r="B4" s="56">
        <v>2.5</v>
      </c>
      <c r="C4" s="56">
        <v>2</v>
      </c>
      <c r="D4" s="56">
        <f>C4*B4</f>
        <v>5</v>
      </c>
      <c r="E4" s="54" t="str">
        <f>IF(D4&lt;=10,"Tipo 1",IF(D4&lt;=20,"Tipo 2","Tipo 3"))</f>
        <v>Tipo 1</v>
      </c>
      <c r="F4" s="57">
        <f>IF(E4="Tipo 1",D4*$B$13,IF(E4="Tipo 2",D4*$B$14,D4*$B$15))</f>
        <v>425</v>
      </c>
    </row>
    <row r="5" spans="1:7" x14ac:dyDescent="0.25">
      <c r="A5" s="54" t="s">
        <v>223</v>
      </c>
      <c r="B5" s="56">
        <v>3</v>
      </c>
      <c r="C5" s="56">
        <v>4</v>
      </c>
      <c r="D5" s="56">
        <f t="shared" ref="D5:D11" si="0">C5*B5</f>
        <v>12</v>
      </c>
      <c r="E5" s="54" t="str">
        <f t="shared" ref="E5:E11" si="1">IF(D5&lt;=10,"Tipo 1",IF(D5&lt;=20,"Tipo 2","Tipo 3"))</f>
        <v>Tipo 2</v>
      </c>
      <c r="F5" s="57">
        <f t="shared" ref="F5:F11" si="2">IF(E5="Tipo 1",D5*$B$13,IF(E5="Tipo 2",D5*$B$14,D5*$B$15))</f>
        <v>960</v>
      </c>
    </row>
    <row r="6" spans="1:7" x14ac:dyDescent="0.25">
      <c r="A6" s="54" t="s">
        <v>224</v>
      </c>
      <c r="B6" s="56">
        <v>3.25</v>
      </c>
      <c r="C6" s="56">
        <v>5</v>
      </c>
      <c r="D6" s="56">
        <f t="shared" si="0"/>
        <v>16.25</v>
      </c>
      <c r="E6" s="54" t="str">
        <f t="shared" si="1"/>
        <v>Tipo 2</v>
      </c>
      <c r="F6" s="57">
        <f t="shared" si="2"/>
        <v>1300</v>
      </c>
    </row>
    <row r="7" spans="1:7" x14ac:dyDescent="0.25">
      <c r="A7" s="54" t="s">
        <v>225</v>
      </c>
      <c r="B7" s="56">
        <v>2.9</v>
      </c>
      <c r="C7" s="56">
        <v>6</v>
      </c>
      <c r="D7" s="56">
        <f t="shared" si="0"/>
        <v>17.399999999999999</v>
      </c>
      <c r="E7" s="54" t="str">
        <f t="shared" si="1"/>
        <v>Tipo 2</v>
      </c>
      <c r="F7" s="57">
        <f t="shared" si="2"/>
        <v>1392</v>
      </c>
    </row>
    <row r="8" spans="1:7" x14ac:dyDescent="0.25">
      <c r="A8" s="54" t="s">
        <v>226</v>
      </c>
      <c r="B8" s="56">
        <v>1.9</v>
      </c>
      <c r="C8" s="56">
        <v>4</v>
      </c>
      <c r="D8" s="56">
        <f t="shared" si="0"/>
        <v>7.6</v>
      </c>
      <c r="E8" s="54" t="str">
        <f t="shared" si="1"/>
        <v>Tipo 1</v>
      </c>
      <c r="F8" s="57">
        <f t="shared" si="2"/>
        <v>646</v>
      </c>
    </row>
    <row r="9" spans="1:7" x14ac:dyDescent="0.25">
      <c r="A9" s="54" t="s">
        <v>227</v>
      </c>
      <c r="B9" s="56">
        <v>6</v>
      </c>
      <c r="C9" s="56">
        <v>4</v>
      </c>
      <c r="D9" s="56">
        <f t="shared" si="0"/>
        <v>24</v>
      </c>
      <c r="E9" s="54" t="str">
        <f t="shared" si="1"/>
        <v>Tipo 3</v>
      </c>
      <c r="F9" s="57">
        <f t="shared" si="2"/>
        <v>1800</v>
      </c>
    </row>
    <row r="10" spans="1:7" x14ac:dyDescent="0.25">
      <c r="A10" s="54" t="s">
        <v>228</v>
      </c>
      <c r="B10" s="56">
        <v>8</v>
      </c>
      <c r="C10" s="56">
        <v>3</v>
      </c>
      <c r="D10" s="56">
        <f t="shared" si="0"/>
        <v>24</v>
      </c>
      <c r="E10" s="54" t="str">
        <f t="shared" si="1"/>
        <v>Tipo 3</v>
      </c>
      <c r="F10" s="57">
        <f t="shared" si="2"/>
        <v>1800</v>
      </c>
    </row>
    <row r="11" spans="1:7" x14ac:dyDescent="0.25">
      <c r="A11" s="54" t="s">
        <v>229</v>
      </c>
      <c r="B11" s="56">
        <v>5</v>
      </c>
      <c r="C11" s="56">
        <v>4</v>
      </c>
      <c r="D11" s="56">
        <f t="shared" si="0"/>
        <v>20</v>
      </c>
      <c r="E11" s="54" t="str">
        <f t="shared" si="1"/>
        <v>Tipo 2</v>
      </c>
      <c r="F11" s="57">
        <f t="shared" si="2"/>
        <v>1600</v>
      </c>
    </row>
    <row r="12" spans="1:7" x14ac:dyDescent="0.25">
      <c r="F12" t="s">
        <v>153</v>
      </c>
    </row>
    <row r="13" spans="1:7" x14ac:dyDescent="0.25">
      <c r="A13" s="7" t="s">
        <v>230</v>
      </c>
      <c r="B13" s="10">
        <v>85</v>
      </c>
      <c r="C13" t="s">
        <v>231</v>
      </c>
      <c r="F13" t="s">
        <v>230</v>
      </c>
      <c r="G13">
        <f>SUMIF(E4:E11,"Tipo 1",F4:F11)</f>
        <v>1071</v>
      </c>
    </row>
    <row r="14" spans="1:7" x14ac:dyDescent="0.25">
      <c r="A14" s="7" t="s">
        <v>232</v>
      </c>
      <c r="B14" s="10">
        <v>80</v>
      </c>
      <c r="C14" t="s">
        <v>231</v>
      </c>
      <c r="F14" t="s">
        <v>232</v>
      </c>
      <c r="G14">
        <f>SUMIF(E4:E11,"Tipo 2",F4:F11)</f>
        <v>5252</v>
      </c>
    </row>
    <row r="15" spans="1:7" x14ac:dyDescent="0.25">
      <c r="A15" s="7" t="s">
        <v>233</v>
      </c>
      <c r="B15" s="10">
        <v>75</v>
      </c>
      <c r="C15" t="s">
        <v>231</v>
      </c>
      <c r="F15" t="s">
        <v>233</v>
      </c>
      <c r="G15">
        <f>SUMIF(E4:E11,"Tipo 3",F4:F11)</f>
        <v>3600</v>
      </c>
    </row>
    <row r="17" spans="1:2" x14ac:dyDescent="0.25">
      <c r="A17" t="s">
        <v>8</v>
      </c>
    </row>
    <row r="18" spans="1:2" x14ac:dyDescent="0.25">
      <c r="A18" s="6" t="s">
        <v>234</v>
      </c>
      <c r="B18" t="s">
        <v>235</v>
      </c>
    </row>
    <row r="19" spans="1:2" x14ac:dyDescent="0.25">
      <c r="A19" s="6" t="s">
        <v>236</v>
      </c>
      <c r="B19" t="s">
        <v>237</v>
      </c>
    </row>
    <row r="21" spans="1:2" x14ac:dyDescent="0.25">
      <c r="A21" s="6" t="s">
        <v>221</v>
      </c>
      <c r="B21" t="s">
        <v>238</v>
      </c>
    </row>
    <row r="22" spans="1:2" x14ac:dyDescent="0.25">
      <c r="B22" t="s">
        <v>239</v>
      </c>
    </row>
  </sheetData>
  <mergeCells count="1">
    <mergeCell ref="A1:F1"/>
  </mergeCells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workbookViewId="0">
      <selection activeCell="H18" sqref="H18"/>
    </sheetView>
  </sheetViews>
  <sheetFormatPr defaultRowHeight="15" x14ac:dyDescent="0.25"/>
  <cols>
    <col min="4" max="4" width="10.7109375" bestFit="1" customWidth="1"/>
    <col min="6" max="6" width="11.28515625" bestFit="1" customWidth="1"/>
    <col min="8" max="8" width="12.28515625" bestFit="1" customWidth="1"/>
  </cols>
  <sheetData>
    <row r="1" spans="1:8" ht="60" x14ac:dyDescent="0.25">
      <c r="A1" s="7" t="s">
        <v>193</v>
      </c>
      <c r="B1" s="39" t="s">
        <v>194</v>
      </c>
      <c r="C1" s="39" t="s">
        <v>195</v>
      </c>
      <c r="D1" s="7" t="s">
        <v>196</v>
      </c>
      <c r="E1" s="39" t="s">
        <v>197</v>
      </c>
      <c r="F1" s="39" t="s">
        <v>198</v>
      </c>
    </row>
    <row r="2" spans="1:8" x14ac:dyDescent="0.25">
      <c r="A2" s="7" t="s">
        <v>85</v>
      </c>
      <c r="B2" s="7">
        <v>5000</v>
      </c>
      <c r="C2" s="7" t="s">
        <v>199</v>
      </c>
      <c r="D2" s="42">
        <f>IF(C2="A",$B$14*B2,IF(C2="B",$B$15*B2,IF(C2="C",$B$16*B2,IF(C2="D",$B$17*B2,$B$18*B2))))</f>
        <v>750</v>
      </c>
      <c r="E2" s="7" t="s">
        <v>86</v>
      </c>
      <c r="F2" s="42">
        <f>IF(E2="1X",D2*(1-5%),IF(E2="2X",D2/2,IF(E2="3X",(D2*(5%+1))/3,IF(E2="4X",(D2*(10%+1))/4,(D2*(16%+1))/5))))</f>
        <v>712.5</v>
      </c>
    </row>
    <row r="3" spans="1:8" x14ac:dyDescent="0.25">
      <c r="A3" s="7" t="s">
        <v>88</v>
      </c>
      <c r="B3" s="7">
        <v>5100</v>
      </c>
      <c r="C3" s="7" t="s">
        <v>200</v>
      </c>
      <c r="D3" s="42">
        <f t="shared" ref="D3:D11" si="0">IF(C3="A",$B$14*B3,IF(C3="B",$B$15*B3,IF(C3="C",$B$16*B3,IF(C3="D",$B$17*B3,$B$18*B3))))</f>
        <v>663</v>
      </c>
      <c r="E3" s="7" t="s">
        <v>89</v>
      </c>
      <c r="F3" s="42">
        <f t="shared" ref="F3:F11" si="1">IF(E3="1X",D3*(1-5%),IF(E3="2X",D3/2,IF(E3="3X",(D3*(5%+1))/3,IF(E3="4X",(D3*(10%+1))/4,(D3*(16%+1))/5))))</f>
        <v>331.5</v>
      </c>
    </row>
    <row r="4" spans="1:8" x14ac:dyDescent="0.25">
      <c r="A4" s="7" t="s">
        <v>91</v>
      </c>
      <c r="B4" s="7">
        <v>5200</v>
      </c>
      <c r="C4" s="7" t="s">
        <v>200</v>
      </c>
      <c r="D4" s="42">
        <f t="shared" si="0"/>
        <v>676</v>
      </c>
      <c r="E4" s="7" t="s">
        <v>94</v>
      </c>
      <c r="F4" s="42">
        <f t="shared" si="1"/>
        <v>236.60000000000002</v>
      </c>
    </row>
    <row r="5" spans="1:8" x14ac:dyDescent="0.25">
      <c r="A5" s="7" t="s">
        <v>93</v>
      </c>
      <c r="B5" s="7">
        <v>5300</v>
      </c>
      <c r="C5" s="7" t="s">
        <v>201</v>
      </c>
      <c r="D5" s="42">
        <f t="shared" si="0"/>
        <v>636</v>
      </c>
      <c r="E5" s="7" t="s">
        <v>202</v>
      </c>
      <c r="F5" s="42">
        <f t="shared" si="1"/>
        <v>174.9</v>
      </c>
    </row>
    <row r="6" spans="1:8" x14ac:dyDescent="0.25">
      <c r="A6" s="7" t="s">
        <v>96</v>
      </c>
      <c r="B6" s="7">
        <v>5400</v>
      </c>
      <c r="C6" s="7" t="s">
        <v>203</v>
      </c>
      <c r="D6" s="42">
        <f t="shared" si="0"/>
        <v>594</v>
      </c>
      <c r="E6" s="7" t="s">
        <v>86</v>
      </c>
      <c r="F6" s="42">
        <f t="shared" si="1"/>
        <v>564.29999999999995</v>
      </c>
    </row>
    <row r="7" spans="1:8" x14ac:dyDescent="0.25">
      <c r="A7" s="7" t="s">
        <v>98</v>
      </c>
      <c r="B7" s="7">
        <v>5500</v>
      </c>
      <c r="C7" s="7" t="s">
        <v>204</v>
      </c>
      <c r="D7" s="42">
        <f t="shared" si="0"/>
        <v>495</v>
      </c>
      <c r="E7" s="7" t="s">
        <v>94</v>
      </c>
      <c r="F7" s="42">
        <f t="shared" si="1"/>
        <v>173.25</v>
      </c>
    </row>
    <row r="8" spans="1:8" x14ac:dyDescent="0.25">
      <c r="A8" s="7" t="s">
        <v>100</v>
      </c>
      <c r="B8" s="7">
        <v>5600</v>
      </c>
      <c r="C8" s="7" t="s">
        <v>199</v>
      </c>
      <c r="D8" s="42">
        <f t="shared" si="0"/>
        <v>840</v>
      </c>
      <c r="E8" s="7" t="s">
        <v>205</v>
      </c>
      <c r="F8" s="42">
        <f t="shared" si="1"/>
        <v>194.88</v>
      </c>
    </row>
    <row r="9" spans="1:8" x14ac:dyDescent="0.25">
      <c r="A9" s="7" t="s">
        <v>102</v>
      </c>
      <c r="B9" s="7">
        <v>5700</v>
      </c>
      <c r="C9" s="7" t="s">
        <v>200</v>
      </c>
      <c r="D9" s="42">
        <f t="shared" si="0"/>
        <v>741</v>
      </c>
      <c r="E9" s="7" t="s">
        <v>89</v>
      </c>
      <c r="F9" s="42">
        <f t="shared" si="1"/>
        <v>370.5</v>
      </c>
    </row>
    <row r="10" spans="1:8" x14ac:dyDescent="0.25">
      <c r="A10" s="7" t="s">
        <v>104</v>
      </c>
      <c r="B10" s="7">
        <v>5800</v>
      </c>
      <c r="C10" s="7" t="s">
        <v>204</v>
      </c>
      <c r="D10" s="42">
        <f t="shared" si="0"/>
        <v>522</v>
      </c>
      <c r="E10" s="7" t="s">
        <v>94</v>
      </c>
      <c r="F10" s="42">
        <f t="shared" si="1"/>
        <v>182.70000000000002</v>
      </c>
    </row>
    <row r="11" spans="1:8" x14ac:dyDescent="0.25">
      <c r="A11" s="7" t="s">
        <v>106</v>
      </c>
      <c r="B11" s="7">
        <v>5900</v>
      </c>
      <c r="C11" s="7" t="s">
        <v>203</v>
      </c>
      <c r="D11" s="42">
        <f t="shared" si="0"/>
        <v>649</v>
      </c>
      <c r="E11" s="7" t="s">
        <v>89</v>
      </c>
      <c r="F11" s="42">
        <f t="shared" si="1"/>
        <v>324.5</v>
      </c>
    </row>
    <row r="13" spans="1:8" x14ac:dyDescent="0.25">
      <c r="A13" s="7" t="s">
        <v>206</v>
      </c>
      <c r="B13" s="7"/>
      <c r="D13" s="7" t="s">
        <v>207</v>
      </c>
      <c r="E13" s="7"/>
      <c r="G13" s="7" t="s">
        <v>208</v>
      </c>
      <c r="H13" s="7"/>
    </row>
    <row r="14" spans="1:8" x14ac:dyDescent="0.25">
      <c r="A14" s="43" t="s">
        <v>199</v>
      </c>
      <c r="B14" s="44">
        <v>0.15</v>
      </c>
      <c r="D14" s="7" t="s">
        <v>86</v>
      </c>
      <c r="E14" s="45">
        <v>-0.05</v>
      </c>
      <c r="G14" s="7" t="s">
        <v>86</v>
      </c>
      <c r="H14" s="42">
        <f>SUMIF(E2:E11,"1X",F2:F11)</f>
        <v>1276.8</v>
      </c>
    </row>
    <row r="15" spans="1:8" x14ac:dyDescent="0.25">
      <c r="A15" s="43" t="s">
        <v>200</v>
      </c>
      <c r="B15" s="44">
        <v>0.13</v>
      </c>
      <c r="D15" s="7" t="s">
        <v>89</v>
      </c>
      <c r="E15" s="45">
        <v>0</v>
      </c>
      <c r="G15" s="7" t="s">
        <v>89</v>
      </c>
      <c r="H15" s="42">
        <f>SUMIF(E2:E11,"2X",F2:F11)*2</f>
        <v>2053</v>
      </c>
    </row>
    <row r="16" spans="1:8" x14ac:dyDescent="0.25">
      <c r="A16" s="43" t="s">
        <v>201</v>
      </c>
      <c r="B16" s="44">
        <v>0.12</v>
      </c>
      <c r="D16" s="7" t="s">
        <v>94</v>
      </c>
      <c r="E16" s="45">
        <v>0.05</v>
      </c>
      <c r="G16" s="7" t="s">
        <v>94</v>
      </c>
      <c r="H16" s="42">
        <f>SUMIF(E2:E11,"3X",F2:F11)*3</f>
        <v>1777.65</v>
      </c>
    </row>
    <row r="17" spans="1:8" x14ac:dyDescent="0.25">
      <c r="A17" s="43" t="s">
        <v>203</v>
      </c>
      <c r="B17" s="44">
        <v>0.11</v>
      </c>
      <c r="D17" s="7" t="s">
        <v>202</v>
      </c>
      <c r="E17" s="45">
        <v>0.1</v>
      </c>
      <c r="G17" s="7" t="s">
        <v>202</v>
      </c>
      <c r="H17" s="42">
        <f>SUMIF(E2:E11,"4X",F2:F11)*4</f>
        <v>699.6</v>
      </c>
    </row>
    <row r="18" spans="1:8" x14ac:dyDescent="0.25">
      <c r="A18" s="43" t="s">
        <v>204</v>
      </c>
      <c r="B18" s="44">
        <v>0.09</v>
      </c>
      <c r="D18" s="7" t="s">
        <v>205</v>
      </c>
      <c r="E18" s="45">
        <v>0.16</v>
      </c>
      <c r="G18" s="7" t="s">
        <v>205</v>
      </c>
      <c r="H18" s="42">
        <f>SUMIF(E2:E11,"5X",F2:F11)*5</f>
        <v>974.4</v>
      </c>
    </row>
    <row r="20" spans="1:8" x14ac:dyDescent="0.25">
      <c r="A20" s="46" t="s">
        <v>209</v>
      </c>
      <c r="B20" s="46"/>
      <c r="C20" s="46"/>
      <c r="D20" s="46"/>
      <c r="E20" s="46"/>
      <c r="F20" s="46"/>
    </row>
    <row r="21" spans="1:8" x14ac:dyDescent="0.25">
      <c r="A21" s="47" t="s">
        <v>196</v>
      </c>
      <c r="B21" t="s">
        <v>210</v>
      </c>
    </row>
    <row r="22" spans="1:8" x14ac:dyDescent="0.25">
      <c r="A22" s="6" t="s">
        <v>211</v>
      </c>
      <c r="B22" t="s">
        <v>212</v>
      </c>
    </row>
    <row r="23" spans="1:8" x14ac:dyDescent="0.25">
      <c r="A23" t="s">
        <v>213</v>
      </c>
      <c r="B23" t="s">
        <v>214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8" sqref="B8"/>
    </sheetView>
  </sheetViews>
  <sheetFormatPr defaultRowHeight="15" x14ac:dyDescent="0.25"/>
  <cols>
    <col min="1" max="1" width="21.140625" customWidth="1"/>
    <col min="2" max="2" width="10.85546875" bestFit="1" customWidth="1"/>
  </cols>
  <sheetData>
    <row r="1" spans="1:2" ht="58.5" customHeight="1" x14ac:dyDescent="0.25">
      <c r="A1" t="s">
        <v>240</v>
      </c>
      <c r="B1">
        <v>1000</v>
      </c>
    </row>
    <row r="2" spans="1:2" x14ac:dyDescent="0.25">
      <c r="A2" t="s">
        <v>241</v>
      </c>
      <c r="B2" s="58">
        <v>43687</v>
      </c>
    </row>
    <row r="3" spans="1:2" x14ac:dyDescent="0.25">
      <c r="A3" t="s">
        <v>168</v>
      </c>
      <c r="B3">
        <f ca="1">IF(B2&lt;TODAY(),B1*(1+0.02)+0.05/30*B1*(TODAY()-B2),B1)</f>
        <v>1075</v>
      </c>
    </row>
    <row r="6" spans="1:2" x14ac:dyDescent="0.25">
      <c r="B6" t="s">
        <v>242</v>
      </c>
    </row>
    <row r="8" spans="1:2" x14ac:dyDescent="0.25">
      <c r="B8" t="s">
        <v>243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8"/>
  <sheetViews>
    <sheetView workbookViewId="0">
      <selection activeCell="E47" sqref="E47"/>
    </sheetView>
  </sheetViews>
  <sheetFormatPr defaultRowHeight="15" x14ac:dyDescent="0.25"/>
  <cols>
    <col min="2" max="2" width="12.7109375" customWidth="1"/>
    <col min="3" max="3" width="12.5703125" customWidth="1"/>
    <col min="4" max="4" width="11.140625" bestFit="1" customWidth="1"/>
    <col min="5" max="5" width="12.42578125" bestFit="1" customWidth="1"/>
    <col min="8" max="8" width="10.42578125" bestFit="1" customWidth="1"/>
  </cols>
  <sheetData>
    <row r="1" spans="1:9" x14ac:dyDescent="0.25">
      <c r="A1" s="7" t="s">
        <v>21</v>
      </c>
      <c r="B1" s="7" t="s">
        <v>22</v>
      </c>
      <c r="C1" s="7" t="s">
        <v>23</v>
      </c>
      <c r="D1" s="7" t="s">
        <v>24</v>
      </c>
      <c r="E1" s="7" t="s">
        <v>25</v>
      </c>
      <c r="F1" s="7" t="s">
        <v>26</v>
      </c>
      <c r="G1" s="7" t="s">
        <v>27</v>
      </c>
    </row>
    <row r="2" spans="1:9" x14ac:dyDescent="0.25">
      <c r="A2" s="7" t="s">
        <v>28</v>
      </c>
      <c r="B2" s="7">
        <v>5000</v>
      </c>
      <c r="C2" s="7">
        <v>320</v>
      </c>
      <c r="D2" s="8">
        <f>C2/B2</f>
        <v>6.4000000000000001E-2</v>
      </c>
      <c r="E2" s="9" t="str">
        <f>IF(D2&lt;5%,"TIPO A",IF(D2&lt;10%,"TIPO B","TIPO C"))</f>
        <v>TIPO B</v>
      </c>
      <c r="F2" s="10">
        <v>0.25</v>
      </c>
      <c r="G2" s="11">
        <f>IF(E2="TIPO A",F2*($B$10+1),IF(E2="TIPO B",F2*($B$11+1),F2*($B$12+1)))</f>
        <v>0.3</v>
      </c>
    </row>
    <row r="3" spans="1:9" x14ac:dyDescent="0.25">
      <c r="A3" s="7" t="s">
        <v>29</v>
      </c>
      <c r="B3" s="7">
        <v>4500</v>
      </c>
      <c r="C3" s="7">
        <v>145</v>
      </c>
      <c r="D3" s="8">
        <f t="shared" ref="D3:D8" si="0">C3/B3</f>
        <v>3.2222222222222222E-2</v>
      </c>
      <c r="E3" s="9" t="str">
        <f t="shared" ref="E3:E8" si="1">IF(D3&lt;5%,"TIPO A",IF(D3&lt;10%,"TIPO B","TIPO C"))</f>
        <v>TIPO A</v>
      </c>
      <c r="F3" s="10">
        <v>0.32</v>
      </c>
      <c r="G3" s="11">
        <f t="shared" ref="G3:G8" si="2">IF(E3="TIPO A",F3*($B$10+1),IF(E3="TIPO B",F3*($B$11+1),F3*($B$12+1)))</f>
        <v>0.35200000000000004</v>
      </c>
    </row>
    <row r="4" spans="1:9" x14ac:dyDescent="0.25">
      <c r="A4" s="7" t="s">
        <v>30</v>
      </c>
      <c r="B4" s="7">
        <v>2580</v>
      </c>
      <c r="C4" s="7">
        <v>158</v>
      </c>
      <c r="D4" s="8">
        <f t="shared" si="0"/>
        <v>6.1240310077519379E-2</v>
      </c>
      <c r="E4" s="9" t="str">
        <f t="shared" si="1"/>
        <v>TIPO B</v>
      </c>
      <c r="F4" s="10">
        <v>0.65</v>
      </c>
      <c r="G4" s="11">
        <f t="shared" si="2"/>
        <v>0.78</v>
      </c>
    </row>
    <row r="5" spans="1:9" x14ac:dyDescent="0.25">
      <c r="A5" s="7" t="s">
        <v>31</v>
      </c>
      <c r="B5" s="7">
        <v>6540</v>
      </c>
      <c r="C5" s="7">
        <v>658</v>
      </c>
      <c r="D5" s="8">
        <f t="shared" si="0"/>
        <v>0.10061162079510703</v>
      </c>
      <c r="E5" s="9" t="str">
        <f t="shared" si="1"/>
        <v>TIPO C</v>
      </c>
      <c r="F5" s="10">
        <v>0.14000000000000001</v>
      </c>
      <c r="G5" s="11">
        <f t="shared" si="2"/>
        <v>0.18200000000000002</v>
      </c>
    </row>
    <row r="6" spans="1:9" x14ac:dyDescent="0.25">
      <c r="A6" s="7" t="s">
        <v>32</v>
      </c>
      <c r="B6" s="7">
        <v>3950</v>
      </c>
      <c r="C6" s="7">
        <v>487</v>
      </c>
      <c r="D6" s="8">
        <f t="shared" si="0"/>
        <v>0.12329113924050633</v>
      </c>
      <c r="E6" s="9" t="str">
        <f t="shared" si="1"/>
        <v>TIPO C</v>
      </c>
      <c r="F6" s="10">
        <v>0.26</v>
      </c>
      <c r="G6" s="11">
        <f t="shared" si="2"/>
        <v>0.33800000000000002</v>
      </c>
    </row>
    <row r="7" spans="1:9" x14ac:dyDescent="0.25">
      <c r="A7" s="7" t="s">
        <v>33</v>
      </c>
      <c r="B7" s="7">
        <v>3980</v>
      </c>
      <c r="C7" s="7">
        <v>154</v>
      </c>
      <c r="D7" s="8">
        <f t="shared" si="0"/>
        <v>3.8693467336683419E-2</v>
      </c>
      <c r="E7" s="9" t="str">
        <f t="shared" si="1"/>
        <v>TIPO A</v>
      </c>
      <c r="F7" s="10">
        <v>0.9</v>
      </c>
      <c r="G7" s="11">
        <f t="shared" si="2"/>
        <v>0.9900000000000001</v>
      </c>
    </row>
    <row r="8" spans="1:9" x14ac:dyDescent="0.25">
      <c r="A8" s="7" t="s">
        <v>34</v>
      </c>
      <c r="B8" s="7">
        <v>1670</v>
      </c>
      <c r="C8" s="7">
        <v>458</v>
      </c>
      <c r="D8" s="8">
        <f t="shared" si="0"/>
        <v>0.274251497005988</v>
      </c>
      <c r="E8" s="9" t="str">
        <f t="shared" si="1"/>
        <v>TIPO C</v>
      </c>
      <c r="F8" s="10">
        <v>1.2</v>
      </c>
      <c r="G8" s="11">
        <f t="shared" si="2"/>
        <v>1.56</v>
      </c>
    </row>
    <row r="10" spans="1:9" x14ac:dyDescent="0.25">
      <c r="A10" s="7" t="s">
        <v>35</v>
      </c>
      <c r="B10" s="12">
        <v>0.1</v>
      </c>
      <c r="D10" t="s">
        <v>36</v>
      </c>
    </row>
    <row r="11" spans="1:9" x14ac:dyDescent="0.25">
      <c r="A11" s="7" t="s">
        <v>37</v>
      </c>
      <c r="B11" s="12">
        <v>0.2</v>
      </c>
      <c r="D11" t="s">
        <v>38</v>
      </c>
    </row>
    <row r="12" spans="1:9" x14ac:dyDescent="0.25">
      <c r="A12" s="7" t="s">
        <v>39</v>
      </c>
      <c r="B12" s="12">
        <v>0.3</v>
      </c>
      <c r="D12" t="s">
        <v>40</v>
      </c>
    </row>
    <row r="14" spans="1:9" x14ac:dyDescent="0.25">
      <c r="A14" t="s">
        <v>41</v>
      </c>
    </row>
    <row r="15" spans="1:9" x14ac:dyDescent="0.25">
      <c r="A15" s="13"/>
      <c r="B15" s="13"/>
      <c r="C15" s="13"/>
      <c r="D15" s="13"/>
      <c r="E15" s="13"/>
      <c r="F15" s="13"/>
      <c r="G15" s="13"/>
      <c r="H15" s="13"/>
      <c r="I15" s="13"/>
    </row>
    <row r="16" spans="1:9" x14ac:dyDescent="0.25">
      <c r="A16" t="s">
        <v>42</v>
      </c>
    </row>
    <row r="18" spans="1:9" x14ac:dyDescent="0.25">
      <c r="A18" s="7" t="s">
        <v>21</v>
      </c>
      <c r="B18" s="7" t="s">
        <v>43</v>
      </c>
      <c r="C18" s="7" t="s">
        <v>44</v>
      </c>
      <c r="D18" s="7" t="s">
        <v>45</v>
      </c>
      <c r="E18" s="7" t="s">
        <v>46</v>
      </c>
      <c r="F18" s="7" t="s">
        <v>47</v>
      </c>
    </row>
    <row r="19" spans="1:9" x14ac:dyDescent="0.25">
      <c r="A19" s="7" t="s">
        <v>48</v>
      </c>
      <c r="B19" s="10">
        <v>0.25</v>
      </c>
      <c r="C19" s="10">
        <v>0.26</v>
      </c>
      <c r="D19" s="10">
        <v>0.28000000000000003</v>
      </c>
      <c r="E19" s="14">
        <f>SMALL(B19:D19,1)</f>
        <v>0.25</v>
      </c>
      <c r="F19" s="9" t="str">
        <f>IF(AND(B19&lt;C19,B19&lt;D19),$B$18,IF(AND(C19&lt;B19,C19&lt;D19),$C$18,$D$18))</f>
        <v>Forn 1</v>
      </c>
    </row>
    <row r="20" spans="1:9" x14ac:dyDescent="0.25">
      <c r="A20" s="7" t="s">
        <v>49</v>
      </c>
      <c r="B20" s="10">
        <v>0.25</v>
      </c>
      <c r="C20" s="10">
        <v>0.23</v>
      </c>
      <c r="D20" s="10">
        <v>0.28000000000000003</v>
      </c>
      <c r="E20" s="14">
        <f t="shared" ref="E20:E26" si="3">SMALL(B20:D20,1)</f>
        <v>0.23</v>
      </c>
      <c r="F20" s="9" t="str">
        <f t="shared" ref="F20:F26" si="4">IF(AND(B20&lt;C20,B20&lt;D20),$B$18,IF(AND(C20&lt;B20,C20&lt;D20),$C$18,$D$18))</f>
        <v>Forn 2</v>
      </c>
    </row>
    <row r="21" spans="1:9" x14ac:dyDescent="0.25">
      <c r="A21" s="7" t="s">
        <v>50</v>
      </c>
      <c r="B21" s="10">
        <v>0.26</v>
      </c>
      <c r="C21" s="10">
        <v>0.28000000000000003</v>
      </c>
      <c r="D21" s="10">
        <v>0.22</v>
      </c>
      <c r="E21" s="14">
        <f t="shared" si="3"/>
        <v>0.22</v>
      </c>
      <c r="F21" s="9" t="str">
        <f t="shared" si="4"/>
        <v>Forn 3</v>
      </c>
    </row>
    <row r="22" spans="1:9" x14ac:dyDescent="0.25">
      <c r="A22" s="7" t="s">
        <v>51</v>
      </c>
      <c r="B22" s="10">
        <v>0.35</v>
      </c>
      <c r="C22" s="10">
        <v>0.34</v>
      </c>
      <c r="D22" s="10">
        <v>0.33</v>
      </c>
      <c r="E22" s="14">
        <f t="shared" si="3"/>
        <v>0.33</v>
      </c>
      <c r="F22" s="9" t="str">
        <f t="shared" si="4"/>
        <v>Forn 3</v>
      </c>
    </row>
    <row r="23" spans="1:9" x14ac:dyDescent="0.25">
      <c r="A23" s="7" t="s">
        <v>52</v>
      </c>
      <c r="B23" s="10">
        <v>0.65</v>
      </c>
      <c r="C23" s="10">
        <v>0.66</v>
      </c>
      <c r="D23" s="10">
        <v>0.71</v>
      </c>
      <c r="E23" s="14">
        <f t="shared" si="3"/>
        <v>0.65</v>
      </c>
      <c r="F23" s="9" t="str">
        <f t="shared" si="4"/>
        <v>Forn 1</v>
      </c>
    </row>
    <row r="24" spans="1:9" x14ac:dyDescent="0.25">
      <c r="A24" s="7" t="s">
        <v>53</v>
      </c>
      <c r="B24" s="10">
        <v>0.56999999999999995</v>
      </c>
      <c r="C24" s="10">
        <v>0.49</v>
      </c>
      <c r="D24" s="10">
        <v>0.51</v>
      </c>
      <c r="E24" s="14">
        <f t="shared" si="3"/>
        <v>0.49</v>
      </c>
      <c r="F24" s="9" t="str">
        <f t="shared" si="4"/>
        <v>Forn 2</v>
      </c>
    </row>
    <row r="25" spans="1:9" x14ac:dyDescent="0.25">
      <c r="A25" s="7" t="s">
        <v>54</v>
      </c>
      <c r="B25" s="10">
        <v>1.3</v>
      </c>
      <c r="C25" s="10">
        <v>1.5</v>
      </c>
      <c r="D25" s="10">
        <v>1.55</v>
      </c>
      <c r="E25" s="14">
        <f t="shared" si="3"/>
        <v>1.3</v>
      </c>
      <c r="F25" s="9" t="str">
        <f t="shared" si="4"/>
        <v>Forn 1</v>
      </c>
    </row>
    <row r="26" spans="1:9" x14ac:dyDescent="0.25">
      <c r="A26" s="7" t="s">
        <v>55</v>
      </c>
      <c r="B26" s="10">
        <v>2.0299999999999998</v>
      </c>
      <c r="C26" s="10">
        <v>1.99</v>
      </c>
      <c r="D26" s="10">
        <v>1.88</v>
      </c>
      <c r="E26" s="14">
        <f t="shared" si="3"/>
        <v>1.88</v>
      </c>
      <c r="F26" s="9" t="str">
        <f t="shared" si="4"/>
        <v>Forn 3</v>
      </c>
    </row>
    <row r="28" spans="1:9" x14ac:dyDescent="0.25">
      <c r="A28" t="s">
        <v>56</v>
      </c>
    </row>
    <row r="29" spans="1:9" x14ac:dyDescent="0.25">
      <c r="A29" t="s">
        <v>57</v>
      </c>
    </row>
    <row r="31" spans="1:9" x14ac:dyDescent="0.25">
      <c r="A31" s="15" t="s">
        <v>58</v>
      </c>
      <c r="B31" s="13"/>
      <c r="C31" s="13"/>
      <c r="D31" s="13"/>
      <c r="E31" s="13"/>
      <c r="F31" s="13"/>
      <c r="G31" s="13"/>
      <c r="H31" s="13"/>
      <c r="I31" s="13"/>
    </row>
    <row r="32" spans="1:9" x14ac:dyDescent="0.25">
      <c r="A32" t="s">
        <v>59</v>
      </c>
    </row>
    <row r="33" spans="1:9" x14ac:dyDescent="0.25">
      <c r="A33" s="16" t="s">
        <v>60</v>
      </c>
      <c r="B33" s="17" t="s">
        <v>61</v>
      </c>
      <c r="C33" s="17" t="s">
        <v>62</v>
      </c>
      <c r="D33" s="17" t="s">
        <v>63</v>
      </c>
      <c r="E33" s="17" t="s">
        <v>64</v>
      </c>
      <c r="F33" s="17" t="s">
        <v>65</v>
      </c>
      <c r="G33" s="17" t="s">
        <v>66</v>
      </c>
      <c r="H33" s="18" t="s">
        <v>67</v>
      </c>
    </row>
    <row r="34" spans="1:9" x14ac:dyDescent="0.25">
      <c r="A34" s="19" t="s">
        <v>68</v>
      </c>
      <c r="B34" s="20">
        <v>1.5</v>
      </c>
      <c r="C34" s="20">
        <v>1</v>
      </c>
      <c r="D34" s="20">
        <v>2.5</v>
      </c>
      <c r="E34" s="20">
        <v>4</v>
      </c>
      <c r="F34" s="21">
        <f>AVERAGE(B34:E34)</f>
        <v>2.25</v>
      </c>
      <c r="G34" s="22">
        <v>0.1</v>
      </c>
      <c r="H34" s="23" t="str">
        <f>IF(G34&gt;25%,"reprovado",IF(F34&lt;3,"reprovado",IF(F34&lt;7,"exame","aprovado")))</f>
        <v>reprovado</v>
      </c>
    </row>
    <row r="35" spans="1:9" x14ac:dyDescent="0.25">
      <c r="A35" s="19" t="s">
        <v>69</v>
      </c>
      <c r="B35" s="20">
        <v>6</v>
      </c>
      <c r="C35" s="20">
        <v>8</v>
      </c>
      <c r="D35" s="20">
        <v>5</v>
      </c>
      <c r="E35" s="20">
        <v>3</v>
      </c>
      <c r="F35" s="21">
        <f t="shared" ref="F35:F41" si="5">AVERAGE(B35:E35)</f>
        <v>5.5</v>
      </c>
      <c r="G35" s="22">
        <v>1.4999999999999999E-2</v>
      </c>
      <c r="H35" s="23" t="str">
        <f t="shared" ref="H35:H41" si="6">IF(G35&gt;25%,"reprovado",IF(F35&lt;3,"reprovado",IF(F35&lt;7,"exame","aprovado")))</f>
        <v>exame</v>
      </c>
    </row>
    <row r="36" spans="1:9" x14ac:dyDescent="0.25">
      <c r="A36" s="19" t="s">
        <v>70</v>
      </c>
      <c r="B36" s="20">
        <v>4</v>
      </c>
      <c r="C36" s="20">
        <v>3</v>
      </c>
      <c r="D36" s="20">
        <v>6</v>
      </c>
      <c r="E36" s="20">
        <v>4</v>
      </c>
      <c r="F36" s="21">
        <f t="shared" si="5"/>
        <v>4.25</v>
      </c>
      <c r="G36" s="22">
        <v>0.05</v>
      </c>
      <c r="H36" s="23" t="str">
        <f t="shared" si="6"/>
        <v>exame</v>
      </c>
    </row>
    <row r="37" spans="1:9" x14ac:dyDescent="0.25">
      <c r="A37" s="19" t="s">
        <v>71</v>
      </c>
      <c r="B37" s="20">
        <v>8</v>
      </c>
      <c r="C37" s="20">
        <v>5</v>
      </c>
      <c r="D37" s="20">
        <v>4</v>
      </c>
      <c r="E37" s="20">
        <v>5</v>
      </c>
      <c r="F37" s="21">
        <f t="shared" si="5"/>
        <v>5.5</v>
      </c>
      <c r="G37" s="22">
        <v>0.32</v>
      </c>
      <c r="H37" s="23" t="str">
        <f t="shared" si="6"/>
        <v>reprovado</v>
      </c>
    </row>
    <row r="38" spans="1:9" x14ac:dyDescent="0.25">
      <c r="A38" s="19" t="s">
        <v>72</v>
      </c>
      <c r="B38" s="20">
        <v>8</v>
      </c>
      <c r="C38" s="20">
        <v>3</v>
      </c>
      <c r="D38" s="20">
        <v>1.5</v>
      </c>
      <c r="E38" s="20">
        <v>6</v>
      </c>
      <c r="F38" s="21">
        <f t="shared" si="5"/>
        <v>4.625</v>
      </c>
      <c r="G38" s="22">
        <v>0.1</v>
      </c>
      <c r="H38" s="23" t="str">
        <f t="shared" si="6"/>
        <v>exame</v>
      </c>
    </row>
    <row r="39" spans="1:9" x14ac:dyDescent="0.25">
      <c r="A39" s="19" t="s">
        <v>73</v>
      </c>
      <c r="B39" s="20">
        <v>4.5</v>
      </c>
      <c r="C39" s="20">
        <v>9</v>
      </c>
      <c r="D39" s="20">
        <v>6</v>
      </c>
      <c r="E39" s="20">
        <v>7</v>
      </c>
      <c r="F39" s="21">
        <f t="shared" si="5"/>
        <v>6.625</v>
      </c>
      <c r="G39" s="22">
        <v>0.15</v>
      </c>
      <c r="H39" s="23" t="str">
        <f t="shared" si="6"/>
        <v>exame</v>
      </c>
    </row>
    <row r="40" spans="1:9" x14ac:dyDescent="0.25">
      <c r="A40" s="19" t="s">
        <v>74</v>
      </c>
      <c r="B40" s="20">
        <v>6.5</v>
      </c>
      <c r="C40" s="20">
        <v>8</v>
      </c>
      <c r="D40" s="20">
        <v>9</v>
      </c>
      <c r="E40" s="20">
        <v>8</v>
      </c>
      <c r="F40" s="21">
        <f t="shared" si="5"/>
        <v>7.875</v>
      </c>
      <c r="G40" s="22">
        <v>2.5000000000000001E-2</v>
      </c>
      <c r="H40" s="23" t="str">
        <f t="shared" si="6"/>
        <v>aprovado</v>
      </c>
    </row>
    <row r="41" spans="1:9" x14ac:dyDescent="0.25">
      <c r="A41" s="24" t="s">
        <v>75</v>
      </c>
      <c r="B41" s="25">
        <v>1</v>
      </c>
      <c r="C41" s="25">
        <v>0</v>
      </c>
      <c r="D41" s="25">
        <v>3</v>
      </c>
      <c r="E41" s="25">
        <v>2.5</v>
      </c>
      <c r="F41" s="21">
        <f t="shared" si="5"/>
        <v>1.625</v>
      </c>
      <c r="G41" s="26">
        <v>8.8999999999999996E-2</v>
      </c>
      <c r="H41" s="23" t="str">
        <f t="shared" si="6"/>
        <v>reprovado</v>
      </c>
    </row>
    <row r="42" spans="1:9" x14ac:dyDescent="0.25">
      <c r="A42" s="27"/>
      <c r="B42" s="27"/>
      <c r="C42" s="27"/>
      <c r="D42" s="27"/>
      <c r="E42" s="27"/>
      <c r="F42" s="27"/>
      <c r="G42" s="27"/>
      <c r="H42" s="27"/>
    </row>
    <row r="43" spans="1:9" x14ac:dyDescent="0.25">
      <c r="A43" s="6" t="s">
        <v>76</v>
      </c>
    </row>
    <row r="44" spans="1:9" x14ac:dyDescent="0.25">
      <c r="A44" s="6" t="s">
        <v>77</v>
      </c>
    </row>
    <row r="45" spans="1:9" x14ac:dyDescent="0.25">
      <c r="A45" s="15" t="s">
        <v>78</v>
      </c>
      <c r="B45" s="13"/>
      <c r="C45" s="13"/>
      <c r="D45" s="13"/>
      <c r="E45" s="13"/>
      <c r="F45" s="13"/>
      <c r="G45" s="13"/>
      <c r="H45" s="13"/>
      <c r="I45" s="13"/>
    </row>
    <row r="46" spans="1:9" ht="30" x14ac:dyDescent="0.25">
      <c r="A46" s="28" t="s">
        <v>79</v>
      </c>
      <c r="B46" s="29" t="s">
        <v>80</v>
      </c>
      <c r="C46" s="29" t="s">
        <v>81</v>
      </c>
      <c r="D46" s="29" t="s">
        <v>82</v>
      </c>
      <c r="E46" s="30" t="s">
        <v>83</v>
      </c>
      <c r="F46" s="6" t="s">
        <v>84</v>
      </c>
    </row>
    <row r="47" spans="1:9" x14ac:dyDescent="0.25">
      <c r="A47" s="7" t="s">
        <v>85</v>
      </c>
      <c r="B47" s="31">
        <v>1250</v>
      </c>
      <c r="C47" s="7" t="s">
        <v>86</v>
      </c>
      <c r="D47" s="32">
        <f>IF(AND(B47&lt;3500,C47="1X"),B47*(1-0.025),IF(AND(B47&lt;3500,C47="2X"),B47,IF(AND(B47&lt;3500,C47="1X"),B47*(0.025+1),IF(AND(B47&lt;5000,C47="1X"),B47*(1-0.05),IF(AND(B47&lt;5000,C47="2X"),B47*(1-0.025),IF(AND(B47&lt;5000,C47="3X"),B47*(0.03+1),B47*(1-0.065)))))))</f>
        <v>1218.75</v>
      </c>
      <c r="E47" s="33">
        <f>IF(C47="1X",D47,IF(C47="2X",D47/2,D47/3))</f>
        <v>1218.75</v>
      </c>
      <c r="F47" s="6" t="s">
        <v>87</v>
      </c>
    </row>
    <row r="48" spans="1:9" x14ac:dyDescent="0.25">
      <c r="A48" s="7" t="s">
        <v>88</v>
      </c>
      <c r="B48" s="31">
        <v>1365</v>
      </c>
      <c r="C48" s="7" t="s">
        <v>89</v>
      </c>
      <c r="D48" s="32">
        <f t="shared" ref="D48:D56" si="7">IF(AND(B48&lt;3500,C48="1X"),B48*(1-0.025),IF(AND(B48&lt;3500,C48="2X"),B48,IF(AND(B48&lt;3500,C48="1X"),B48*(0.025+1),IF(AND(B48&lt;5000,C48="1X"),B48*(1-0.05),IF(AND(B48&lt;5000,C48="2X"),B48*(1-0.025),IF(AND(B48&lt;5000,C48="3X"),B48*(0.03+1),B48*(1-0.065)))))))</f>
        <v>1365</v>
      </c>
      <c r="E48" s="33">
        <f t="shared" ref="E48:E56" si="8">IF(C48="1X",D48,IF(C48="2X",D48/2,D48/3))</f>
        <v>682.5</v>
      </c>
      <c r="F48" t="s">
        <v>90</v>
      </c>
    </row>
    <row r="49" spans="1:6" x14ac:dyDescent="0.25">
      <c r="A49" s="7" t="s">
        <v>91</v>
      </c>
      <c r="B49" s="31">
        <v>1800</v>
      </c>
      <c r="C49" s="7" t="s">
        <v>86</v>
      </c>
      <c r="D49" s="32">
        <f t="shared" si="7"/>
        <v>1755</v>
      </c>
      <c r="E49" s="33">
        <f t="shared" si="8"/>
        <v>1755</v>
      </c>
      <c r="F49" t="s">
        <v>92</v>
      </c>
    </row>
    <row r="50" spans="1:6" x14ac:dyDescent="0.25">
      <c r="A50" s="7" t="s">
        <v>93</v>
      </c>
      <c r="B50" s="31">
        <v>250</v>
      </c>
      <c r="C50" s="7" t="s">
        <v>94</v>
      </c>
      <c r="D50" s="32">
        <f t="shared" si="7"/>
        <v>257.5</v>
      </c>
      <c r="E50" s="33">
        <f t="shared" si="8"/>
        <v>85.833333333333329</v>
      </c>
      <c r="F50" t="s">
        <v>95</v>
      </c>
    </row>
    <row r="51" spans="1:6" x14ac:dyDescent="0.25">
      <c r="A51" s="7" t="s">
        <v>96</v>
      </c>
      <c r="B51" s="31">
        <v>3654</v>
      </c>
      <c r="C51" s="7" t="s">
        <v>89</v>
      </c>
      <c r="D51" s="32">
        <f t="shared" si="7"/>
        <v>3562.65</v>
      </c>
      <c r="E51" s="33">
        <f t="shared" si="8"/>
        <v>1781.325</v>
      </c>
      <c r="F51" t="s">
        <v>97</v>
      </c>
    </row>
    <row r="52" spans="1:6" x14ac:dyDescent="0.25">
      <c r="A52" s="7" t="s">
        <v>98</v>
      </c>
      <c r="B52" s="31">
        <v>1254</v>
      </c>
      <c r="C52" s="7" t="s">
        <v>94</v>
      </c>
      <c r="D52" s="32">
        <f t="shared" si="7"/>
        <v>1291.6200000000001</v>
      </c>
      <c r="E52" s="33">
        <f t="shared" si="8"/>
        <v>430.54</v>
      </c>
      <c r="F52" t="s">
        <v>99</v>
      </c>
    </row>
    <row r="53" spans="1:6" x14ac:dyDescent="0.25">
      <c r="A53" s="7" t="s">
        <v>100</v>
      </c>
      <c r="B53" s="31">
        <v>1980</v>
      </c>
      <c r="C53" s="7" t="s">
        <v>86</v>
      </c>
      <c r="D53" s="32">
        <f t="shared" si="7"/>
        <v>1930.5</v>
      </c>
      <c r="E53" s="33">
        <f t="shared" si="8"/>
        <v>1930.5</v>
      </c>
      <c r="F53" t="s">
        <v>101</v>
      </c>
    </row>
    <row r="54" spans="1:6" x14ac:dyDescent="0.25">
      <c r="A54" s="7" t="s">
        <v>102</v>
      </c>
      <c r="B54" s="31">
        <v>1450</v>
      </c>
      <c r="C54" s="7" t="s">
        <v>94</v>
      </c>
      <c r="D54" s="32">
        <f t="shared" si="7"/>
        <v>1493.5</v>
      </c>
      <c r="E54" s="33">
        <f t="shared" si="8"/>
        <v>497.83333333333331</v>
      </c>
      <c r="F54" t="s">
        <v>103</v>
      </c>
    </row>
    <row r="55" spans="1:6" x14ac:dyDescent="0.25">
      <c r="A55" s="7" t="s">
        <v>104</v>
      </c>
      <c r="B55" s="31">
        <v>5200</v>
      </c>
      <c r="C55" s="7" t="s">
        <v>86</v>
      </c>
      <c r="D55" s="32">
        <f t="shared" si="7"/>
        <v>4862</v>
      </c>
      <c r="E55" s="33">
        <f t="shared" si="8"/>
        <v>4862</v>
      </c>
      <c r="F55" t="s">
        <v>105</v>
      </c>
    </row>
    <row r="56" spans="1:6" x14ac:dyDescent="0.25">
      <c r="A56" s="7" t="s">
        <v>106</v>
      </c>
      <c r="B56" s="31">
        <v>3500</v>
      </c>
      <c r="C56" s="7" t="s">
        <v>89</v>
      </c>
      <c r="D56" s="32">
        <f t="shared" si="7"/>
        <v>3412.5</v>
      </c>
      <c r="E56" s="33">
        <f t="shared" si="8"/>
        <v>1706.25</v>
      </c>
      <c r="F56" t="s">
        <v>107</v>
      </c>
    </row>
    <row r="57" spans="1:6" x14ac:dyDescent="0.25">
      <c r="A57" s="6" t="s">
        <v>108</v>
      </c>
    </row>
    <row r="58" spans="1:6" x14ac:dyDescent="0.25">
      <c r="A58" t="s">
        <v>109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zoomScale="130" zoomScaleNormal="130" workbookViewId="0">
      <selection activeCell="F9" sqref="F9"/>
    </sheetView>
  </sheetViews>
  <sheetFormatPr defaultRowHeight="15" x14ac:dyDescent="0.25"/>
  <sheetData>
    <row r="1" spans="1:7" ht="15.75" customHeight="1" thickBot="1" x14ac:dyDescent="0.3">
      <c r="A1" s="70" t="s">
        <v>110</v>
      </c>
      <c r="B1" s="71"/>
      <c r="C1" s="71"/>
      <c r="D1" s="71"/>
      <c r="E1" s="72"/>
    </row>
    <row r="2" spans="1:7" ht="15.75" thickBot="1" x14ac:dyDescent="0.3">
      <c r="A2" s="73" t="s">
        <v>111</v>
      </c>
      <c r="B2" s="63" t="s">
        <v>112</v>
      </c>
      <c r="C2" s="76"/>
      <c r="D2" s="80" t="s">
        <v>113</v>
      </c>
      <c r="E2" s="81" t="s">
        <v>113</v>
      </c>
    </row>
    <row r="3" spans="1:7" ht="15.75" thickBot="1" x14ac:dyDescent="0.3">
      <c r="A3" s="74"/>
      <c r="B3" s="75" t="s">
        <v>114</v>
      </c>
      <c r="C3" s="75" t="s">
        <v>115</v>
      </c>
      <c r="D3" s="78" t="s">
        <v>116</v>
      </c>
      <c r="E3" s="79" t="s">
        <v>116</v>
      </c>
      <c r="F3" s="77"/>
      <c r="G3" s="7"/>
    </row>
    <row r="4" spans="1:7" ht="15.75" thickBot="1" x14ac:dyDescent="0.3">
      <c r="A4" s="34" t="s">
        <v>117</v>
      </c>
      <c r="B4" s="35">
        <v>5000</v>
      </c>
      <c r="C4" s="35">
        <v>8000</v>
      </c>
      <c r="D4" s="36">
        <f>IF($C$4&lt;=10000,$B$8*(1+0.05)+(($C$4-10000)*0.1),IF($C$4&gt;$B$4,+($C$4-$B$4)*0.05,$B$8))</f>
        <v>283</v>
      </c>
      <c r="E4" s="36">
        <f>$B$8+IF($C$4&lt;10000,5%*$C$4,5%*10000+10%*($C$4-10000))+IF($C$4&gt;$B$4,5%*($C$4-$B$4),0)</f>
        <v>1010</v>
      </c>
    </row>
    <row r="5" spans="1:7" ht="15.75" thickBot="1" x14ac:dyDescent="0.3">
      <c r="A5" s="34" t="s">
        <v>118</v>
      </c>
      <c r="B5" s="35">
        <v>9000</v>
      </c>
      <c r="C5" s="35">
        <v>7000</v>
      </c>
      <c r="D5" s="36">
        <f>IF($C$5&lt;=10000,$B$8*(1+0.05)+(($C$5-10000)*0.1),IF($C$5&gt;$B$5,+($C$5-$B$5)*0.05,$B$8))</f>
        <v>183</v>
      </c>
      <c r="E5" s="36">
        <f>$B$8+IF($C$5&lt;10000,5%*$C$5,5%*10000+10%*($C$5-10000))+IF($C$5&gt;$B$5,5%*($C$5-$B$5),0)</f>
        <v>810</v>
      </c>
    </row>
    <row r="6" spans="1:7" ht="15.75" thickBot="1" x14ac:dyDescent="0.3">
      <c r="A6" s="34" t="s">
        <v>119</v>
      </c>
      <c r="B6" s="35">
        <v>10000</v>
      </c>
      <c r="C6" s="35">
        <v>11000</v>
      </c>
      <c r="D6" s="36">
        <f>IF($C$6&lt;=10000,$B$8*(1+0.05)+(($C$6-10000)*0.1),IF($C$6&gt;$B$6,+($C$6-$B$6)*0.05,$B$8))</f>
        <v>50</v>
      </c>
      <c r="E6" s="36">
        <f>$B$8+IF($C$6&lt;10000,5%*$C$6,5%*10000+10%*($C$6-10000))+IF($C$6&gt;$B$6,5%*($C$6-$B$6),0)</f>
        <v>1110</v>
      </c>
    </row>
    <row r="7" spans="1:7" x14ac:dyDescent="0.25">
      <c r="D7" s="68" t="s">
        <v>244</v>
      </c>
      <c r="E7" s="69" t="s">
        <v>245</v>
      </c>
    </row>
    <row r="8" spans="1:7" ht="23.25" x14ac:dyDescent="0.25">
      <c r="A8" s="37" t="s">
        <v>120</v>
      </c>
      <c r="B8" s="38">
        <v>460</v>
      </c>
    </row>
  </sheetData>
  <mergeCells count="3">
    <mergeCell ref="A2:A3"/>
    <mergeCell ref="B2:C2"/>
    <mergeCell ref="A1:E1"/>
  </mergeCells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D11" sqref="D11"/>
    </sheetView>
  </sheetViews>
  <sheetFormatPr defaultRowHeight="15" x14ac:dyDescent="0.25"/>
  <cols>
    <col min="2" max="2" width="18.42578125" customWidth="1"/>
    <col min="3" max="3" width="16.85546875" customWidth="1"/>
    <col min="6" max="6" width="16" customWidth="1"/>
    <col min="7" max="7" width="11.140625" customWidth="1"/>
  </cols>
  <sheetData>
    <row r="1" spans="1:7" x14ac:dyDescent="0.25">
      <c r="A1" t="s">
        <v>121</v>
      </c>
      <c r="B1" t="s">
        <v>122</v>
      </c>
      <c r="C1" t="s">
        <v>123</v>
      </c>
      <c r="D1" t="s">
        <v>124</v>
      </c>
    </row>
    <row r="2" spans="1:7" x14ac:dyDescent="0.25">
      <c r="A2" t="s">
        <v>125</v>
      </c>
      <c r="B2" t="s">
        <v>126</v>
      </c>
      <c r="C2">
        <v>25000</v>
      </c>
      <c r="D2">
        <f>IF(B2="Móveis",410*IF(C2&lt;=10000,(0.035+1),IF(C2&lt;=20000,(0.055+1),(0.1+1))),350*IF(C2&lt;=5000,(0.04+1),IF(C2&lt;=10000,(0.08+1),(0.12+1))))</f>
        <v>451.00000000000006</v>
      </c>
      <c r="F2" t="s">
        <v>127</v>
      </c>
    </row>
    <row r="3" spans="1:7" x14ac:dyDescent="0.25">
      <c r="A3" t="s">
        <v>128</v>
      </c>
      <c r="B3" t="s">
        <v>129</v>
      </c>
      <c r="C3">
        <v>2350</v>
      </c>
      <c r="D3">
        <f t="shared" ref="D3:D11" si="0">IF(B3="Móveis",410*IF(C3&lt;=10000,(0.035+1),IF(C3&lt;=20000,(0.055+1),(0.1+1))),350*IF(C3&lt;=5000,(0.04+1),IF(C3&lt;=10000,(0.08+1),(0.12+1))))</f>
        <v>364</v>
      </c>
      <c r="F3" t="s">
        <v>126</v>
      </c>
      <c r="G3">
        <f>SUMIF(B2:B11,"Móveis",D2:D11)</f>
        <v>2199.65</v>
      </c>
    </row>
    <row r="4" spans="1:7" x14ac:dyDescent="0.25">
      <c r="A4" t="s">
        <v>130</v>
      </c>
      <c r="B4" t="s">
        <v>129</v>
      </c>
      <c r="C4">
        <v>24500</v>
      </c>
      <c r="D4">
        <f t="shared" si="0"/>
        <v>392.00000000000006</v>
      </c>
      <c r="F4" t="s">
        <v>129</v>
      </c>
      <c r="G4">
        <f>SUMIF(B2:B11,"Eletrodomésticos",D2:D11)</f>
        <v>1890</v>
      </c>
    </row>
    <row r="5" spans="1:7" x14ac:dyDescent="0.25">
      <c r="A5" t="s">
        <v>131</v>
      </c>
      <c r="B5" t="s">
        <v>129</v>
      </c>
      <c r="C5">
        <v>250</v>
      </c>
      <c r="D5">
        <f t="shared" si="0"/>
        <v>364</v>
      </c>
    </row>
    <row r="6" spans="1:7" x14ac:dyDescent="0.25">
      <c r="A6" t="s">
        <v>132</v>
      </c>
      <c r="B6" t="s">
        <v>126</v>
      </c>
      <c r="C6">
        <v>12500</v>
      </c>
      <c r="D6">
        <f t="shared" si="0"/>
        <v>432.54999999999995</v>
      </c>
    </row>
    <row r="7" spans="1:7" x14ac:dyDescent="0.25">
      <c r="A7" t="s">
        <v>133</v>
      </c>
      <c r="B7" t="s">
        <v>126</v>
      </c>
      <c r="C7">
        <v>20000</v>
      </c>
      <c r="D7">
        <f t="shared" si="0"/>
        <v>432.54999999999995</v>
      </c>
    </row>
    <row r="8" spans="1:7" x14ac:dyDescent="0.25">
      <c r="A8" t="s">
        <v>134</v>
      </c>
      <c r="B8" t="s">
        <v>129</v>
      </c>
      <c r="C8">
        <v>5444</v>
      </c>
      <c r="D8">
        <f t="shared" si="0"/>
        <v>378</v>
      </c>
    </row>
    <row r="9" spans="1:7" x14ac:dyDescent="0.25">
      <c r="A9" t="s">
        <v>135</v>
      </c>
      <c r="B9" t="s">
        <v>126</v>
      </c>
      <c r="C9">
        <v>14800</v>
      </c>
      <c r="D9">
        <f t="shared" si="0"/>
        <v>432.54999999999995</v>
      </c>
    </row>
    <row r="10" spans="1:7" x14ac:dyDescent="0.25">
      <c r="A10" t="s">
        <v>136</v>
      </c>
      <c r="B10" t="s">
        <v>126</v>
      </c>
      <c r="C10">
        <v>22520</v>
      </c>
      <c r="D10">
        <f t="shared" si="0"/>
        <v>451.00000000000006</v>
      </c>
    </row>
    <row r="11" spans="1:7" x14ac:dyDescent="0.25">
      <c r="A11" t="s">
        <v>137</v>
      </c>
      <c r="B11" t="s">
        <v>129</v>
      </c>
      <c r="C11">
        <v>48000</v>
      </c>
      <c r="D11">
        <f t="shared" si="0"/>
        <v>392.00000000000006</v>
      </c>
    </row>
    <row r="13" spans="1:7" x14ac:dyDescent="0.25">
      <c r="A13" t="s">
        <v>124</v>
      </c>
    </row>
    <row r="14" spans="1:7" x14ac:dyDescent="0.25">
      <c r="A14" t="s">
        <v>138</v>
      </c>
    </row>
    <row r="15" spans="1:7" x14ac:dyDescent="0.25">
      <c r="A15" t="s">
        <v>139</v>
      </c>
    </row>
    <row r="16" spans="1:7" x14ac:dyDescent="0.25">
      <c r="A16" t="s">
        <v>140</v>
      </c>
    </row>
    <row r="17" spans="1:1" x14ac:dyDescent="0.25">
      <c r="A17" t="s">
        <v>141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>
      <selection activeCell="B3" sqref="B3:B12"/>
    </sheetView>
  </sheetViews>
  <sheetFormatPr defaultRowHeight="15" x14ac:dyDescent="0.25"/>
  <cols>
    <col min="5" max="5" width="14.28515625" customWidth="1"/>
  </cols>
  <sheetData>
    <row r="1" spans="1:8" ht="20.25" x14ac:dyDescent="0.3">
      <c r="A1" s="64" t="s">
        <v>142</v>
      </c>
      <c r="B1" s="64"/>
      <c r="C1" s="64"/>
      <c r="D1" s="64"/>
      <c r="E1" s="64"/>
      <c r="F1" s="64"/>
      <c r="G1" s="64"/>
      <c r="H1" s="64"/>
    </row>
    <row r="2" spans="1:8" ht="45" x14ac:dyDescent="0.25">
      <c r="A2" s="7" t="s">
        <v>143</v>
      </c>
      <c r="B2" s="39" t="s">
        <v>144</v>
      </c>
      <c r="C2" s="7" t="s">
        <v>145</v>
      </c>
      <c r="D2" s="39" t="s">
        <v>146</v>
      </c>
      <c r="E2" s="39" t="s">
        <v>80</v>
      </c>
      <c r="F2" s="7" t="s">
        <v>147</v>
      </c>
      <c r="G2" s="7" t="s">
        <v>25</v>
      </c>
      <c r="H2" s="7" t="s">
        <v>148</v>
      </c>
    </row>
    <row r="3" spans="1:8" x14ac:dyDescent="0.25">
      <c r="A3" s="7" t="s">
        <v>28</v>
      </c>
      <c r="B3" s="48">
        <v>42715</v>
      </c>
      <c r="C3" s="7">
        <v>45</v>
      </c>
      <c r="D3" s="49"/>
      <c r="E3" s="10">
        <v>12</v>
      </c>
      <c r="F3" s="50"/>
      <c r="G3" s="51"/>
      <c r="H3" s="52"/>
    </row>
    <row r="4" spans="1:8" x14ac:dyDescent="0.25">
      <c r="A4" s="7" t="s">
        <v>29</v>
      </c>
      <c r="B4" s="48">
        <v>42716</v>
      </c>
      <c r="C4" s="7">
        <v>50</v>
      </c>
      <c r="D4" s="49"/>
      <c r="E4" s="10">
        <v>23</v>
      </c>
      <c r="F4" s="50"/>
      <c r="G4" s="51"/>
      <c r="H4" s="52"/>
    </row>
    <row r="5" spans="1:8" x14ac:dyDescent="0.25">
      <c r="A5" s="7" t="s">
        <v>30</v>
      </c>
      <c r="B5" s="48">
        <v>42717</v>
      </c>
      <c r="C5" s="7">
        <v>90</v>
      </c>
      <c r="D5" s="49"/>
      <c r="E5" s="10">
        <v>34</v>
      </c>
      <c r="F5" s="50"/>
      <c r="G5" s="51"/>
      <c r="H5" s="52"/>
    </row>
    <row r="6" spans="1:8" x14ac:dyDescent="0.25">
      <c r="A6" s="7" t="s">
        <v>31</v>
      </c>
      <c r="B6" s="48">
        <v>42718</v>
      </c>
      <c r="C6" s="7">
        <v>60</v>
      </c>
      <c r="D6" s="49"/>
      <c r="E6" s="10">
        <v>45</v>
      </c>
      <c r="F6" s="50"/>
      <c r="G6" s="51"/>
      <c r="H6" s="52"/>
    </row>
    <row r="7" spans="1:8" x14ac:dyDescent="0.25">
      <c r="A7" s="7" t="s">
        <v>32</v>
      </c>
      <c r="B7" s="48">
        <v>42719</v>
      </c>
      <c r="C7" s="7">
        <v>80</v>
      </c>
      <c r="D7" s="49"/>
      <c r="E7" s="10">
        <v>43</v>
      </c>
      <c r="F7" s="50"/>
      <c r="G7" s="51"/>
      <c r="H7" s="52"/>
    </row>
    <row r="8" spans="1:8" x14ac:dyDescent="0.25">
      <c r="A8" s="7" t="s">
        <v>33</v>
      </c>
      <c r="B8" s="48">
        <v>42720</v>
      </c>
      <c r="C8" s="7">
        <v>90</v>
      </c>
      <c r="D8" s="49"/>
      <c r="E8" s="10">
        <v>21</v>
      </c>
      <c r="F8" s="50"/>
      <c r="G8" s="51"/>
      <c r="H8" s="52"/>
    </row>
    <row r="9" spans="1:8" x14ac:dyDescent="0.25">
      <c r="A9" s="7" t="s">
        <v>34</v>
      </c>
      <c r="B9" s="48">
        <v>42721</v>
      </c>
      <c r="C9" s="7">
        <v>85</v>
      </c>
      <c r="D9" s="49"/>
      <c r="E9" s="10">
        <v>8</v>
      </c>
      <c r="F9" s="50"/>
      <c r="G9" s="51"/>
      <c r="H9" s="52"/>
    </row>
    <row r="10" spans="1:8" x14ac:dyDescent="0.25">
      <c r="A10" s="7" t="s">
        <v>149</v>
      </c>
      <c r="B10" s="48">
        <v>42722</v>
      </c>
      <c r="C10" s="7">
        <v>20</v>
      </c>
      <c r="D10" s="49"/>
      <c r="E10" s="10">
        <v>4</v>
      </c>
      <c r="F10" s="50"/>
      <c r="G10" s="51"/>
      <c r="H10" s="52"/>
    </row>
    <row r="11" spans="1:8" x14ac:dyDescent="0.25">
      <c r="A11" s="7" t="s">
        <v>150</v>
      </c>
      <c r="B11" s="48">
        <v>42723</v>
      </c>
      <c r="C11" s="7">
        <v>25</v>
      </c>
      <c r="D11" s="49"/>
      <c r="E11" s="10">
        <v>3</v>
      </c>
      <c r="F11" s="50"/>
      <c r="G11" s="51"/>
      <c r="H11" s="52"/>
    </row>
    <row r="12" spans="1:8" x14ac:dyDescent="0.25">
      <c r="A12" s="7" t="s">
        <v>151</v>
      </c>
      <c r="B12" s="48">
        <v>42724</v>
      </c>
      <c r="C12" s="7">
        <v>180</v>
      </c>
      <c r="D12" s="49"/>
      <c r="E12" s="10">
        <v>8</v>
      </c>
      <c r="F12" s="50"/>
      <c r="G12" s="51"/>
      <c r="H12" s="52"/>
    </row>
    <row r="14" spans="1:8" x14ac:dyDescent="0.25">
      <c r="A14" s="7" t="s">
        <v>152</v>
      </c>
      <c r="B14" s="12">
        <v>0.42</v>
      </c>
      <c r="F14" s="65" t="s">
        <v>153</v>
      </c>
      <c r="G14" s="66"/>
    </row>
    <row r="15" spans="1:8" ht="16.5" x14ac:dyDescent="0.35">
      <c r="A15" s="7" t="s">
        <v>154</v>
      </c>
      <c r="B15" s="12">
        <v>0.3</v>
      </c>
      <c r="F15" s="7" t="s">
        <v>152</v>
      </c>
      <c r="G15" s="53" t="s">
        <v>155</v>
      </c>
    </row>
    <row r="16" spans="1:8" ht="16.5" x14ac:dyDescent="0.35">
      <c r="A16" s="7" t="s">
        <v>156</v>
      </c>
      <c r="B16" s="12">
        <v>0.2</v>
      </c>
      <c r="F16" s="7" t="s">
        <v>154</v>
      </c>
      <c r="G16" s="53" t="s">
        <v>155</v>
      </c>
    </row>
    <row r="17" spans="1:7" ht="16.5" x14ac:dyDescent="0.35">
      <c r="A17" s="7" t="s">
        <v>157</v>
      </c>
      <c r="B17" s="12">
        <v>0.1</v>
      </c>
      <c r="F17" s="7" t="s">
        <v>156</v>
      </c>
      <c r="G17" s="53" t="s">
        <v>155</v>
      </c>
    </row>
    <row r="18" spans="1:7" ht="16.5" x14ac:dyDescent="0.35">
      <c r="A18" s="7" t="s">
        <v>158</v>
      </c>
      <c r="B18" s="12">
        <v>0.02</v>
      </c>
      <c r="F18" s="7" t="s">
        <v>157</v>
      </c>
      <c r="G18" s="53" t="s">
        <v>155</v>
      </c>
    </row>
    <row r="19" spans="1:7" ht="16.5" x14ac:dyDescent="0.35">
      <c r="F19" s="7" t="s">
        <v>158</v>
      </c>
      <c r="G19" s="53" t="s">
        <v>155</v>
      </c>
    </row>
    <row r="20" spans="1:7" x14ac:dyDescent="0.25">
      <c r="A20" s="6" t="s">
        <v>84</v>
      </c>
    </row>
    <row r="21" spans="1:7" x14ac:dyDescent="0.25">
      <c r="A21" t="s">
        <v>147</v>
      </c>
      <c r="B21" t="s">
        <v>159</v>
      </c>
    </row>
    <row r="22" spans="1:7" x14ac:dyDescent="0.25">
      <c r="A22" t="s">
        <v>25</v>
      </c>
      <c r="B22" t="s">
        <v>160</v>
      </c>
    </row>
    <row r="23" spans="1:7" x14ac:dyDescent="0.25">
      <c r="B23" t="s">
        <v>161</v>
      </c>
    </row>
    <row r="25" spans="1:7" x14ac:dyDescent="0.25">
      <c r="A25" t="s">
        <v>162</v>
      </c>
      <c r="B25" t="s">
        <v>163</v>
      </c>
    </row>
  </sheetData>
  <mergeCells count="2">
    <mergeCell ref="A1:H1"/>
    <mergeCell ref="F14:G14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E2" sqref="E2:E13"/>
    </sheetView>
  </sheetViews>
  <sheetFormatPr defaultRowHeight="15" x14ac:dyDescent="0.25"/>
  <cols>
    <col min="2" max="2" width="12.140625" customWidth="1"/>
    <col min="3" max="3" width="17.85546875" customWidth="1"/>
    <col min="4" max="4" width="13.140625" bestFit="1" customWidth="1"/>
    <col min="5" max="5" width="12" customWidth="1"/>
  </cols>
  <sheetData>
    <row r="1" spans="1:8" ht="45" x14ac:dyDescent="0.25">
      <c r="A1" t="s">
        <v>164</v>
      </c>
      <c r="B1" t="s">
        <v>165</v>
      </c>
      <c r="C1" t="s">
        <v>166</v>
      </c>
      <c r="D1" s="1" t="s">
        <v>167</v>
      </c>
      <c r="E1" t="s">
        <v>168</v>
      </c>
      <c r="G1" t="s">
        <v>8</v>
      </c>
    </row>
    <row r="2" spans="1:8" x14ac:dyDescent="0.25">
      <c r="A2">
        <v>1111</v>
      </c>
      <c r="B2" t="s">
        <v>169</v>
      </c>
      <c r="C2" s="2">
        <v>2</v>
      </c>
      <c r="D2" s="3">
        <f>VLOOKUP($B2,$A$16:$B$18,2,0)</f>
        <v>1050</v>
      </c>
      <c r="E2" s="3">
        <f>IF(C2=1,D2+D2*$E$17,IF(C2=2,(D2+D2*$E$18)*2,"Negociar dívida"))</f>
        <v>2236.5</v>
      </c>
      <c r="G2" t="s">
        <v>170</v>
      </c>
    </row>
    <row r="3" spans="1:8" x14ac:dyDescent="0.25">
      <c r="A3">
        <v>2222</v>
      </c>
      <c r="B3" t="s">
        <v>169</v>
      </c>
      <c r="C3" s="2">
        <v>1</v>
      </c>
      <c r="D3" s="3">
        <f t="shared" ref="D3:D13" si="0">VLOOKUP($B3,$A$16:$B$18,2,0)</f>
        <v>1050</v>
      </c>
      <c r="E3" s="3">
        <f t="shared" ref="E3:E13" si="1">IF(C3=1,D3+D3*$E$17,IF(C3=2,(D3+D3*$E$18)*2,"Negociar dívida"))</f>
        <v>1086.75</v>
      </c>
      <c r="G3" t="s">
        <v>171</v>
      </c>
    </row>
    <row r="4" spans="1:8" x14ac:dyDescent="0.25">
      <c r="A4">
        <v>3333</v>
      </c>
      <c r="B4" t="s">
        <v>172</v>
      </c>
      <c r="C4" s="2">
        <v>2</v>
      </c>
      <c r="D4" s="3">
        <f t="shared" si="0"/>
        <v>950</v>
      </c>
      <c r="E4" s="3">
        <f t="shared" si="1"/>
        <v>2023.5</v>
      </c>
      <c r="G4" t="s">
        <v>173</v>
      </c>
    </row>
    <row r="5" spans="1:8" x14ac:dyDescent="0.25">
      <c r="A5">
        <v>4444</v>
      </c>
      <c r="B5" t="s">
        <v>169</v>
      </c>
      <c r="C5" s="2">
        <v>2</v>
      </c>
      <c r="D5" s="3">
        <f t="shared" si="0"/>
        <v>1050</v>
      </c>
      <c r="E5" s="3">
        <f t="shared" si="1"/>
        <v>2236.5</v>
      </c>
    </row>
    <row r="6" spans="1:8" x14ac:dyDescent="0.25">
      <c r="A6">
        <v>5555</v>
      </c>
      <c r="B6" t="s">
        <v>172</v>
      </c>
      <c r="C6" s="2">
        <v>5</v>
      </c>
      <c r="D6" s="3">
        <f t="shared" si="0"/>
        <v>950</v>
      </c>
      <c r="E6" s="3" t="str">
        <f t="shared" si="1"/>
        <v>Negociar dívida</v>
      </c>
      <c r="G6" t="s">
        <v>168</v>
      </c>
    </row>
    <row r="7" spans="1:8" x14ac:dyDescent="0.25">
      <c r="A7">
        <v>6666</v>
      </c>
      <c r="B7" t="s">
        <v>174</v>
      </c>
      <c r="C7" s="2">
        <v>2</v>
      </c>
      <c r="D7" s="3">
        <f t="shared" si="0"/>
        <v>1580</v>
      </c>
      <c r="E7" s="3">
        <f t="shared" si="1"/>
        <v>3365.4</v>
      </c>
      <c r="G7" t="s">
        <v>175</v>
      </c>
    </row>
    <row r="8" spans="1:8" x14ac:dyDescent="0.25">
      <c r="A8">
        <v>7777</v>
      </c>
      <c r="B8" t="s">
        <v>169</v>
      </c>
      <c r="C8" s="2">
        <v>3</v>
      </c>
      <c r="D8" s="3">
        <f t="shared" si="0"/>
        <v>1050</v>
      </c>
      <c r="E8" s="3" t="str">
        <f t="shared" si="1"/>
        <v>Negociar dívida</v>
      </c>
      <c r="G8" t="s">
        <v>176</v>
      </c>
    </row>
    <row r="9" spans="1:8" x14ac:dyDescent="0.25">
      <c r="A9">
        <v>8888</v>
      </c>
      <c r="B9" t="s">
        <v>172</v>
      </c>
      <c r="C9" s="2">
        <v>4</v>
      </c>
      <c r="D9" s="3">
        <f t="shared" si="0"/>
        <v>950</v>
      </c>
      <c r="E9" s="3" t="str">
        <f t="shared" si="1"/>
        <v>Negociar dívida</v>
      </c>
      <c r="G9" t="s">
        <v>177</v>
      </c>
    </row>
    <row r="10" spans="1:8" x14ac:dyDescent="0.25">
      <c r="A10">
        <v>9999</v>
      </c>
      <c r="B10" t="s">
        <v>172</v>
      </c>
      <c r="C10" s="2">
        <v>2</v>
      </c>
      <c r="D10" s="3">
        <f t="shared" si="0"/>
        <v>950</v>
      </c>
      <c r="E10" s="3">
        <f t="shared" si="1"/>
        <v>2023.5</v>
      </c>
      <c r="G10" t="s">
        <v>178</v>
      </c>
    </row>
    <row r="11" spans="1:8" x14ac:dyDescent="0.25">
      <c r="A11">
        <v>1010</v>
      </c>
      <c r="B11" t="s">
        <v>174</v>
      </c>
      <c r="C11" s="2">
        <v>1</v>
      </c>
      <c r="D11" s="3">
        <f t="shared" si="0"/>
        <v>1580</v>
      </c>
      <c r="E11" s="3">
        <f t="shared" si="1"/>
        <v>1635.3</v>
      </c>
    </row>
    <row r="12" spans="1:8" x14ac:dyDescent="0.25">
      <c r="A12">
        <v>1110</v>
      </c>
      <c r="B12" t="s">
        <v>174</v>
      </c>
      <c r="C12" s="2">
        <v>2</v>
      </c>
      <c r="D12" s="3">
        <f t="shared" si="0"/>
        <v>1580</v>
      </c>
      <c r="E12" s="3">
        <f t="shared" si="1"/>
        <v>3365.4</v>
      </c>
      <c r="H12" s="3"/>
    </row>
    <row r="13" spans="1:8" x14ac:dyDescent="0.25">
      <c r="A13">
        <v>1215</v>
      </c>
      <c r="B13" t="s">
        <v>169</v>
      </c>
      <c r="C13" s="2">
        <v>5</v>
      </c>
      <c r="D13" s="3">
        <f t="shared" si="0"/>
        <v>1050</v>
      </c>
      <c r="E13" s="3" t="str">
        <f t="shared" si="1"/>
        <v>Negociar dívida</v>
      </c>
    </row>
    <row r="15" spans="1:8" x14ac:dyDescent="0.25">
      <c r="A15" t="s">
        <v>179</v>
      </c>
    </row>
    <row r="16" spans="1:8" x14ac:dyDescent="0.25">
      <c r="A16" t="s">
        <v>169</v>
      </c>
      <c r="B16" s="4">
        <v>1050</v>
      </c>
      <c r="D16" s="3" t="s">
        <v>180</v>
      </c>
    </row>
    <row r="17" spans="1:5" x14ac:dyDescent="0.25">
      <c r="A17" t="s">
        <v>172</v>
      </c>
      <c r="B17" s="4">
        <v>950</v>
      </c>
      <c r="D17" s="3">
        <v>1</v>
      </c>
      <c r="E17" s="5">
        <v>3.5000000000000003E-2</v>
      </c>
    </row>
    <row r="18" spans="1:5" x14ac:dyDescent="0.25">
      <c r="A18" t="s">
        <v>174</v>
      </c>
      <c r="B18" s="4">
        <v>1580</v>
      </c>
      <c r="D18" s="3">
        <v>2</v>
      </c>
      <c r="E18" s="5">
        <v>6.5000000000000002E-2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tabSelected="1" workbookViewId="0">
      <selection activeCell="G16" sqref="G16"/>
    </sheetView>
  </sheetViews>
  <sheetFormatPr defaultRowHeight="15" x14ac:dyDescent="0.25"/>
  <cols>
    <col min="1" max="1" width="20" bestFit="1" customWidth="1"/>
  </cols>
  <sheetData>
    <row r="1" spans="1:6" x14ac:dyDescent="0.25">
      <c r="A1" s="61" t="s">
        <v>181</v>
      </c>
      <c r="B1" s="60" t="s">
        <v>247</v>
      </c>
      <c r="F1" t="s">
        <v>182</v>
      </c>
    </row>
    <row r="2" spans="1:6" x14ac:dyDescent="0.25">
      <c r="A2" s="61" t="s">
        <v>183</v>
      </c>
      <c r="B2" s="60" t="s">
        <v>246</v>
      </c>
      <c r="F2" t="s">
        <v>184</v>
      </c>
    </row>
    <row r="3" spans="1:6" x14ac:dyDescent="0.25">
      <c r="A3" s="61" t="s">
        <v>185</v>
      </c>
      <c r="B3" s="60" t="s">
        <v>248</v>
      </c>
    </row>
    <row r="4" spans="1:6" x14ac:dyDescent="0.25">
      <c r="A4" s="60" t="s">
        <v>168</v>
      </c>
      <c r="B4" s="62">
        <f>IF(B1="Pública",180,IF(B1="Colégio",220,280))</f>
        <v>180</v>
      </c>
      <c r="C4">
        <f>IF(B1="Pública",180,IF(B1="Colégio",220,280))*IF(B2="A vista",12*80%,1)+IF(B3=5,B8*85%,B8)+B7</f>
        <v>2188</v>
      </c>
    </row>
    <row r="7" spans="1:6" x14ac:dyDescent="0.25">
      <c r="A7" s="60" t="s">
        <v>186</v>
      </c>
      <c r="B7" s="60">
        <v>350</v>
      </c>
    </row>
    <row r="8" spans="1:6" x14ac:dyDescent="0.25">
      <c r="A8" s="60" t="s">
        <v>187</v>
      </c>
      <c r="B8" s="60">
        <v>110</v>
      </c>
    </row>
    <row r="11" spans="1:6" x14ac:dyDescent="0.25">
      <c r="A11" s="61" t="s">
        <v>188</v>
      </c>
      <c r="B11" s="61">
        <f>$B$7+IF(B2="A vista",$B$4*(1-0.2),$B$4)+IF(B3="Sim",$B$8*(1-0.15),$B$8)</f>
        <v>587.5</v>
      </c>
    </row>
    <row r="12" spans="1:6" x14ac:dyDescent="0.25">
      <c r="A12" t="s">
        <v>189</v>
      </c>
    </row>
    <row r="13" spans="1:6" x14ac:dyDescent="0.25">
      <c r="A13" t="s">
        <v>190</v>
      </c>
    </row>
    <row r="14" spans="1:6" x14ac:dyDescent="0.25">
      <c r="A14" t="s">
        <v>191</v>
      </c>
    </row>
    <row r="15" spans="1:6" x14ac:dyDescent="0.25">
      <c r="A15" t="s">
        <v>192</v>
      </c>
    </row>
  </sheetData>
  <dataValidations count="3">
    <dataValidation type="list" allowBlank="1" showInputMessage="1" showErrorMessage="1" sqref="B1">
      <formula1>"Pública, Colégio, Particular"</formula1>
    </dataValidation>
    <dataValidation type="list" allowBlank="1" showInputMessage="1" showErrorMessage="1" sqref="B3">
      <formula1>"Sim, Não"</formula1>
    </dataValidation>
    <dataValidation type="list" allowBlank="1" showInputMessage="1" showErrorMessage="1" sqref="B2">
      <formula1>"A vista, 2X, 3X, 5X, 6X, 10X, 12X"</formula1>
    </dataValidation>
  </dataValidation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workbookViewId="0">
      <selection activeCell="H18" sqref="H18"/>
    </sheetView>
  </sheetViews>
  <sheetFormatPr defaultRowHeight="15" x14ac:dyDescent="0.25"/>
  <cols>
    <col min="4" max="4" width="9" customWidth="1"/>
    <col min="6" max="6" width="14.42578125" bestFit="1" customWidth="1"/>
    <col min="8" max="8" width="12.28515625" bestFit="1" customWidth="1"/>
  </cols>
  <sheetData>
    <row r="1" spans="1:9" ht="60" x14ac:dyDescent="0.25">
      <c r="A1" s="7" t="s">
        <v>193</v>
      </c>
      <c r="B1" s="39" t="s">
        <v>194</v>
      </c>
      <c r="C1" s="39" t="s">
        <v>195</v>
      </c>
      <c r="D1" s="7" t="s">
        <v>196</v>
      </c>
      <c r="E1" s="39" t="s">
        <v>197</v>
      </c>
      <c r="F1" s="39" t="s">
        <v>198</v>
      </c>
    </row>
    <row r="2" spans="1:9" x14ac:dyDescent="0.25">
      <c r="A2" s="7" t="s">
        <v>85</v>
      </c>
      <c r="B2" s="7">
        <v>5000</v>
      </c>
      <c r="C2" s="7" t="s">
        <v>199</v>
      </c>
      <c r="D2" s="40">
        <f>IF(C2="A",$B$14*B2,IF(C2="B",$B$15*B2,IF(C2="C",$B$16*B2,IF(C2="D",$B$17*B2,$B$18*B2))))</f>
        <v>750</v>
      </c>
      <c r="E2" s="7" t="s">
        <v>86</v>
      </c>
      <c r="F2" s="40">
        <f>IF(E2="1X",D2*(1-5%),IF(E2="2X",D2/2,IF(E2="3X",(D2*(5%+1))/3,IF(E2="4X",(D2*(10%+1))/4,(D2*(16%+1))/5))))</f>
        <v>712.5</v>
      </c>
      <c r="I2" s="41"/>
    </row>
    <row r="3" spans="1:9" x14ac:dyDescent="0.25">
      <c r="A3" s="7" t="s">
        <v>88</v>
      </c>
      <c r="B3" s="7">
        <v>5100</v>
      </c>
      <c r="C3" s="7" t="s">
        <v>200</v>
      </c>
      <c r="D3" s="40">
        <f t="shared" ref="D3:D11" si="0">IF(C3="A",$B$14*B3,IF(C3="B",$B$15*B3,IF(C3="C",$B$16*B3,IF(C3="D",$B$17*B3,$B$18*B3))))</f>
        <v>663</v>
      </c>
      <c r="E3" s="7" t="s">
        <v>89</v>
      </c>
      <c r="F3" s="40">
        <f t="shared" ref="F3:F11" si="1">IF(E3="1X",D3*(1-5%),IF(E3="2X",D3/2,IF(E3="3X",(D3*(5%+1))/3,IF(E3="4X",(D3*(10%+1))/4,(D3*(16%+1))/5))))</f>
        <v>331.5</v>
      </c>
    </row>
    <row r="4" spans="1:9" x14ac:dyDescent="0.25">
      <c r="A4" s="7" t="s">
        <v>91</v>
      </c>
      <c r="B4" s="7">
        <v>5200</v>
      </c>
      <c r="C4" s="7" t="s">
        <v>200</v>
      </c>
      <c r="D4" s="40">
        <f t="shared" si="0"/>
        <v>676</v>
      </c>
      <c r="E4" s="7" t="s">
        <v>94</v>
      </c>
      <c r="F4" s="40">
        <f t="shared" si="1"/>
        <v>236.60000000000002</v>
      </c>
    </row>
    <row r="5" spans="1:9" x14ac:dyDescent="0.25">
      <c r="A5" s="7" t="s">
        <v>93</v>
      </c>
      <c r="B5" s="7">
        <v>5300</v>
      </c>
      <c r="C5" s="7" t="s">
        <v>201</v>
      </c>
      <c r="D5" s="40">
        <f t="shared" si="0"/>
        <v>636</v>
      </c>
      <c r="E5" s="7" t="s">
        <v>202</v>
      </c>
      <c r="F5" s="40">
        <f t="shared" si="1"/>
        <v>174.9</v>
      </c>
    </row>
    <row r="6" spans="1:9" x14ac:dyDescent="0.25">
      <c r="A6" s="7" t="s">
        <v>96</v>
      </c>
      <c r="B6" s="7">
        <v>5400</v>
      </c>
      <c r="C6" s="7" t="s">
        <v>203</v>
      </c>
      <c r="D6" s="40">
        <f t="shared" si="0"/>
        <v>594</v>
      </c>
      <c r="E6" s="7" t="s">
        <v>86</v>
      </c>
      <c r="F6" s="40">
        <f t="shared" si="1"/>
        <v>564.29999999999995</v>
      </c>
    </row>
    <row r="7" spans="1:9" x14ac:dyDescent="0.25">
      <c r="A7" s="7" t="s">
        <v>98</v>
      </c>
      <c r="B7" s="7">
        <v>5500</v>
      </c>
      <c r="C7" s="7" t="s">
        <v>204</v>
      </c>
      <c r="D7" s="40">
        <f t="shared" si="0"/>
        <v>495</v>
      </c>
      <c r="E7" s="7" t="s">
        <v>94</v>
      </c>
      <c r="F7" s="40">
        <f t="shared" si="1"/>
        <v>173.25</v>
      </c>
    </row>
    <row r="8" spans="1:9" x14ac:dyDescent="0.25">
      <c r="A8" s="7" t="s">
        <v>100</v>
      </c>
      <c r="B8" s="7">
        <v>5600</v>
      </c>
      <c r="C8" s="7" t="s">
        <v>199</v>
      </c>
      <c r="D8" s="40">
        <f t="shared" si="0"/>
        <v>840</v>
      </c>
      <c r="E8" s="7" t="s">
        <v>205</v>
      </c>
      <c r="F8" s="40">
        <f t="shared" si="1"/>
        <v>194.88</v>
      </c>
    </row>
    <row r="9" spans="1:9" x14ac:dyDescent="0.25">
      <c r="A9" s="7" t="s">
        <v>102</v>
      </c>
      <c r="B9" s="7">
        <v>5700</v>
      </c>
      <c r="C9" s="7" t="s">
        <v>200</v>
      </c>
      <c r="D9" s="40">
        <f t="shared" si="0"/>
        <v>741</v>
      </c>
      <c r="E9" s="7" t="s">
        <v>89</v>
      </c>
      <c r="F9" s="40">
        <f t="shared" si="1"/>
        <v>370.5</v>
      </c>
    </row>
    <row r="10" spans="1:9" x14ac:dyDescent="0.25">
      <c r="A10" s="7" t="s">
        <v>104</v>
      </c>
      <c r="B10" s="7">
        <v>5800</v>
      </c>
      <c r="C10" s="7" t="s">
        <v>204</v>
      </c>
      <c r="D10" s="40">
        <f t="shared" si="0"/>
        <v>522</v>
      </c>
      <c r="E10" s="7" t="s">
        <v>94</v>
      </c>
      <c r="F10" s="40">
        <f t="shared" si="1"/>
        <v>182.70000000000002</v>
      </c>
    </row>
    <row r="11" spans="1:9" x14ac:dyDescent="0.25">
      <c r="A11" s="7" t="s">
        <v>106</v>
      </c>
      <c r="B11" s="7">
        <v>5900</v>
      </c>
      <c r="C11" s="7" t="s">
        <v>203</v>
      </c>
      <c r="D11" s="40">
        <f t="shared" si="0"/>
        <v>649</v>
      </c>
      <c r="E11" s="7" t="s">
        <v>89</v>
      </c>
      <c r="F11" s="40">
        <f t="shared" si="1"/>
        <v>324.5</v>
      </c>
    </row>
    <row r="13" spans="1:9" x14ac:dyDescent="0.25">
      <c r="A13" s="7" t="s">
        <v>206</v>
      </c>
      <c r="B13" s="7"/>
      <c r="D13" s="7" t="s">
        <v>207</v>
      </c>
      <c r="E13" s="7"/>
      <c r="G13" s="7" t="s">
        <v>208</v>
      </c>
      <c r="H13" s="7"/>
    </row>
    <row r="14" spans="1:9" x14ac:dyDescent="0.25">
      <c r="A14" s="43" t="s">
        <v>199</v>
      </c>
      <c r="B14" s="44">
        <v>0.15</v>
      </c>
      <c r="D14" s="7" t="s">
        <v>86</v>
      </c>
      <c r="E14" s="45">
        <v>-0.05</v>
      </c>
      <c r="G14" s="7" t="s">
        <v>86</v>
      </c>
      <c r="H14" s="42">
        <f>SUMIF(E2:E11,"1X",F2:F11)</f>
        <v>1276.8</v>
      </c>
    </row>
    <row r="15" spans="1:9" x14ac:dyDescent="0.25">
      <c r="A15" s="43" t="s">
        <v>200</v>
      </c>
      <c r="B15" s="44">
        <v>0.13</v>
      </c>
      <c r="D15" s="7" t="s">
        <v>89</v>
      </c>
      <c r="E15" s="45">
        <v>0</v>
      </c>
      <c r="G15" s="7" t="s">
        <v>89</v>
      </c>
      <c r="H15" s="42">
        <f>SUMIF(E2:E11,"2X",F2:F11)*2</f>
        <v>2053</v>
      </c>
    </row>
    <row r="16" spans="1:9" x14ac:dyDescent="0.25">
      <c r="A16" s="43" t="s">
        <v>201</v>
      </c>
      <c r="B16" s="44">
        <v>0.12</v>
      </c>
      <c r="D16" s="7" t="s">
        <v>94</v>
      </c>
      <c r="E16" s="45">
        <v>0.05</v>
      </c>
      <c r="G16" s="7" t="s">
        <v>94</v>
      </c>
      <c r="H16" s="42">
        <f>SUMIF(E2:E11,"3X",F2:F11)*3</f>
        <v>1777.65</v>
      </c>
    </row>
    <row r="17" spans="1:8" x14ac:dyDescent="0.25">
      <c r="A17" s="43" t="s">
        <v>203</v>
      </c>
      <c r="B17" s="44">
        <v>0.11</v>
      </c>
      <c r="D17" s="7" t="s">
        <v>202</v>
      </c>
      <c r="E17" s="45">
        <v>0.1</v>
      </c>
      <c r="G17" s="7" t="s">
        <v>202</v>
      </c>
      <c r="H17" s="42">
        <f>SUMIF(E2:E11,"4X",F2:F11)*4</f>
        <v>699.6</v>
      </c>
    </row>
    <row r="18" spans="1:8" x14ac:dyDescent="0.25">
      <c r="A18" s="43" t="s">
        <v>204</v>
      </c>
      <c r="B18" s="44">
        <v>0.09</v>
      </c>
      <c r="D18" s="7" t="s">
        <v>205</v>
      </c>
      <c r="E18" s="45">
        <v>0.16</v>
      </c>
      <c r="G18" s="7" t="s">
        <v>205</v>
      </c>
      <c r="H18" s="42">
        <f>SUMIF(E2:E11,"5X",F2:F11)*5</f>
        <v>974.4</v>
      </c>
    </row>
    <row r="20" spans="1:8" x14ac:dyDescent="0.25">
      <c r="A20" s="46" t="s">
        <v>209</v>
      </c>
      <c r="B20" s="46"/>
      <c r="C20" s="46"/>
      <c r="D20" s="46"/>
      <c r="E20" s="46"/>
      <c r="F20" s="46"/>
    </row>
    <row r="21" spans="1:8" x14ac:dyDescent="0.25">
      <c r="A21" s="47" t="s">
        <v>196</v>
      </c>
      <c r="B21" t="s">
        <v>210</v>
      </c>
    </row>
    <row r="22" spans="1:8" x14ac:dyDescent="0.25">
      <c r="A22" s="6" t="s">
        <v>211</v>
      </c>
      <c r="B22" t="s">
        <v>212</v>
      </c>
    </row>
    <row r="23" spans="1:8" x14ac:dyDescent="0.25">
      <c r="A23" t="s">
        <v>213</v>
      </c>
      <c r="B23" t="s">
        <v>214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F14" sqref="F14"/>
    </sheetView>
  </sheetViews>
  <sheetFormatPr defaultRowHeight="15" x14ac:dyDescent="0.25"/>
  <cols>
    <col min="2" max="2" width="16.140625" customWidth="1"/>
    <col min="4" max="5" width="11.140625" bestFit="1" customWidth="1"/>
  </cols>
  <sheetData>
    <row r="1" spans="1:6" ht="60" x14ac:dyDescent="0.25">
      <c r="A1" s="28" t="s">
        <v>79</v>
      </c>
      <c r="B1" s="29" t="s">
        <v>80</v>
      </c>
      <c r="C1" s="29" t="s">
        <v>81</v>
      </c>
      <c r="D1" s="29" t="s">
        <v>82</v>
      </c>
      <c r="E1" s="30" t="s">
        <v>83</v>
      </c>
      <c r="F1" s="6" t="s">
        <v>84</v>
      </c>
    </row>
    <row r="2" spans="1:6" x14ac:dyDescent="0.25">
      <c r="A2" s="7" t="s">
        <v>85</v>
      </c>
      <c r="B2" s="31">
        <v>1250</v>
      </c>
      <c r="C2" s="7" t="s">
        <v>86</v>
      </c>
      <c r="D2" s="32">
        <f>IF(AND(B2&lt;3500,C2="1X"),B2*(1-0.025),IF(AND(B2&lt;3500,C2="2X"),B2,IF(AND(B2&lt;3500,C2="1X"),B2*(0.025+1),IF(AND(B2&lt;5000,C2="1X"),B2*(1-0.05),IF(AND(B2&lt;5000,C2="2X"),B2*(1-0.025),IF(AND(B2&lt;5000,C2="3X"),B2*(0.03+1),B2*(1-0.065)))))))</f>
        <v>1218.75</v>
      </c>
      <c r="E2" s="33">
        <f>IF(C2="1X",D2,IF(C2="2X",D2/2,D2/3))</f>
        <v>1218.75</v>
      </c>
      <c r="F2" s="6" t="s">
        <v>87</v>
      </c>
    </row>
    <row r="3" spans="1:6" x14ac:dyDescent="0.25">
      <c r="A3" s="7" t="s">
        <v>88</v>
      </c>
      <c r="B3" s="31">
        <v>1365</v>
      </c>
      <c r="C3" s="7" t="s">
        <v>89</v>
      </c>
      <c r="D3" s="32">
        <f t="shared" ref="D3:D11" si="0">IF(AND(B3&lt;3500,C3="1X"),B3*(1-0.025),IF(AND(B3&lt;3500,C3="2X"),B3,IF(AND(B3&lt;3500,C3="1X"),B3*(0.025+1),IF(AND(B3&lt;5000,C3="1X"),B3*(1-0.05),IF(AND(B3&lt;5000,C3="2X"),B3*(1-0.025),IF(AND(B3&lt;5000,C3="3X"),B3*(0.03+1),B3*(1-0.065)))))))</f>
        <v>1365</v>
      </c>
      <c r="E3" s="33">
        <f t="shared" ref="E3:E11" si="1">IF(C3="1X",D3,IF(C3="2X",D3/2,D3/3))</f>
        <v>682.5</v>
      </c>
      <c r="F3" t="s">
        <v>90</v>
      </c>
    </row>
    <row r="4" spans="1:6" x14ac:dyDescent="0.25">
      <c r="A4" s="7" t="s">
        <v>91</v>
      </c>
      <c r="B4" s="31">
        <v>1800</v>
      </c>
      <c r="C4" s="7" t="s">
        <v>86</v>
      </c>
      <c r="D4" s="32">
        <f t="shared" si="0"/>
        <v>1755</v>
      </c>
      <c r="E4" s="33">
        <f t="shared" si="1"/>
        <v>1755</v>
      </c>
      <c r="F4" t="s">
        <v>92</v>
      </c>
    </row>
    <row r="5" spans="1:6" x14ac:dyDescent="0.25">
      <c r="A5" s="7" t="s">
        <v>93</v>
      </c>
      <c r="B5" s="31">
        <v>250</v>
      </c>
      <c r="C5" s="7" t="s">
        <v>94</v>
      </c>
      <c r="D5" s="32">
        <f t="shared" si="0"/>
        <v>257.5</v>
      </c>
      <c r="E5" s="33">
        <f t="shared" si="1"/>
        <v>85.833333333333329</v>
      </c>
      <c r="F5" t="s">
        <v>95</v>
      </c>
    </row>
    <row r="6" spans="1:6" x14ac:dyDescent="0.25">
      <c r="A6" s="7" t="s">
        <v>96</v>
      </c>
      <c r="B6" s="31">
        <v>3654</v>
      </c>
      <c r="C6" s="7" t="s">
        <v>89</v>
      </c>
      <c r="D6" s="32">
        <f t="shared" si="0"/>
        <v>3562.65</v>
      </c>
      <c r="E6" s="33">
        <f t="shared" si="1"/>
        <v>1781.325</v>
      </c>
      <c r="F6" t="s">
        <v>97</v>
      </c>
    </row>
    <row r="7" spans="1:6" x14ac:dyDescent="0.25">
      <c r="A7" s="7" t="s">
        <v>98</v>
      </c>
      <c r="B7" s="31">
        <v>1254</v>
      </c>
      <c r="C7" s="7" t="s">
        <v>94</v>
      </c>
      <c r="D7" s="32">
        <f t="shared" si="0"/>
        <v>1291.6200000000001</v>
      </c>
      <c r="E7" s="33">
        <f t="shared" si="1"/>
        <v>430.54</v>
      </c>
      <c r="F7" t="s">
        <v>99</v>
      </c>
    </row>
    <row r="8" spans="1:6" x14ac:dyDescent="0.25">
      <c r="A8" s="7" t="s">
        <v>100</v>
      </c>
      <c r="B8" s="31">
        <v>1980</v>
      </c>
      <c r="C8" s="7" t="s">
        <v>86</v>
      </c>
      <c r="D8" s="32">
        <f t="shared" si="0"/>
        <v>1930.5</v>
      </c>
      <c r="E8" s="33">
        <f t="shared" si="1"/>
        <v>1930.5</v>
      </c>
      <c r="F8" t="s">
        <v>101</v>
      </c>
    </row>
    <row r="9" spans="1:6" x14ac:dyDescent="0.25">
      <c r="A9" s="7" t="s">
        <v>102</v>
      </c>
      <c r="B9" s="31">
        <v>1450</v>
      </c>
      <c r="C9" s="7" t="s">
        <v>94</v>
      </c>
      <c r="D9" s="32">
        <f t="shared" si="0"/>
        <v>1493.5</v>
      </c>
      <c r="E9" s="33">
        <f t="shared" si="1"/>
        <v>497.83333333333331</v>
      </c>
      <c r="F9" t="s">
        <v>103</v>
      </c>
    </row>
    <row r="10" spans="1:6" x14ac:dyDescent="0.25">
      <c r="A10" s="7" t="s">
        <v>104</v>
      </c>
      <c r="B10" s="31">
        <v>5200</v>
      </c>
      <c r="C10" s="7" t="s">
        <v>86</v>
      </c>
      <c r="D10" s="32">
        <f t="shared" si="0"/>
        <v>4862</v>
      </c>
      <c r="E10" s="33">
        <f t="shared" si="1"/>
        <v>4862</v>
      </c>
      <c r="F10" t="s">
        <v>105</v>
      </c>
    </row>
    <row r="11" spans="1:6" x14ac:dyDescent="0.25">
      <c r="A11" s="7" t="s">
        <v>106</v>
      </c>
      <c r="B11" s="31">
        <v>3500</v>
      </c>
      <c r="C11" s="7" t="s">
        <v>89</v>
      </c>
      <c r="D11" s="32">
        <f t="shared" si="0"/>
        <v>3412.5</v>
      </c>
      <c r="E11" s="33">
        <f t="shared" si="1"/>
        <v>1706.25</v>
      </c>
      <c r="F11" t="s">
        <v>107</v>
      </c>
    </row>
    <row r="12" spans="1:6" x14ac:dyDescent="0.25">
      <c r="A12" s="6" t="s">
        <v>108</v>
      </c>
    </row>
    <row r="13" spans="1:6" x14ac:dyDescent="0.25">
      <c r="A13" t="s">
        <v>109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12</vt:i4>
      </vt:variant>
    </vt:vector>
  </HeadingPairs>
  <TitlesOfParts>
    <vt:vector size="12" baseType="lpstr">
      <vt:lpstr>Ex01</vt:lpstr>
      <vt:lpstr>Ex02</vt:lpstr>
      <vt:lpstr>EX03</vt:lpstr>
      <vt:lpstr>EX04</vt:lpstr>
      <vt:lpstr>EX05</vt:lpstr>
      <vt:lpstr>EX06</vt:lpstr>
      <vt:lpstr>EX07</vt:lpstr>
      <vt:lpstr>EX08</vt:lpstr>
      <vt:lpstr>EX09</vt:lpstr>
      <vt:lpstr>EX10</vt:lpstr>
      <vt:lpstr>EX11</vt:lpstr>
      <vt:lpstr>Plan1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clauss</dc:creator>
  <cp:keywords/>
  <dc:description/>
  <cp:lastModifiedBy>RAFAEL NUNES DE BRITO</cp:lastModifiedBy>
  <cp:revision/>
  <dcterms:created xsi:type="dcterms:W3CDTF">2010-03-12T22:42:55Z</dcterms:created>
  <dcterms:modified xsi:type="dcterms:W3CDTF">2019-09-13T01:17:07Z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ebfa8410-a893-4190-acb5-53c71b041597</vt:lpwstr>
  </property>
</Properties>
</file>